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19425" windowHeight="10425" tabRatio="847" firstSheet="1" activeTab="1"/>
  </bookViews>
  <sheets>
    <sheet name="記入方法" sheetId="42" r:id="rId1"/>
    <sheet name="請求書（認定こども園）" sheetId="28" r:id="rId2"/>
    <sheet name="在籍児童一覧（教育）" sheetId="36" r:id="rId3"/>
    <sheet name="在籍児童一覧（保育）" sheetId="37" r:id="rId4"/>
    <sheet name="計算用" sheetId="34" r:id="rId5"/>
    <sheet name="計算用２" sheetId="35" r:id="rId6"/>
    <sheet name="１号単価表①" sheetId="29" r:id="rId7"/>
    <sheet name="１号単価表②" sheetId="30" r:id="rId8"/>
    <sheet name="こども園単価表③（定員を恒常的に超過する場合）" sheetId="44" r:id="rId9"/>
    <sheet name="２・３号単価表①" sheetId="31" r:id="rId10"/>
    <sheet name="２・３号単価表②" sheetId="32" r:id="rId11"/>
    <sheet name="保育単価表③（定員を恒常的に超過する場合）" sheetId="43" r:id="rId12"/>
  </sheets>
  <definedNames>
    <definedName name="_xlnm.Print_Area" localSheetId="2">'在籍児童一覧（教育）'!$A$1:$Z$148</definedName>
    <definedName name="_xlnm.Print_Area" localSheetId="3">'在籍児童一覧（保育）'!$A$1:$AF$233</definedName>
    <definedName name="_xlnm.Print_Area" localSheetId="1">'請求書（認定こども園）'!$A$1:$Z$499</definedName>
    <definedName name="_xlnm.Print_Area" localSheetId="11">'保育単価表③（定員を恒常的に超過する場合）'!$A$1:$V$582</definedName>
    <definedName name="_xlnm.Print_Titles" localSheetId="8">'こども園単価表③（定員を恒常的に超過する場合）'!$3:$7</definedName>
    <definedName name="_xlnm.Print_Titles" localSheetId="11">'保育単価表③（定員を恒常的に超過する場合）'!$2:$6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7" i="28" l="1"/>
  <c r="M177" i="28"/>
  <c r="M344" i="28"/>
  <c r="O365" i="28" l="1"/>
  <c r="O197" i="28"/>
  <c r="O366" i="28" l="1"/>
  <c r="AJ60" i="36" l="1"/>
  <c r="AK60" i="36"/>
  <c r="AL60" i="36"/>
  <c r="AM60" i="36"/>
  <c r="AI60" i="36"/>
  <c r="AG60" i="36"/>
  <c r="AF60" i="36"/>
  <c r="AH60" i="36"/>
  <c r="U12" i="36"/>
  <c r="U13" i="36"/>
  <c r="U14" i="36"/>
  <c r="U15" i="36"/>
  <c r="U16" i="36"/>
  <c r="U17" i="36"/>
  <c r="U18" i="36"/>
  <c r="U19" i="36"/>
  <c r="U20" i="36"/>
  <c r="U21" i="36"/>
  <c r="U22" i="36"/>
  <c r="U23" i="36"/>
  <c r="U24" i="36"/>
  <c r="U25" i="36"/>
  <c r="U26" i="36"/>
  <c r="U27" i="36"/>
  <c r="U28" i="36"/>
  <c r="U29" i="36"/>
  <c r="U30" i="36"/>
  <c r="U31" i="36"/>
  <c r="U32" i="36"/>
  <c r="U33" i="36"/>
  <c r="U34" i="36"/>
  <c r="U35" i="36"/>
  <c r="U36" i="36"/>
  <c r="U37" i="36"/>
  <c r="U38" i="36"/>
  <c r="U39" i="36"/>
  <c r="U40" i="36"/>
  <c r="U41" i="36"/>
  <c r="U42" i="36"/>
  <c r="U43" i="36"/>
  <c r="U44" i="36"/>
  <c r="U45" i="36"/>
  <c r="U46" i="36"/>
  <c r="U47" i="36"/>
  <c r="U48" i="36"/>
  <c r="U49" i="36"/>
  <c r="U50" i="36"/>
  <c r="U51" i="36"/>
  <c r="U52" i="36"/>
  <c r="U53" i="36"/>
  <c r="U54" i="36"/>
  <c r="U55" i="36"/>
  <c r="U56" i="36"/>
  <c r="U57" i="36"/>
  <c r="U58" i="36"/>
  <c r="U59" i="36"/>
  <c r="U60" i="36"/>
  <c r="U61" i="36"/>
  <c r="U62" i="36"/>
  <c r="U63" i="36"/>
  <c r="U64" i="36"/>
  <c r="U65" i="36"/>
  <c r="U66" i="36"/>
  <c r="U67" i="36"/>
  <c r="U68" i="36"/>
  <c r="U69" i="36"/>
  <c r="U70" i="36"/>
  <c r="U71" i="36"/>
  <c r="U72" i="36"/>
  <c r="U73" i="36"/>
  <c r="U74" i="36"/>
  <c r="U75" i="36"/>
  <c r="U76" i="36"/>
  <c r="U77" i="36"/>
  <c r="U78" i="36"/>
  <c r="U79" i="36"/>
  <c r="U80" i="36"/>
  <c r="U81" i="36"/>
  <c r="U82" i="36"/>
  <c r="U83" i="36"/>
  <c r="U84" i="36"/>
  <c r="U85" i="36"/>
  <c r="U86" i="36"/>
  <c r="U87" i="36"/>
  <c r="U88" i="36"/>
  <c r="U89" i="36"/>
  <c r="U90" i="36"/>
  <c r="U91" i="36"/>
  <c r="U92" i="36"/>
  <c r="U93" i="36"/>
  <c r="U94" i="36"/>
  <c r="U95" i="36"/>
  <c r="U96" i="36"/>
  <c r="U97" i="36"/>
  <c r="U98" i="36"/>
  <c r="U99" i="36"/>
  <c r="U100" i="36"/>
  <c r="U101" i="36"/>
  <c r="U102" i="36"/>
  <c r="U103" i="36"/>
  <c r="U104" i="36"/>
  <c r="U105" i="36"/>
  <c r="U106" i="36"/>
  <c r="U107" i="36"/>
  <c r="U108" i="36"/>
  <c r="U109" i="36"/>
  <c r="U110" i="36"/>
  <c r="U111" i="36"/>
  <c r="U112" i="36"/>
  <c r="U113" i="36"/>
  <c r="U114" i="36"/>
  <c r="U115" i="36"/>
  <c r="U116" i="36"/>
  <c r="U117" i="36"/>
  <c r="U118" i="36"/>
  <c r="U119" i="36"/>
  <c r="U120" i="36"/>
  <c r="U121" i="36"/>
  <c r="U122" i="36"/>
  <c r="U123" i="36"/>
  <c r="U124" i="36"/>
  <c r="U125" i="36"/>
  <c r="U126" i="36"/>
  <c r="U127" i="36"/>
  <c r="U128" i="36"/>
  <c r="U129" i="36"/>
  <c r="U130" i="36"/>
  <c r="U11" i="36"/>
  <c r="AD11" i="36"/>
  <c r="AC11" i="36"/>
  <c r="AB11" i="36"/>
  <c r="T1" i="36" l="1"/>
  <c r="Q1" i="36"/>
  <c r="AC141" i="37"/>
  <c r="AC142" i="37"/>
  <c r="AC143" i="37"/>
  <c r="AC144" i="37"/>
  <c r="AC145" i="37"/>
  <c r="AC146" i="37"/>
  <c r="AC147" i="37"/>
  <c r="AC148" i="37"/>
  <c r="AC149" i="37"/>
  <c r="AC150" i="37"/>
  <c r="AC151" i="37"/>
  <c r="AC152" i="37"/>
  <c r="AC153" i="37"/>
  <c r="AC154" i="37"/>
  <c r="AC155" i="37"/>
  <c r="AC156" i="37"/>
  <c r="AC157" i="37"/>
  <c r="AC158" i="37"/>
  <c r="AC159" i="37"/>
  <c r="AC160" i="37"/>
  <c r="AC108" i="37"/>
  <c r="AC109" i="37"/>
  <c r="AC110" i="37"/>
  <c r="AC111" i="37"/>
  <c r="AC112" i="37"/>
  <c r="AC113" i="37"/>
  <c r="AC114" i="37"/>
  <c r="AC115" i="37"/>
  <c r="AC116" i="37"/>
  <c r="AC117" i="37"/>
  <c r="AC118" i="37"/>
  <c r="AC119" i="37"/>
  <c r="AC120" i="37"/>
  <c r="AC121" i="37"/>
  <c r="AC122" i="37"/>
  <c r="AC123" i="37"/>
  <c r="AC124" i="37"/>
  <c r="AC125" i="37"/>
  <c r="AC126" i="37"/>
  <c r="AC127" i="37"/>
  <c r="AC128" i="37"/>
  <c r="AC129" i="37"/>
  <c r="AC130" i="37"/>
  <c r="AC131" i="37"/>
  <c r="AC132" i="37"/>
  <c r="AC133" i="37"/>
  <c r="AC134" i="37"/>
  <c r="AC135" i="37"/>
  <c r="AC136" i="37"/>
  <c r="AC137" i="37"/>
  <c r="AC138" i="37"/>
  <c r="AC139" i="37"/>
  <c r="AC140" i="37"/>
  <c r="AC83" i="37"/>
  <c r="AC84" i="37"/>
  <c r="AC85" i="37"/>
  <c r="AC86" i="37"/>
  <c r="AC87" i="37"/>
  <c r="AC88" i="37"/>
  <c r="AC89" i="37"/>
  <c r="AC90" i="37"/>
  <c r="AC91" i="37"/>
  <c r="AC92" i="37"/>
  <c r="AC93" i="37"/>
  <c r="AC94" i="37"/>
  <c r="AC95" i="37"/>
  <c r="AC96" i="37"/>
  <c r="AC97" i="37"/>
  <c r="AC98" i="37"/>
  <c r="AC99" i="37"/>
  <c r="AC100" i="37"/>
  <c r="AC101" i="37"/>
  <c r="AC102" i="37"/>
  <c r="AC103" i="37"/>
  <c r="AC104" i="37"/>
  <c r="AC105" i="37"/>
  <c r="AC106" i="37"/>
  <c r="AC107" i="37"/>
  <c r="AC65" i="37"/>
  <c r="AC66" i="37"/>
  <c r="AC67" i="37"/>
  <c r="AC68" i="37"/>
  <c r="AC69" i="37"/>
  <c r="AC70" i="37"/>
  <c r="AC71" i="37"/>
  <c r="AC72" i="37"/>
  <c r="AC73" i="37"/>
  <c r="AC74" i="37"/>
  <c r="AC75" i="37"/>
  <c r="AC76" i="37"/>
  <c r="AC77" i="37"/>
  <c r="AC78" i="37"/>
  <c r="AC79" i="37"/>
  <c r="AC80" i="37"/>
  <c r="AC81" i="37"/>
  <c r="AC82" i="37"/>
  <c r="AC46" i="37"/>
  <c r="AC47" i="37"/>
  <c r="AC48" i="37"/>
  <c r="AC49" i="37"/>
  <c r="AC50" i="37"/>
  <c r="AC51" i="37"/>
  <c r="AC52" i="37"/>
  <c r="AC53" i="37"/>
  <c r="AC54" i="37"/>
  <c r="AC55" i="37"/>
  <c r="AC56" i="37"/>
  <c r="AC57" i="37"/>
  <c r="AC58" i="37"/>
  <c r="AC59" i="37"/>
  <c r="AC60" i="37"/>
  <c r="AC61" i="37"/>
  <c r="AC62" i="37"/>
  <c r="AC63" i="37"/>
  <c r="AC64" i="37"/>
  <c r="AC35" i="37"/>
  <c r="AC36" i="37"/>
  <c r="AC37" i="37"/>
  <c r="AC38" i="37"/>
  <c r="AC39" i="37"/>
  <c r="AC40" i="37"/>
  <c r="AC41" i="37"/>
  <c r="AC42" i="37"/>
  <c r="AC43" i="37"/>
  <c r="AC44" i="37"/>
  <c r="AC45" i="37"/>
  <c r="AC34" i="37"/>
  <c r="AC25" i="37"/>
  <c r="AC26" i="37"/>
  <c r="AC27" i="37"/>
  <c r="AC28" i="37"/>
  <c r="AC29" i="37"/>
  <c r="AC30" i="37"/>
  <c r="AC31" i="37"/>
  <c r="AC32" i="37"/>
  <c r="AC33" i="37"/>
  <c r="AC12" i="37"/>
  <c r="AC13" i="37"/>
  <c r="AC14" i="37"/>
  <c r="AC15" i="37"/>
  <c r="AC16" i="37"/>
  <c r="AC17" i="37"/>
  <c r="AC18" i="37"/>
  <c r="AC19" i="37"/>
  <c r="AC20" i="37"/>
  <c r="AC21" i="37"/>
  <c r="AC22" i="37"/>
  <c r="AC23" i="37"/>
  <c r="AC24" i="37"/>
  <c r="AC11" i="37"/>
  <c r="X1" i="37" l="1"/>
  <c r="U1" i="37"/>
  <c r="AG153" i="37"/>
  <c r="AH153" i="37"/>
  <c r="AI153" i="37"/>
  <c r="AJ153" i="37"/>
  <c r="AK153" i="37"/>
  <c r="AO153" i="37" s="1"/>
  <c r="AU153" i="37"/>
  <c r="AV153" i="37"/>
  <c r="AW153" i="37"/>
  <c r="AX153" i="37"/>
  <c r="AY153" i="37"/>
  <c r="AZ153" i="37"/>
  <c r="BB153" i="37"/>
  <c r="BF153" i="37"/>
  <c r="BJ153" i="37"/>
  <c r="BL153" i="37"/>
  <c r="BM153" i="37"/>
  <c r="BN153" i="37"/>
  <c r="BO153" i="37"/>
  <c r="BP153" i="37"/>
  <c r="BQ153" i="37"/>
  <c r="BR153" i="37"/>
  <c r="BT153" i="37"/>
  <c r="BV153" i="37"/>
  <c r="CB153" i="37"/>
  <c r="CC153" i="37"/>
  <c r="CD153" i="37"/>
  <c r="CE153" i="37"/>
  <c r="CF153" i="37"/>
  <c r="CG153" i="37"/>
  <c r="CH153" i="37"/>
  <c r="CN153" i="37"/>
  <c r="CP153" i="37"/>
  <c r="CQ153" i="37"/>
  <c r="CR153" i="37"/>
  <c r="CS153" i="37"/>
  <c r="CT153" i="37"/>
  <c r="CU153" i="37"/>
  <c r="CV153" i="37"/>
  <c r="AG154" i="37"/>
  <c r="AH154" i="37"/>
  <c r="AI154" i="37"/>
  <c r="AJ154" i="37"/>
  <c r="AK154" i="37"/>
  <c r="AR154" i="37" s="1"/>
  <c r="AU154" i="37"/>
  <c r="AV154" i="37"/>
  <c r="AW154" i="37"/>
  <c r="AX154" i="37"/>
  <c r="AY154" i="37"/>
  <c r="AZ154" i="37"/>
  <c r="BA154" i="37"/>
  <c r="BJ154" i="37"/>
  <c r="BM154" i="37"/>
  <c r="BN154" i="37"/>
  <c r="BO154" i="37"/>
  <c r="BP154" i="37"/>
  <c r="BQ154" i="37"/>
  <c r="BR154" i="37"/>
  <c r="BY154" i="37"/>
  <c r="BZ154" i="37"/>
  <c r="CB154" i="37"/>
  <c r="CC154" i="37"/>
  <c r="CD154" i="37"/>
  <c r="CE154" i="37"/>
  <c r="CF154" i="37"/>
  <c r="CG154" i="37"/>
  <c r="CH154" i="37"/>
  <c r="CI154" i="37"/>
  <c r="CQ154" i="37"/>
  <c r="CR154" i="37"/>
  <c r="CS154" i="37"/>
  <c r="CT154" i="37"/>
  <c r="CU154" i="37"/>
  <c r="CV154" i="37"/>
  <c r="AG155" i="37"/>
  <c r="AH155" i="37"/>
  <c r="AI155" i="37"/>
  <c r="AJ155" i="37"/>
  <c r="AK155" i="37"/>
  <c r="AU155" i="37"/>
  <c r="AV155" i="37"/>
  <c r="AW155" i="37"/>
  <c r="AX155" i="37"/>
  <c r="AY155" i="37"/>
  <c r="AZ155" i="37"/>
  <c r="BM155" i="37"/>
  <c r="BN155" i="37"/>
  <c r="BO155" i="37"/>
  <c r="BP155" i="37"/>
  <c r="BQ155" i="37"/>
  <c r="BR155" i="37"/>
  <c r="CB155" i="37"/>
  <c r="CC155" i="37"/>
  <c r="CD155" i="37"/>
  <c r="CE155" i="37"/>
  <c r="CF155" i="37"/>
  <c r="CG155" i="37"/>
  <c r="CQ155" i="37"/>
  <c r="CR155" i="37"/>
  <c r="CS155" i="37"/>
  <c r="CT155" i="37"/>
  <c r="CU155" i="37"/>
  <c r="CV155" i="37"/>
  <c r="AG156" i="37"/>
  <c r="AH156" i="37"/>
  <c r="AI156" i="37"/>
  <c r="AJ156" i="37"/>
  <c r="AK156" i="37"/>
  <c r="BZ156" i="37" s="1"/>
  <c r="AU156" i="37"/>
  <c r="AV156" i="37"/>
  <c r="AW156" i="37"/>
  <c r="AX156" i="37"/>
  <c r="AY156" i="37"/>
  <c r="AZ156" i="37"/>
  <c r="BM156" i="37"/>
  <c r="BN156" i="37"/>
  <c r="BO156" i="37"/>
  <c r="BP156" i="37"/>
  <c r="BQ156" i="37"/>
  <c r="BR156" i="37"/>
  <c r="CB156" i="37"/>
  <c r="CC156" i="37"/>
  <c r="CD156" i="37"/>
  <c r="CE156" i="37"/>
  <c r="CF156" i="37"/>
  <c r="CG156" i="37"/>
  <c r="CK156" i="37"/>
  <c r="CQ156" i="37"/>
  <c r="CR156" i="37"/>
  <c r="CS156" i="37"/>
  <c r="CT156" i="37"/>
  <c r="CU156" i="37"/>
  <c r="CV156" i="37"/>
  <c r="AG157" i="37"/>
  <c r="AH157" i="37"/>
  <c r="AI157" i="37"/>
  <c r="AJ157" i="37"/>
  <c r="AK157" i="37"/>
  <c r="AN157" i="37" s="1"/>
  <c r="AU157" i="37"/>
  <c r="AV157" i="37"/>
  <c r="AW157" i="37"/>
  <c r="AX157" i="37"/>
  <c r="AY157" i="37"/>
  <c r="AZ157" i="37"/>
  <c r="BM157" i="37"/>
  <c r="BN157" i="37"/>
  <c r="BO157" i="37"/>
  <c r="BP157" i="37"/>
  <c r="BQ157" i="37"/>
  <c r="BR157" i="37"/>
  <c r="CB157" i="37"/>
  <c r="CC157" i="37"/>
  <c r="CD157" i="37"/>
  <c r="CE157" i="37"/>
  <c r="CF157" i="37"/>
  <c r="CG157" i="37"/>
  <c r="CQ157" i="37"/>
  <c r="CR157" i="37"/>
  <c r="CS157" i="37"/>
  <c r="CT157" i="37"/>
  <c r="CU157" i="37"/>
  <c r="CV157" i="37"/>
  <c r="AG158" i="37"/>
  <c r="AH158" i="37"/>
  <c r="AI158" i="37"/>
  <c r="AJ158" i="37"/>
  <c r="AK158" i="37"/>
  <c r="AO158" i="37" s="1"/>
  <c r="AU158" i="37"/>
  <c r="AV158" i="37"/>
  <c r="AW158" i="37"/>
  <c r="AX158" i="37"/>
  <c r="AY158" i="37"/>
  <c r="AZ158" i="37"/>
  <c r="BM158" i="37"/>
  <c r="BN158" i="37"/>
  <c r="BO158" i="37"/>
  <c r="BP158" i="37"/>
  <c r="BQ158" i="37"/>
  <c r="BR158" i="37"/>
  <c r="CB158" i="37"/>
  <c r="CC158" i="37"/>
  <c r="CD158" i="37"/>
  <c r="CE158" i="37"/>
  <c r="CF158" i="37"/>
  <c r="CG158" i="37"/>
  <c r="CQ158" i="37"/>
  <c r="CR158" i="37"/>
  <c r="CS158" i="37"/>
  <c r="CT158" i="37"/>
  <c r="CU158" i="37"/>
  <c r="CV158" i="37"/>
  <c r="AG159" i="37"/>
  <c r="AH159" i="37"/>
  <c r="AI159" i="37"/>
  <c r="AJ159" i="37"/>
  <c r="AK159" i="37"/>
  <c r="CL159" i="37" s="1"/>
  <c r="AU159" i="37"/>
  <c r="AV159" i="37"/>
  <c r="AW159" i="37"/>
  <c r="AX159" i="37"/>
  <c r="AY159" i="37"/>
  <c r="AZ159" i="37"/>
  <c r="BI159" i="37"/>
  <c r="BM159" i="37"/>
  <c r="BN159" i="37"/>
  <c r="BO159" i="37"/>
  <c r="BP159" i="37"/>
  <c r="BQ159" i="37"/>
  <c r="BR159" i="37"/>
  <c r="CB159" i="37"/>
  <c r="CC159" i="37"/>
  <c r="CD159" i="37"/>
  <c r="CE159" i="37"/>
  <c r="CF159" i="37"/>
  <c r="CG159" i="37"/>
  <c r="CQ159" i="37"/>
  <c r="CR159" i="37"/>
  <c r="CS159" i="37"/>
  <c r="CT159" i="37"/>
  <c r="CU159" i="37"/>
  <c r="CV159" i="37"/>
  <c r="AG160" i="37"/>
  <c r="AH160" i="37"/>
  <c r="AI160" i="37"/>
  <c r="AJ160" i="37"/>
  <c r="AK160" i="37"/>
  <c r="AU160" i="37"/>
  <c r="AV160" i="37"/>
  <c r="AW160" i="37"/>
  <c r="AX160" i="37"/>
  <c r="AY160" i="37"/>
  <c r="AZ160" i="37"/>
  <c r="BM160" i="37"/>
  <c r="BN160" i="37"/>
  <c r="BO160" i="37"/>
  <c r="BP160" i="37"/>
  <c r="BQ160" i="37"/>
  <c r="BR160" i="37"/>
  <c r="CB160" i="37"/>
  <c r="CC160" i="37"/>
  <c r="CD160" i="37"/>
  <c r="CE160" i="37"/>
  <c r="CF160" i="37"/>
  <c r="CG160" i="37"/>
  <c r="CQ160" i="37"/>
  <c r="CR160" i="37"/>
  <c r="CS160" i="37"/>
  <c r="CT160" i="37"/>
  <c r="CU160" i="37"/>
  <c r="CV160" i="37"/>
  <c r="AG130" i="37"/>
  <c r="AH130" i="37"/>
  <c r="AI130" i="37"/>
  <c r="AJ130" i="37"/>
  <c r="AK130" i="37"/>
  <c r="CK130" i="37" s="1"/>
  <c r="AU130" i="37"/>
  <c r="AV130" i="37"/>
  <c r="AW130" i="37"/>
  <c r="AX130" i="37"/>
  <c r="AY130" i="37"/>
  <c r="AZ130" i="37"/>
  <c r="BM130" i="37"/>
  <c r="BN130" i="37"/>
  <c r="BO130" i="37"/>
  <c r="BP130" i="37"/>
  <c r="BQ130" i="37"/>
  <c r="BR130" i="37"/>
  <c r="CB130" i="37"/>
  <c r="CC130" i="37"/>
  <c r="CD130" i="37"/>
  <c r="CE130" i="37"/>
  <c r="CF130" i="37"/>
  <c r="CG130" i="37"/>
  <c r="CQ130" i="37"/>
  <c r="CR130" i="37"/>
  <c r="CS130" i="37"/>
  <c r="CT130" i="37"/>
  <c r="CU130" i="37"/>
  <c r="CV130" i="37"/>
  <c r="AG131" i="37"/>
  <c r="AH131" i="37"/>
  <c r="AI131" i="37"/>
  <c r="AJ131" i="37"/>
  <c r="AK131" i="37"/>
  <c r="CJ131" i="37" s="1"/>
  <c r="AU131" i="37"/>
  <c r="AV131" i="37"/>
  <c r="AW131" i="37"/>
  <c r="AX131" i="37"/>
  <c r="AY131" i="37"/>
  <c r="AZ131" i="37"/>
  <c r="BA131" i="37"/>
  <c r="BM131" i="37"/>
  <c r="BN131" i="37"/>
  <c r="BO131" i="37"/>
  <c r="BP131" i="37"/>
  <c r="BQ131" i="37"/>
  <c r="BR131" i="37"/>
  <c r="CB131" i="37"/>
  <c r="CC131" i="37"/>
  <c r="CD131" i="37"/>
  <c r="CE131" i="37"/>
  <c r="CF131" i="37"/>
  <c r="CG131" i="37"/>
  <c r="CQ131" i="37"/>
  <c r="CR131" i="37"/>
  <c r="CS131" i="37"/>
  <c r="CT131" i="37"/>
  <c r="CU131" i="37"/>
  <c r="CV131" i="37"/>
  <c r="AG132" i="37"/>
  <c r="AH132" i="37"/>
  <c r="AI132" i="37"/>
  <c r="AJ132" i="37"/>
  <c r="AK132" i="37"/>
  <c r="CK132" i="37" s="1"/>
  <c r="AU132" i="37"/>
  <c r="AV132" i="37"/>
  <c r="AW132" i="37"/>
  <c r="AX132" i="37"/>
  <c r="AY132" i="37"/>
  <c r="AZ132" i="37"/>
  <c r="BM132" i="37"/>
  <c r="BN132" i="37"/>
  <c r="BO132" i="37"/>
  <c r="BP132" i="37"/>
  <c r="BQ132" i="37"/>
  <c r="BR132" i="37"/>
  <c r="CB132" i="37"/>
  <c r="CC132" i="37"/>
  <c r="CD132" i="37"/>
  <c r="CE132" i="37"/>
  <c r="CF132" i="37"/>
  <c r="CG132" i="37"/>
  <c r="CQ132" i="37"/>
  <c r="CR132" i="37"/>
  <c r="CS132" i="37"/>
  <c r="CT132" i="37"/>
  <c r="CU132" i="37"/>
  <c r="CV132" i="37"/>
  <c r="AG133" i="37"/>
  <c r="AH133" i="37"/>
  <c r="AI133" i="37"/>
  <c r="AJ133" i="37"/>
  <c r="AK133" i="37"/>
  <c r="AL133" i="37" s="1"/>
  <c r="AU133" i="37"/>
  <c r="AV133" i="37"/>
  <c r="AW133" i="37"/>
  <c r="AX133" i="37"/>
  <c r="AY133" i="37"/>
  <c r="AZ133" i="37"/>
  <c r="BD133" i="37"/>
  <c r="BL133" i="37"/>
  <c r="BM133" i="37"/>
  <c r="BN133" i="37"/>
  <c r="BO133" i="37"/>
  <c r="BP133" i="37"/>
  <c r="BQ133" i="37"/>
  <c r="BR133" i="37"/>
  <c r="BU133" i="37"/>
  <c r="CB133" i="37"/>
  <c r="CC133" i="37"/>
  <c r="CD133" i="37"/>
  <c r="CE133" i="37"/>
  <c r="CF133" i="37"/>
  <c r="CG133" i="37"/>
  <c r="CQ133" i="37"/>
  <c r="CR133" i="37"/>
  <c r="CS133" i="37"/>
  <c r="CT133" i="37"/>
  <c r="CU133" i="37"/>
  <c r="CV133" i="37"/>
  <c r="AG134" i="37"/>
  <c r="AH134" i="37"/>
  <c r="AI134" i="37"/>
  <c r="AJ134" i="37"/>
  <c r="AK134" i="37"/>
  <c r="AU134" i="37"/>
  <c r="AV134" i="37"/>
  <c r="AW134" i="37"/>
  <c r="AX134" i="37"/>
  <c r="AY134" i="37"/>
  <c r="AZ134" i="37"/>
  <c r="BM134" i="37"/>
  <c r="BN134" i="37"/>
  <c r="BO134" i="37"/>
  <c r="BP134" i="37"/>
  <c r="BQ134" i="37"/>
  <c r="BR134" i="37"/>
  <c r="CB134" i="37"/>
  <c r="CC134" i="37"/>
  <c r="CD134" i="37"/>
  <c r="CE134" i="37"/>
  <c r="CF134" i="37"/>
  <c r="CG134" i="37"/>
  <c r="CQ134" i="37"/>
  <c r="CR134" i="37"/>
  <c r="CS134" i="37"/>
  <c r="CT134" i="37"/>
  <c r="CU134" i="37"/>
  <c r="CV134" i="37"/>
  <c r="AG135" i="37"/>
  <c r="AH135" i="37"/>
  <c r="AI135" i="37"/>
  <c r="AJ135" i="37"/>
  <c r="AK135" i="37"/>
  <c r="AS135" i="37" s="1"/>
  <c r="AU135" i="37"/>
  <c r="AV135" i="37"/>
  <c r="AW135" i="37"/>
  <c r="AX135" i="37"/>
  <c r="AY135" i="37"/>
  <c r="AZ135" i="37"/>
  <c r="BM135" i="37"/>
  <c r="BN135" i="37"/>
  <c r="BO135" i="37"/>
  <c r="BP135" i="37"/>
  <c r="BQ135" i="37"/>
  <c r="BR135" i="37"/>
  <c r="CB135" i="37"/>
  <c r="CC135" i="37"/>
  <c r="CD135" i="37"/>
  <c r="CE135" i="37"/>
  <c r="CF135" i="37"/>
  <c r="CG135" i="37"/>
  <c r="CQ135" i="37"/>
  <c r="CR135" i="37"/>
  <c r="CS135" i="37"/>
  <c r="CT135" i="37"/>
  <c r="CU135" i="37"/>
  <c r="CV135" i="37"/>
  <c r="AG136" i="37"/>
  <c r="AH136" i="37"/>
  <c r="AI136" i="37"/>
  <c r="AJ136" i="37"/>
  <c r="AK136" i="37"/>
  <c r="AR136" i="37" s="1"/>
  <c r="AU136" i="37"/>
  <c r="AV136" i="37"/>
  <c r="AW136" i="37"/>
  <c r="AX136" i="37"/>
  <c r="AY136" i="37"/>
  <c r="AZ136" i="37"/>
  <c r="BM136" i="37"/>
  <c r="BN136" i="37"/>
  <c r="BO136" i="37"/>
  <c r="BP136" i="37"/>
  <c r="BQ136" i="37"/>
  <c r="BR136" i="37"/>
  <c r="CB136" i="37"/>
  <c r="CC136" i="37"/>
  <c r="CD136" i="37"/>
  <c r="CE136" i="37"/>
  <c r="CF136" i="37"/>
  <c r="CG136" i="37"/>
  <c r="CQ136" i="37"/>
  <c r="CR136" i="37"/>
  <c r="CS136" i="37"/>
  <c r="CT136" i="37"/>
  <c r="CU136" i="37"/>
  <c r="CV136" i="37"/>
  <c r="AG137" i="37"/>
  <c r="AH137" i="37"/>
  <c r="AI137" i="37"/>
  <c r="AJ137" i="37"/>
  <c r="AK137" i="37"/>
  <c r="CN137" i="37" s="1"/>
  <c r="AU137" i="37"/>
  <c r="AV137" i="37"/>
  <c r="AW137" i="37"/>
  <c r="AX137" i="37"/>
  <c r="AY137" i="37"/>
  <c r="AZ137" i="37"/>
  <c r="BM137" i="37"/>
  <c r="BN137" i="37"/>
  <c r="BO137" i="37"/>
  <c r="BP137" i="37"/>
  <c r="BQ137" i="37"/>
  <c r="BR137" i="37"/>
  <c r="CB137" i="37"/>
  <c r="CC137" i="37"/>
  <c r="CD137" i="37"/>
  <c r="CE137" i="37"/>
  <c r="CF137" i="37"/>
  <c r="CG137" i="37"/>
  <c r="CQ137" i="37"/>
  <c r="CR137" i="37"/>
  <c r="CS137" i="37"/>
  <c r="CT137" i="37"/>
  <c r="CU137" i="37"/>
  <c r="CV137" i="37"/>
  <c r="AG138" i="37"/>
  <c r="AH138" i="37"/>
  <c r="AI138" i="37"/>
  <c r="AJ138" i="37"/>
  <c r="AK138" i="37"/>
  <c r="AU138" i="37"/>
  <c r="AV138" i="37"/>
  <c r="AW138" i="37"/>
  <c r="AX138" i="37"/>
  <c r="AY138" i="37"/>
  <c r="AZ138" i="37"/>
  <c r="BM138" i="37"/>
  <c r="BN138" i="37"/>
  <c r="BO138" i="37"/>
  <c r="BP138" i="37"/>
  <c r="BQ138" i="37"/>
  <c r="BR138" i="37"/>
  <c r="CB138" i="37"/>
  <c r="CC138" i="37"/>
  <c r="CD138" i="37"/>
  <c r="CE138" i="37"/>
  <c r="CF138" i="37"/>
  <c r="CG138" i="37"/>
  <c r="CQ138" i="37"/>
  <c r="CR138" i="37"/>
  <c r="CS138" i="37"/>
  <c r="CT138" i="37"/>
  <c r="CU138" i="37"/>
  <c r="CV138" i="37"/>
  <c r="AG139" i="37"/>
  <c r="AH139" i="37"/>
  <c r="AI139" i="37"/>
  <c r="AJ139" i="37"/>
  <c r="AK139" i="37"/>
  <c r="AP139" i="37" s="1"/>
  <c r="AU139" i="37"/>
  <c r="AV139" i="37"/>
  <c r="AW139" i="37"/>
  <c r="AX139" i="37"/>
  <c r="AY139" i="37"/>
  <c r="AZ139" i="37"/>
  <c r="BM139" i="37"/>
  <c r="BN139" i="37"/>
  <c r="BO139" i="37"/>
  <c r="BP139" i="37"/>
  <c r="BQ139" i="37"/>
  <c r="BR139" i="37"/>
  <c r="CB139" i="37"/>
  <c r="CC139" i="37"/>
  <c r="CD139" i="37"/>
  <c r="CE139" i="37"/>
  <c r="CF139" i="37"/>
  <c r="CG139" i="37"/>
  <c r="CQ139" i="37"/>
  <c r="CR139" i="37"/>
  <c r="CS139" i="37"/>
  <c r="CT139" i="37"/>
  <c r="CU139" i="37"/>
  <c r="CV139" i="37"/>
  <c r="AG140" i="37"/>
  <c r="AH140" i="37"/>
  <c r="AI140" i="37"/>
  <c r="AJ140" i="37"/>
  <c r="AK140" i="37"/>
  <c r="AO140" i="37" s="1"/>
  <c r="AU140" i="37"/>
  <c r="AV140" i="37"/>
  <c r="AW140" i="37"/>
  <c r="AX140" i="37"/>
  <c r="AY140" i="37"/>
  <c r="AZ140" i="37"/>
  <c r="BM140" i="37"/>
  <c r="BN140" i="37"/>
  <c r="BO140" i="37"/>
  <c r="BP140" i="37"/>
  <c r="BQ140" i="37"/>
  <c r="BR140" i="37"/>
  <c r="CB140" i="37"/>
  <c r="CC140" i="37"/>
  <c r="CD140" i="37"/>
  <c r="CE140" i="37"/>
  <c r="CF140" i="37"/>
  <c r="CG140" i="37"/>
  <c r="CQ140" i="37"/>
  <c r="CR140" i="37"/>
  <c r="CS140" i="37"/>
  <c r="CT140" i="37"/>
  <c r="CU140" i="37"/>
  <c r="CV140" i="37"/>
  <c r="AG141" i="37"/>
  <c r="AH141" i="37"/>
  <c r="AI141" i="37"/>
  <c r="AJ141" i="37"/>
  <c r="AK141" i="37"/>
  <c r="CN141" i="37" s="1"/>
  <c r="AU141" i="37"/>
  <c r="AV141" i="37"/>
  <c r="AW141" i="37"/>
  <c r="AX141" i="37"/>
  <c r="AY141" i="37"/>
  <c r="AZ141" i="37"/>
  <c r="BM141" i="37"/>
  <c r="BN141" i="37"/>
  <c r="BO141" i="37"/>
  <c r="BP141" i="37"/>
  <c r="BQ141" i="37"/>
  <c r="BR141" i="37"/>
  <c r="CB141" i="37"/>
  <c r="CC141" i="37"/>
  <c r="CD141" i="37"/>
  <c r="CE141" i="37"/>
  <c r="CF141" i="37"/>
  <c r="CG141" i="37"/>
  <c r="CQ141" i="37"/>
  <c r="CR141" i="37"/>
  <c r="CS141" i="37"/>
  <c r="CT141" i="37"/>
  <c r="CU141" i="37"/>
  <c r="CV141" i="37"/>
  <c r="AG142" i="37"/>
  <c r="AH142" i="37"/>
  <c r="AI142" i="37"/>
  <c r="AJ142" i="37"/>
  <c r="AK142" i="37"/>
  <c r="AO142" i="37" s="1"/>
  <c r="AU142" i="37"/>
  <c r="AV142" i="37"/>
  <c r="AW142" i="37"/>
  <c r="AX142" i="37"/>
  <c r="AY142" i="37"/>
  <c r="AZ142" i="37"/>
  <c r="BD142" i="37"/>
  <c r="BM142" i="37"/>
  <c r="BN142" i="37"/>
  <c r="BO142" i="37"/>
  <c r="BP142" i="37"/>
  <c r="BQ142" i="37"/>
  <c r="BR142" i="37"/>
  <c r="CB142" i="37"/>
  <c r="CC142" i="37"/>
  <c r="CD142" i="37"/>
  <c r="CE142" i="37"/>
  <c r="CF142" i="37"/>
  <c r="CG142" i="37"/>
  <c r="CQ142" i="37"/>
  <c r="CR142" i="37"/>
  <c r="CS142" i="37"/>
  <c r="CT142" i="37"/>
  <c r="CU142" i="37"/>
  <c r="CV142" i="37"/>
  <c r="AG143" i="37"/>
  <c r="AH143" i="37"/>
  <c r="AI143" i="37"/>
  <c r="AJ143" i="37"/>
  <c r="AK143" i="37"/>
  <c r="AN143" i="37" s="1"/>
  <c r="AU143" i="37"/>
  <c r="AV143" i="37"/>
  <c r="AW143" i="37"/>
  <c r="AX143" i="37"/>
  <c r="AY143" i="37"/>
  <c r="AZ143" i="37"/>
  <c r="BM143" i="37"/>
  <c r="BN143" i="37"/>
  <c r="BO143" i="37"/>
  <c r="BP143" i="37"/>
  <c r="BQ143" i="37"/>
  <c r="BR143" i="37"/>
  <c r="CB143" i="37"/>
  <c r="CC143" i="37"/>
  <c r="CD143" i="37"/>
  <c r="CE143" i="37"/>
  <c r="CF143" i="37"/>
  <c r="CG143" i="37"/>
  <c r="CQ143" i="37"/>
  <c r="CR143" i="37"/>
  <c r="CS143" i="37"/>
  <c r="CT143" i="37"/>
  <c r="CU143" i="37"/>
  <c r="CV143" i="37"/>
  <c r="AG144" i="37"/>
  <c r="AH144" i="37"/>
  <c r="AI144" i="37"/>
  <c r="AJ144" i="37"/>
  <c r="AK144" i="37"/>
  <c r="AU144" i="37"/>
  <c r="AV144" i="37"/>
  <c r="AW144" i="37"/>
  <c r="AX144" i="37"/>
  <c r="AY144" i="37"/>
  <c r="AZ144" i="37"/>
  <c r="BM144" i="37"/>
  <c r="BN144" i="37"/>
  <c r="BO144" i="37"/>
  <c r="BP144" i="37"/>
  <c r="BQ144" i="37"/>
  <c r="BR144" i="37"/>
  <c r="CB144" i="37"/>
  <c r="CC144" i="37"/>
  <c r="CD144" i="37"/>
  <c r="CE144" i="37"/>
  <c r="CF144" i="37"/>
  <c r="CG144" i="37"/>
  <c r="CQ144" i="37"/>
  <c r="CR144" i="37"/>
  <c r="CS144" i="37"/>
  <c r="CT144" i="37"/>
  <c r="CU144" i="37"/>
  <c r="CV144" i="37"/>
  <c r="AG145" i="37"/>
  <c r="AH145" i="37"/>
  <c r="AI145" i="37"/>
  <c r="AJ145" i="37"/>
  <c r="AK145" i="37"/>
  <c r="BI145" i="37" s="1"/>
  <c r="AU145" i="37"/>
  <c r="AV145" i="37"/>
  <c r="AW145" i="37"/>
  <c r="AX145" i="37"/>
  <c r="AY145" i="37"/>
  <c r="AZ145" i="37"/>
  <c r="BM145" i="37"/>
  <c r="BN145" i="37"/>
  <c r="BO145" i="37"/>
  <c r="BP145" i="37"/>
  <c r="BQ145" i="37"/>
  <c r="BR145" i="37"/>
  <c r="CB145" i="37"/>
  <c r="CC145" i="37"/>
  <c r="CD145" i="37"/>
  <c r="CE145" i="37"/>
  <c r="CF145" i="37"/>
  <c r="CG145" i="37"/>
  <c r="CQ145" i="37"/>
  <c r="CR145" i="37"/>
  <c r="CS145" i="37"/>
  <c r="CT145" i="37"/>
  <c r="CU145" i="37"/>
  <c r="CV145" i="37"/>
  <c r="AG146" i="37"/>
  <c r="AH146" i="37"/>
  <c r="AI146" i="37"/>
  <c r="AJ146" i="37"/>
  <c r="AK146" i="37"/>
  <c r="AN146" i="37" s="1"/>
  <c r="AU146" i="37"/>
  <c r="AV146" i="37"/>
  <c r="AW146" i="37"/>
  <c r="AX146" i="37"/>
  <c r="AY146" i="37"/>
  <c r="AZ146" i="37"/>
  <c r="BF146" i="37"/>
  <c r="BM146" i="37"/>
  <c r="BN146" i="37"/>
  <c r="BO146" i="37"/>
  <c r="BP146" i="37"/>
  <c r="BQ146" i="37"/>
  <c r="BR146" i="37"/>
  <c r="BU146" i="37"/>
  <c r="CB146" i="37"/>
  <c r="CC146" i="37"/>
  <c r="CD146" i="37"/>
  <c r="CE146" i="37"/>
  <c r="CF146" i="37"/>
  <c r="CG146" i="37"/>
  <c r="CQ146" i="37"/>
  <c r="CR146" i="37"/>
  <c r="CS146" i="37"/>
  <c r="CT146" i="37"/>
  <c r="CU146" i="37"/>
  <c r="CV146" i="37"/>
  <c r="AG147" i="37"/>
  <c r="AH147" i="37"/>
  <c r="AI147" i="37"/>
  <c r="AJ147" i="37"/>
  <c r="AK147" i="37"/>
  <c r="AL147" i="37" s="1"/>
  <c r="AU147" i="37"/>
  <c r="AV147" i="37"/>
  <c r="AW147" i="37"/>
  <c r="AX147" i="37"/>
  <c r="AY147" i="37"/>
  <c r="AZ147" i="37"/>
  <c r="BM147" i="37"/>
  <c r="BN147" i="37"/>
  <c r="BO147" i="37"/>
  <c r="BP147" i="37"/>
  <c r="BQ147" i="37"/>
  <c r="BR147" i="37"/>
  <c r="CB147" i="37"/>
  <c r="CC147" i="37"/>
  <c r="CD147" i="37"/>
  <c r="CE147" i="37"/>
  <c r="CF147" i="37"/>
  <c r="CG147" i="37"/>
  <c r="CQ147" i="37"/>
  <c r="CR147" i="37"/>
  <c r="CS147" i="37"/>
  <c r="CT147" i="37"/>
  <c r="CU147" i="37"/>
  <c r="CV147" i="37"/>
  <c r="AG148" i="37"/>
  <c r="AH148" i="37"/>
  <c r="AI148" i="37"/>
  <c r="AJ148" i="37"/>
  <c r="AK148" i="37"/>
  <c r="BZ148" i="37" s="1"/>
  <c r="AU148" i="37"/>
  <c r="AV148" i="37"/>
  <c r="AW148" i="37"/>
  <c r="AX148" i="37"/>
  <c r="AY148" i="37"/>
  <c r="AZ148" i="37"/>
  <c r="BM148" i="37"/>
  <c r="BN148" i="37"/>
  <c r="BO148" i="37"/>
  <c r="BP148" i="37"/>
  <c r="BQ148" i="37"/>
  <c r="BR148" i="37"/>
  <c r="CB148" i="37"/>
  <c r="CC148" i="37"/>
  <c r="CD148" i="37"/>
  <c r="CE148" i="37"/>
  <c r="CF148" i="37"/>
  <c r="CG148" i="37"/>
  <c r="CQ148" i="37"/>
  <c r="CR148" i="37"/>
  <c r="CS148" i="37"/>
  <c r="CT148" i="37"/>
  <c r="CU148" i="37"/>
  <c r="CV148" i="37"/>
  <c r="AG149" i="37"/>
  <c r="AH149" i="37"/>
  <c r="AI149" i="37"/>
  <c r="AJ149" i="37"/>
  <c r="AK149" i="37"/>
  <c r="AL149" i="37" s="1"/>
  <c r="AU149" i="37"/>
  <c r="AV149" i="37"/>
  <c r="AW149" i="37"/>
  <c r="AX149" i="37"/>
  <c r="AY149" i="37"/>
  <c r="AZ149" i="37"/>
  <c r="BM149" i="37"/>
  <c r="BN149" i="37"/>
  <c r="BO149" i="37"/>
  <c r="BP149" i="37"/>
  <c r="BQ149" i="37"/>
  <c r="BR149" i="37"/>
  <c r="CB149" i="37"/>
  <c r="CC149" i="37"/>
  <c r="CD149" i="37"/>
  <c r="CE149" i="37"/>
  <c r="CF149" i="37"/>
  <c r="CG149" i="37"/>
  <c r="CK149" i="37"/>
  <c r="CQ149" i="37"/>
  <c r="CR149" i="37"/>
  <c r="CS149" i="37"/>
  <c r="CT149" i="37"/>
  <c r="CU149" i="37"/>
  <c r="CV149" i="37"/>
  <c r="AG150" i="37"/>
  <c r="AH150" i="37"/>
  <c r="AI150" i="37"/>
  <c r="AJ150" i="37"/>
  <c r="AK150" i="37"/>
  <c r="AS150" i="37" s="1"/>
  <c r="AU150" i="37"/>
  <c r="AV150" i="37"/>
  <c r="AW150" i="37"/>
  <c r="AX150" i="37"/>
  <c r="AY150" i="37"/>
  <c r="AZ150" i="37"/>
  <c r="BM150" i="37"/>
  <c r="BN150" i="37"/>
  <c r="BO150" i="37"/>
  <c r="BP150" i="37"/>
  <c r="BQ150" i="37"/>
  <c r="BR150" i="37"/>
  <c r="CB150" i="37"/>
  <c r="CC150" i="37"/>
  <c r="CD150" i="37"/>
  <c r="CE150" i="37"/>
  <c r="CF150" i="37"/>
  <c r="CG150" i="37"/>
  <c r="CQ150" i="37"/>
  <c r="CR150" i="37"/>
  <c r="CS150" i="37"/>
  <c r="CT150" i="37"/>
  <c r="CU150" i="37"/>
  <c r="CV150" i="37"/>
  <c r="AG151" i="37"/>
  <c r="AH151" i="37"/>
  <c r="AI151" i="37"/>
  <c r="AJ151" i="37"/>
  <c r="AK151" i="37"/>
  <c r="AU151" i="37"/>
  <c r="AV151" i="37"/>
  <c r="AW151" i="37"/>
  <c r="AX151" i="37"/>
  <c r="AY151" i="37"/>
  <c r="AZ151" i="37"/>
  <c r="BM151" i="37"/>
  <c r="BN151" i="37"/>
  <c r="BO151" i="37"/>
  <c r="BP151" i="37"/>
  <c r="BQ151" i="37"/>
  <c r="BR151" i="37"/>
  <c r="CB151" i="37"/>
  <c r="CC151" i="37"/>
  <c r="CD151" i="37"/>
  <c r="CE151" i="37"/>
  <c r="CF151" i="37"/>
  <c r="CG151" i="37"/>
  <c r="CQ151" i="37"/>
  <c r="CR151" i="37"/>
  <c r="CS151" i="37"/>
  <c r="CT151" i="37"/>
  <c r="CU151" i="37"/>
  <c r="CV151" i="37"/>
  <c r="AG152" i="37"/>
  <c r="AH152" i="37"/>
  <c r="AI152" i="37"/>
  <c r="AJ152" i="37"/>
  <c r="AK152" i="37"/>
  <c r="AL152" i="37" s="1"/>
  <c r="AU152" i="37"/>
  <c r="AV152" i="37"/>
  <c r="AW152" i="37"/>
  <c r="AX152" i="37"/>
  <c r="AY152" i="37"/>
  <c r="AZ152" i="37"/>
  <c r="BH152" i="37"/>
  <c r="BM152" i="37"/>
  <c r="BN152" i="37"/>
  <c r="BO152" i="37"/>
  <c r="BP152" i="37"/>
  <c r="BQ152" i="37"/>
  <c r="BR152" i="37"/>
  <c r="CB152" i="37"/>
  <c r="CC152" i="37"/>
  <c r="CD152" i="37"/>
  <c r="CE152" i="37"/>
  <c r="CF152" i="37"/>
  <c r="CG152" i="37"/>
  <c r="CQ152" i="37"/>
  <c r="CR152" i="37"/>
  <c r="CS152" i="37"/>
  <c r="CT152" i="37"/>
  <c r="CU152" i="37"/>
  <c r="CV152" i="37"/>
  <c r="AG109" i="37"/>
  <c r="AH109" i="37"/>
  <c r="AI109" i="37"/>
  <c r="AJ109" i="37"/>
  <c r="AK109" i="37"/>
  <c r="AL109" i="37" s="1"/>
  <c r="AU109" i="37"/>
  <c r="AV109" i="37"/>
  <c r="AW109" i="37"/>
  <c r="AX109" i="37"/>
  <c r="AY109" i="37"/>
  <c r="AZ109" i="37"/>
  <c r="BM109" i="37"/>
  <c r="BN109" i="37"/>
  <c r="BO109" i="37"/>
  <c r="BP109" i="37"/>
  <c r="BQ109" i="37"/>
  <c r="BR109" i="37"/>
  <c r="CB109" i="37"/>
  <c r="CC109" i="37"/>
  <c r="CD109" i="37"/>
  <c r="CE109" i="37"/>
  <c r="CF109" i="37"/>
  <c r="CG109" i="37"/>
  <c r="CQ109" i="37"/>
  <c r="CR109" i="37"/>
  <c r="CS109" i="37"/>
  <c r="CT109" i="37"/>
  <c r="CU109" i="37"/>
  <c r="CV109" i="37"/>
  <c r="AG110" i="37"/>
  <c r="AH110" i="37"/>
  <c r="AI110" i="37"/>
  <c r="AJ110" i="37"/>
  <c r="AK110" i="37"/>
  <c r="AL110" i="37" s="1"/>
  <c r="AU110" i="37"/>
  <c r="AV110" i="37"/>
  <c r="AW110" i="37"/>
  <c r="AX110" i="37"/>
  <c r="AY110" i="37"/>
  <c r="AZ110" i="37"/>
  <c r="BM110" i="37"/>
  <c r="BN110" i="37"/>
  <c r="BO110" i="37"/>
  <c r="BP110" i="37"/>
  <c r="BQ110" i="37"/>
  <c r="BR110" i="37"/>
  <c r="CB110" i="37"/>
  <c r="CC110" i="37"/>
  <c r="CD110" i="37"/>
  <c r="CE110" i="37"/>
  <c r="CF110" i="37"/>
  <c r="CG110" i="37"/>
  <c r="CI110" i="37"/>
  <c r="CQ110" i="37"/>
  <c r="CR110" i="37"/>
  <c r="CS110" i="37"/>
  <c r="CT110" i="37"/>
  <c r="CU110" i="37"/>
  <c r="CV110" i="37"/>
  <c r="AG111" i="37"/>
  <c r="AH111" i="37"/>
  <c r="AI111" i="37"/>
  <c r="AJ111" i="37"/>
  <c r="AK111" i="37"/>
  <c r="AN111" i="37" s="1"/>
  <c r="AU111" i="37"/>
  <c r="AV111" i="37"/>
  <c r="AW111" i="37"/>
  <c r="AX111" i="37"/>
  <c r="AY111" i="37"/>
  <c r="AZ111" i="37"/>
  <c r="BM111" i="37"/>
  <c r="BN111" i="37"/>
  <c r="BO111" i="37"/>
  <c r="BP111" i="37"/>
  <c r="BQ111" i="37"/>
  <c r="BR111" i="37"/>
  <c r="CB111" i="37"/>
  <c r="CC111" i="37"/>
  <c r="CD111" i="37"/>
  <c r="CE111" i="37"/>
  <c r="CF111" i="37"/>
  <c r="CG111" i="37"/>
  <c r="CQ111" i="37"/>
  <c r="CR111" i="37"/>
  <c r="CS111" i="37"/>
  <c r="CT111" i="37"/>
  <c r="CU111" i="37"/>
  <c r="CV111" i="37"/>
  <c r="AG112" i="37"/>
  <c r="AH112" i="37"/>
  <c r="AI112" i="37"/>
  <c r="AJ112" i="37"/>
  <c r="AK112" i="37"/>
  <c r="AR112" i="37" s="1"/>
  <c r="AU112" i="37"/>
  <c r="AV112" i="37"/>
  <c r="AW112" i="37"/>
  <c r="AX112" i="37"/>
  <c r="AY112" i="37"/>
  <c r="AZ112" i="37"/>
  <c r="BM112" i="37"/>
  <c r="BN112" i="37"/>
  <c r="BO112" i="37"/>
  <c r="BP112" i="37"/>
  <c r="BQ112" i="37"/>
  <c r="BR112" i="37"/>
  <c r="CB112" i="37"/>
  <c r="CC112" i="37"/>
  <c r="CD112" i="37"/>
  <c r="CE112" i="37"/>
  <c r="CF112" i="37"/>
  <c r="CG112" i="37"/>
  <c r="CQ112" i="37"/>
  <c r="CR112" i="37"/>
  <c r="CS112" i="37"/>
  <c r="CT112" i="37"/>
  <c r="CU112" i="37"/>
  <c r="CV112" i="37"/>
  <c r="AG113" i="37"/>
  <c r="AH113" i="37"/>
  <c r="AI113" i="37"/>
  <c r="AJ113" i="37"/>
  <c r="AK113" i="37"/>
  <c r="AL113" i="37" s="1"/>
  <c r="AU113" i="37"/>
  <c r="AV113" i="37"/>
  <c r="AW113" i="37"/>
  <c r="AX113" i="37"/>
  <c r="AY113" i="37"/>
  <c r="AZ113" i="37"/>
  <c r="BM113" i="37"/>
  <c r="BN113" i="37"/>
  <c r="BO113" i="37"/>
  <c r="BP113" i="37"/>
  <c r="BQ113" i="37"/>
  <c r="BR113" i="37"/>
  <c r="CB113" i="37"/>
  <c r="CC113" i="37"/>
  <c r="CD113" i="37"/>
  <c r="CE113" i="37"/>
  <c r="CF113" i="37"/>
  <c r="CG113" i="37"/>
  <c r="CQ113" i="37"/>
  <c r="CR113" i="37"/>
  <c r="CS113" i="37"/>
  <c r="CT113" i="37"/>
  <c r="CU113" i="37"/>
  <c r="CV113" i="37"/>
  <c r="AG114" i="37"/>
  <c r="AH114" i="37"/>
  <c r="AI114" i="37"/>
  <c r="AJ114" i="37"/>
  <c r="AK114" i="37"/>
  <c r="CO114" i="37" s="1"/>
  <c r="AU114" i="37"/>
  <c r="AV114" i="37"/>
  <c r="AW114" i="37"/>
  <c r="AX114" i="37"/>
  <c r="AY114" i="37"/>
  <c r="AZ114" i="37"/>
  <c r="BM114" i="37"/>
  <c r="BN114" i="37"/>
  <c r="BO114" i="37"/>
  <c r="BP114" i="37"/>
  <c r="BQ114" i="37"/>
  <c r="BR114" i="37"/>
  <c r="CB114" i="37"/>
  <c r="CC114" i="37"/>
  <c r="CD114" i="37"/>
  <c r="CE114" i="37"/>
  <c r="CF114" i="37"/>
  <c r="CG114" i="37"/>
  <c r="CQ114" i="37"/>
  <c r="CR114" i="37"/>
  <c r="CS114" i="37"/>
  <c r="CT114" i="37"/>
  <c r="CU114" i="37"/>
  <c r="CV114" i="37"/>
  <c r="AG115" i="37"/>
  <c r="AH115" i="37"/>
  <c r="AI115" i="37"/>
  <c r="AJ115" i="37"/>
  <c r="AK115" i="37"/>
  <c r="AS115" i="37" s="1"/>
  <c r="AU115" i="37"/>
  <c r="AV115" i="37"/>
  <c r="AW115" i="37"/>
  <c r="AX115" i="37"/>
  <c r="AY115" i="37"/>
  <c r="AZ115" i="37"/>
  <c r="BM115" i="37"/>
  <c r="BN115" i="37"/>
  <c r="BO115" i="37"/>
  <c r="BP115" i="37"/>
  <c r="BQ115" i="37"/>
  <c r="BR115" i="37"/>
  <c r="CB115" i="37"/>
  <c r="CC115" i="37"/>
  <c r="CD115" i="37"/>
  <c r="CE115" i="37"/>
  <c r="CF115" i="37"/>
  <c r="CG115" i="37"/>
  <c r="CQ115" i="37"/>
  <c r="CR115" i="37"/>
  <c r="CS115" i="37"/>
  <c r="CT115" i="37"/>
  <c r="CU115" i="37"/>
  <c r="CV115" i="37"/>
  <c r="AG116" i="37"/>
  <c r="AH116" i="37"/>
  <c r="AI116" i="37"/>
  <c r="AJ116" i="37"/>
  <c r="AK116" i="37"/>
  <c r="AU116" i="37"/>
  <c r="AV116" i="37"/>
  <c r="AW116" i="37"/>
  <c r="AX116" i="37"/>
  <c r="AY116" i="37"/>
  <c r="AZ116" i="37"/>
  <c r="BM116" i="37"/>
  <c r="BN116" i="37"/>
  <c r="BO116" i="37"/>
  <c r="BP116" i="37"/>
  <c r="BQ116" i="37"/>
  <c r="BR116" i="37"/>
  <c r="CB116" i="37"/>
  <c r="CC116" i="37"/>
  <c r="CD116" i="37"/>
  <c r="CE116" i="37"/>
  <c r="CF116" i="37"/>
  <c r="CG116" i="37"/>
  <c r="CQ116" i="37"/>
  <c r="CR116" i="37"/>
  <c r="CS116" i="37"/>
  <c r="CT116" i="37"/>
  <c r="CU116" i="37"/>
  <c r="CV116" i="37"/>
  <c r="AG117" i="37"/>
  <c r="AH117" i="37"/>
  <c r="AI117" i="37"/>
  <c r="AJ117" i="37"/>
  <c r="AK117" i="37"/>
  <c r="AO117" i="37" s="1"/>
  <c r="AU117" i="37"/>
  <c r="AV117" i="37"/>
  <c r="AW117" i="37"/>
  <c r="AX117" i="37"/>
  <c r="AY117" i="37"/>
  <c r="AZ117" i="37"/>
  <c r="BM117" i="37"/>
  <c r="BN117" i="37"/>
  <c r="BO117" i="37"/>
  <c r="BP117" i="37"/>
  <c r="BQ117" i="37"/>
  <c r="BR117" i="37"/>
  <c r="CB117" i="37"/>
  <c r="CC117" i="37"/>
  <c r="CD117" i="37"/>
  <c r="CE117" i="37"/>
  <c r="CF117" i="37"/>
  <c r="CG117" i="37"/>
  <c r="CQ117" i="37"/>
  <c r="CR117" i="37"/>
  <c r="CS117" i="37"/>
  <c r="CT117" i="37"/>
  <c r="CU117" i="37"/>
  <c r="CV117" i="37"/>
  <c r="AG118" i="37"/>
  <c r="AH118" i="37"/>
  <c r="AI118" i="37"/>
  <c r="AJ118" i="37"/>
  <c r="AK118" i="37"/>
  <c r="CL118" i="37" s="1"/>
  <c r="AU118" i="37"/>
  <c r="AV118" i="37"/>
  <c r="AW118" i="37"/>
  <c r="AX118" i="37"/>
  <c r="AY118" i="37"/>
  <c r="AZ118" i="37"/>
  <c r="BM118" i="37"/>
  <c r="BN118" i="37"/>
  <c r="BO118" i="37"/>
  <c r="BP118" i="37"/>
  <c r="BQ118" i="37"/>
  <c r="BR118" i="37"/>
  <c r="CB118" i="37"/>
  <c r="CC118" i="37"/>
  <c r="CD118" i="37"/>
  <c r="CE118" i="37"/>
  <c r="CF118" i="37"/>
  <c r="CG118" i="37"/>
  <c r="CQ118" i="37"/>
  <c r="CR118" i="37"/>
  <c r="CS118" i="37"/>
  <c r="CT118" i="37"/>
  <c r="CU118" i="37"/>
  <c r="CV118" i="37"/>
  <c r="AG119" i="37"/>
  <c r="AH119" i="37"/>
  <c r="AI119" i="37"/>
  <c r="AJ119" i="37"/>
  <c r="AK119" i="37"/>
  <c r="AL119" i="37" s="1"/>
  <c r="AU119" i="37"/>
  <c r="AV119" i="37"/>
  <c r="AW119" i="37"/>
  <c r="AX119" i="37"/>
  <c r="AY119" i="37"/>
  <c r="AZ119" i="37"/>
  <c r="BM119" i="37"/>
  <c r="BN119" i="37"/>
  <c r="BO119" i="37"/>
  <c r="BP119" i="37"/>
  <c r="BQ119" i="37"/>
  <c r="BR119" i="37"/>
  <c r="CB119" i="37"/>
  <c r="CC119" i="37"/>
  <c r="CD119" i="37"/>
  <c r="CE119" i="37"/>
  <c r="CF119" i="37"/>
  <c r="CG119" i="37"/>
  <c r="CQ119" i="37"/>
  <c r="CR119" i="37"/>
  <c r="CS119" i="37"/>
  <c r="CT119" i="37"/>
  <c r="CU119" i="37"/>
  <c r="CV119" i="37"/>
  <c r="AG120" i="37"/>
  <c r="AH120" i="37"/>
  <c r="AI120" i="37"/>
  <c r="AJ120" i="37"/>
  <c r="AK120" i="37"/>
  <c r="AN120" i="37" s="1"/>
  <c r="AU120" i="37"/>
  <c r="AV120" i="37"/>
  <c r="AW120" i="37"/>
  <c r="AX120" i="37"/>
  <c r="AY120" i="37"/>
  <c r="AZ120" i="37"/>
  <c r="BM120" i="37"/>
  <c r="BN120" i="37"/>
  <c r="BO120" i="37"/>
  <c r="BP120" i="37"/>
  <c r="BQ120" i="37"/>
  <c r="BR120" i="37"/>
  <c r="CB120" i="37"/>
  <c r="CC120" i="37"/>
  <c r="CD120" i="37"/>
  <c r="CE120" i="37"/>
  <c r="CF120" i="37"/>
  <c r="CG120" i="37"/>
  <c r="CQ120" i="37"/>
  <c r="CR120" i="37"/>
  <c r="CS120" i="37"/>
  <c r="CT120" i="37"/>
  <c r="CU120" i="37"/>
  <c r="CV120" i="37"/>
  <c r="AG121" i="37"/>
  <c r="AH121" i="37"/>
  <c r="AI121" i="37"/>
  <c r="AJ121" i="37"/>
  <c r="AK121" i="37"/>
  <c r="AL121" i="37" s="1"/>
  <c r="AU121" i="37"/>
  <c r="AV121" i="37"/>
  <c r="AW121" i="37"/>
  <c r="AX121" i="37"/>
  <c r="AY121" i="37"/>
  <c r="AZ121" i="37"/>
  <c r="BM121" i="37"/>
  <c r="BN121" i="37"/>
  <c r="BO121" i="37"/>
  <c r="BP121" i="37"/>
  <c r="BQ121" i="37"/>
  <c r="BR121" i="37"/>
  <c r="CB121" i="37"/>
  <c r="CC121" i="37"/>
  <c r="CD121" i="37"/>
  <c r="CE121" i="37"/>
  <c r="CF121" i="37"/>
  <c r="CG121" i="37"/>
  <c r="CL121" i="37"/>
  <c r="CQ121" i="37"/>
  <c r="CR121" i="37"/>
  <c r="CS121" i="37"/>
  <c r="CT121" i="37"/>
  <c r="CU121" i="37"/>
  <c r="CV121" i="37"/>
  <c r="AG122" i="37"/>
  <c r="AH122" i="37"/>
  <c r="AI122" i="37"/>
  <c r="AJ122" i="37"/>
  <c r="AK122" i="37"/>
  <c r="AU122" i="37"/>
  <c r="AV122" i="37"/>
  <c r="AW122" i="37"/>
  <c r="AX122" i="37"/>
  <c r="AY122" i="37"/>
  <c r="AZ122" i="37"/>
  <c r="BM122" i="37"/>
  <c r="BN122" i="37"/>
  <c r="BO122" i="37"/>
  <c r="BP122" i="37"/>
  <c r="BQ122" i="37"/>
  <c r="BR122" i="37"/>
  <c r="CB122" i="37"/>
  <c r="CC122" i="37"/>
  <c r="CD122" i="37"/>
  <c r="CE122" i="37"/>
  <c r="CF122" i="37"/>
  <c r="CG122" i="37"/>
  <c r="CQ122" i="37"/>
  <c r="CR122" i="37"/>
  <c r="CS122" i="37"/>
  <c r="CT122" i="37"/>
  <c r="CU122" i="37"/>
  <c r="CV122" i="37"/>
  <c r="AG123" i="37"/>
  <c r="AH123" i="37"/>
  <c r="AI123" i="37"/>
  <c r="AJ123" i="37"/>
  <c r="AK123" i="37"/>
  <c r="AU123" i="37"/>
  <c r="AV123" i="37"/>
  <c r="AW123" i="37"/>
  <c r="AX123" i="37"/>
  <c r="AY123" i="37"/>
  <c r="AZ123" i="37"/>
  <c r="BM123" i="37"/>
  <c r="BN123" i="37"/>
  <c r="BO123" i="37"/>
  <c r="BP123" i="37"/>
  <c r="BQ123" i="37"/>
  <c r="BR123" i="37"/>
  <c r="CB123" i="37"/>
  <c r="CC123" i="37"/>
  <c r="CD123" i="37"/>
  <c r="CE123" i="37"/>
  <c r="CF123" i="37"/>
  <c r="CG123" i="37"/>
  <c r="CQ123" i="37"/>
  <c r="CR123" i="37"/>
  <c r="CS123" i="37"/>
  <c r="CT123" i="37"/>
  <c r="CU123" i="37"/>
  <c r="CV123" i="37"/>
  <c r="AG124" i="37"/>
  <c r="AH124" i="37"/>
  <c r="AI124" i="37"/>
  <c r="AJ124" i="37"/>
  <c r="AK124" i="37"/>
  <c r="AU124" i="37"/>
  <c r="AV124" i="37"/>
  <c r="AW124" i="37"/>
  <c r="AX124" i="37"/>
  <c r="AY124" i="37"/>
  <c r="AZ124" i="37"/>
  <c r="BM124" i="37"/>
  <c r="BN124" i="37"/>
  <c r="BO124" i="37"/>
  <c r="BP124" i="37"/>
  <c r="BQ124" i="37"/>
  <c r="BR124" i="37"/>
  <c r="CB124" i="37"/>
  <c r="CC124" i="37"/>
  <c r="CD124" i="37"/>
  <c r="CE124" i="37"/>
  <c r="CF124" i="37"/>
  <c r="CG124" i="37"/>
  <c r="CQ124" i="37"/>
  <c r="CR124" i="37"/>
  <c r="CS124" i="37"/>
  <c r="CT124" i="37"/>
  <c r="CU124" i="37"/>
  <c r="CV124" i="37"/>
  <c r="AG125" i="37"/>
  <c r="AH125" i="37"/>
  <c r="AI125" i="37"/>
  <c r="AJ125" i="37"/>
  <c r="AK125" i="37"/>
  <c r="BK125" i="37" s="1"/>
  <c r="AU125" i="37"/>
  <c r="AV125" i="37"/>
  <c r="AW125" i="37"/>
  <c r="AX125" i="37"/>
  <c r="AY125" i="37"/>
  <c r="AZ125" i="37"/>
  <c r="BM125" i="37"/>
  <c r="BN125" i="37"/>
  <c r="BO125" i="37"/>
  <c r="BP125" i="37"/>
  <c r="BQ125" i="37"/>
  <c r="BR125" i="37"/>
  <c r="CB125" i="37"/>
  <c r="CC125" i="37"/>
  <c r="CD125" i="37"/>
  <c r="CE125" i="37"/>
  <c r="CF125" i="37"/>
  <c r="CG125" i="37"/>
  <c r="CQ125" i="37"/>
  <c r="CR125" i="37"/>
  <c r="CS125" i="37"/>
  <c r="CT125" i="37"/>
  <c r="CU125" i="37"/>
  <c r="CV125" i="37"/>
  <c r="AG126" i="37"/>
  <c r="AH126" i="37"/>
  <c r="AI126" i="37"/>
  <c r="AJ126" i="37"/>
  <c r="AK126" i="37"/>
  <c r="BA126" i="37" s="1"/>
  <c r="AU126" i="37"/>
  <c r="AV126" i="37"/>
  <c r="AW126" i="37"/>
  <c r="AX126" i="37"/>
  <c r="AY126" i="37"/>
  <c r="AZ126" i="37"/>
  <c r="BM126" i="37"/>
  <c r="BN126" i="37"/>
  <c r="BO126" i="37"/>
  <c r="BP126" i="37"/>
  <c r="BQ126" i="37"/>
  <c r="BR126" i="37"/>
  <c r="CB126" i="37"/>
  <c r="CC126" i="37"/>
  <c r="CD126" i="37"/>
  <c r="CE126" i="37"/>
  <c r="CF126" i="37"/>
  <c r="CG126" i="37"/>
  <c r="CQ126" i="37"/>
  <c r="CR126" i="37"/>
  <c r="CS126" i="37"/>
  <c r="CT126" i="37"/>
  <c r="CU126" i="37"/>
  <c r="CV126" i="37"/>
  <c r="AG127" i="37"/>
  <c r="AH127" i="37"/>
  <c r="AI127" i="37"/>
  <c r="AJ127" i="37"/>
  <c r="AK127" i="37"/>
  <c r="AU127" i="37"/>
  <c r="AV127" i="37"/>
  <c r="AW127" i="37"/>
  <c r="AX127" i="37"/>
  <c r="AY127" i="37"/>
  <c r="AZ127" i="37"/>
  <c r="BM127" i="37"/>
  <c r="BN127" i="37"/>
  <c r="BO127" i="37"/>
  <c r="BP127" i="37"/>
  <c r="BQ127" i="37"/>
  <c r="BR127" i="37"/>
  <c r="CB127" i="37"/>
  <c r="CC127" i="37"/>
  <c r="CD127" i="37"/>
  <c r="CE127" i="37"/>
  <c r="CF127" i="37"/>
  <c r="CG127" i="37"/>
  <c r="CQ127" i="37"/>
  <c r="CR127" i="37"/>
  <c r="CS127" i="37"/>
  <c r="CT127" i="37"/>
  <c r="CU127" i="37"/>
  <c r="CV127" i="37"/>
  <c r="AG128" i="37"/>
  <c r="AH128" i="37"/>
  <c r="AI128" i="37"/>
  <c r="AJ128" i="37"/>
  <c r="AK128" i="37"/>
  <c r="AU128" i="37"/>
  <c r="AV128" i="37"/>
  <c r="AW128" i="37"/>
  <c r="AX128" i="37"/>
  <c r="AY128" i="37"/>
  <c r="AZ128" i="37"/>
  <c r="BM128" i="37"/>
  <c r="BN128" i="37"/>
  <c r="BO128" i="37"/>
  <c r="BP128" i="37"/>
  <c r="BQ128" i="37"/>
  <c r="BR128" i="37"/>
  <c r="CB128" i="37"/>
  <c r="CC128" i="37"/>
  <c r="CD128" i="37"/>
  <c r="CE128" i="37"/>
  <c r="CF128" i="37"/>
  <c r="CG128" i="37"/>
  <c r="CQ128" i="37"/>
  <c r="CR128" i="37"/>
  <c r="CS128" i="37"/>
  <c r="CT128" i="37"/>
  <c r="CU128" i="37"/>
  <c r="CV128" i="37"/>
  <c r="AG129" i="37"/>
  <c r="AH129" i="37"/>
  <c r="AI129" i="37"/>
  <c r="AJ129" i="37"/>
  <c r="AK129" i="37"/>
  <c r="BE129" i="37" s="1"/>
  <c r="AU129" i="37"/>
  <c r="AV129" i="37"/>
  <c r="AW129" i="37"/>
  <c r="AX129" i="37"/>
  <c r="AY129" i="37"/>
  <c r="AZ129" i="37"/>
  <c r="BM129" i="37"/>
  <c r="BN129" i="37"/>
  <c r="BO129" i="37"/>
  <c r="BP129" i="37"/>
  <c r="BQ129" i="37"/>
  <c r="BR129" i="37"/>
  <c r="CB129" i="37"/>
  <c r="CC129" i="37"/>
  <c r="CD129" i="37"/>
  <c r="CE129" i="37"/>
  <c r="CF129" i="37"/>
  <c r="CG129" i="37"/>
  <c r="CQ129" i="37"/>
  <c r="CR129" i="37"/>
  <c r="CS129" i="37"/>
  <c r="CT129" i="37"/>
  <c r="CU129" i="37"/>
  <c r="CV129" i="37"/>
  <c r="AG86" i="37"/>
  <c r="AH86" i="37"/>
  <c r="AI86" i="37"/>
  <c r="AJ86" i="37"/>
  <c r="AK86" i="37"/>
  <c r="BE86" i="37" s="1"/>
  <c r="AU86" i="37"/>
  <c r="AV86" i="37"/>
  <c r="AW86" i="37"/>
  <c r="AX86" i="37"/>
  <c r="AY86" i="37"/>
  <c r="AZ86" i="37"/>
  <c r="BM86" i="37"/>
  <c r="BN86" i="37"/>
  <c r="BO86" i="37"/>
  <c r="BP86" i="37"/>
  <c r="BQ86" i="37"/>
  <c r="BR86" i="37"/>
  <c r="CB86" i="37"/>
  <c r="CC86" i="37"/>
  <c r="CD86" i="37"/>
  <c r="CE86" i="37"/>
  <c r="CF86" i="37"/>
  <c r="CG86" i="37"/>
  <c r="CQ86" i="37"/>
  <c r="CR86" i="37"/>
  <c r="CS86" i="37"/>
  <c r="CT86" i="37"/>
  <c r="CU86" i="37"/>
  <c r="CV86" i="37"/>
  <c r="AG87" i="37"/>
  <c r="AH87" i="37"/>
  <c r="AI87" i="37"/>
  <c r="AJ87" i="37"/>
  <c r="AK87" i="37"/>
  <c r="AM87" i="37" s="1"/>
  <c r="AU87" i="37"/>
  <c r="AV87" i="37"/>
  <c r="AW87" i="37"/>
  <c r="AX87" i="37"/>
  <c r="AY87" i="37"/>
  <c r="AZ87" i="37"/>
  <c r="BF87" i="37"/>
  <c r="BM87" i="37"/>
  <c r="BN87" i="37"/>
  <c r="BO87" i="37"/>
  <c r="BP87" i="37"/>
  <c r="BQ87" i="37"/>
  <c r="BR87" i="37"/>
  <c r="CB87" i="37"/>
  <c r="CC87" i="37"/>
  <c r="CD87" i="37"/>
  <c r="CE87" i="37"/>
  <c r="CF87" i="37"/>
  <c r="CG87" i="37"/>
  <c r="CO87" i="37"/>
  <c r="CQ87" i="37"/>
  <c r="CR87" i="37"/>
  <c r="CS87" i="37"/>
  <c r="CT87" i="37"/>
  <c r="CU87" i="37"/>
  <c r="CV87" i="37"/>
  <c r="AG88" i="37"/>
  <c r="AH88" i="37"/>
  <c r="AI88" i="37"/>
  <c r="AJ88" i="37"/>
  <c r="AK88" i="37"/>
  <c r="AO88" i="37" s="1"/>
  <c r="AU88" i="37"/>
  <c r="AV88" i="37"/>
  <c r="AW88" i="37"/>
  <c r="AX88" i="37"/>
  <c r="AY88" i="37"/>
  <c r="AZ88" i="37"/>
  <c r="BM88" i="37"/>
  <c r="BN88" i="37"/>
  <c r="BO88" i="37"/>
  <c r="BP88" i="37"/>
  <c r="BQ88" i="37"/>
  <c r="BR88" i="37"/>
  <c r="CB88" i="37"/>
  <c r="CC88" i="37"/>
  <c r="CD88" i="37"/>
  <c r="CE88" i="37"/>
  <c r="CF88" i="37"/>
  <c r="CG88" i="37"/>
  <c r="CQ88" i="37"/>
  <c r="CR88" i="37"/>
  <c r="CS88" i="37"/>
  <c r="CT88" i="37"/>
  <c r="CU88" i="37"/>
  <c r="CV88" i="37"/>
  <c r="AG89" i="37"/>
  <c r="AH89" i="37"/>
  <c r="AI89" i="37"/>
  <c r="AJ89" i="37"/>
  <c r="AK89" i="37"/>
  <c r="AO89" i="37" s="1"/>
  <c r="AU89" i="37"/>
  <c r="AV89" i="37"/>
  <c r="AW89" i="37"/>
  <c r="AX89" i="37"/>
  <c r="AY89" i="37"/>
  <c r="AZ89" i="37"/>
  <c r="BM89" i="37"/>
  <c r="BN89" i="37"/>
  <c r="BO89" i="37"/>
  <c r="BP89" i="37"/>
  <c r="BQ89" i="37"/>
  <c r="BR89" i="37"/>
  <c r="CB89" i="37"/>
  <c r="CC89" i="37"/>
  <c r="CD89" i="37"/>
  <c r="CE89" i="37"/>
  <c r="CF89" i="37"/>
  <c r="CG89" i="37"/>
  <c r="CQ89" i="37"/>
  <c r="CR89" i="37"/>
  <c r="CS89" i="37"/>
  <c r="CT89" i="37"/>
  <c r="CU89" i="37"/>
  <c r="CV89" i="37"/>
  <c r="AG90" i="37"/>
  <c r="AH90" i="37"/>
  <c r="AI90" i="37"/>
  <c r="AJ90" i="37"/>
  <c r="AK90" i="37"/>
  <c r="AU90" i="37"/>
  <c r="AV90" i="37"/>
  <c r="AW90" i="37"/>
  <c r="AX90" i="37"/>
  <c r="AY90" i="37"/>
  <c r="AZ90" i="37"/>
  <c r="BM90" i="37"/>
  <c r="BN90" i="37"/>
  <c r="BO90" i="37"/>
  <c r="BP90" i="37"/>
  <c r="BQ90" i="37"/>
  <c r="BR90" i="37"/>
  <c r="CB90" i="37"/>
  <c r="CC90" i="37"/>
  <c r="CD90" i="37"/>
  <c r="CE90" i="37"/>
  <c r="CF90" i="37"/>
  <c r="CG90" i="37"/>
  <c r="CQ90" i="37"/>
  <c r="CR90" i="37"/>
  <c r="CS90" i="37"/>
  <c r="CT90" i="37"/>
  <c r="CU90" i="37"/>
  <c r="CV90" i="37"/>
  <c r="AG91" i="37"/>
  <c r="AH91" i="37"/>
  <c r="AI91" i="37"/>
  <c r="AJ91" i="37"/>
  <c r="AK91" i="37"/>
  <c r="BE91" i="37" s="1"/>
  <c r="AU91" i="37"/>
  <c r="AV91" i="37"/>
  <c r="AW91" i="37"/>
  <c r="AX91" i="37"/>
  <c r="AY91" i="37"/>
  <c r="AZ91" i="37"/>
  <c r="BM91" i="37"/>
  <c r="BN91" i="37"/>
  <c r="BO91" i="37"/>
  <c r="BP91" i="37"/>
  <c r="BQ91" i="37"/>
  <c r="BR91" i="37"/>
  <c r="CB91" i="37"/>
  <c r="CC91" i="37"/>
  <c r="CD91" i="37"/>
  <c r="CE91" i="37"/>
  <c r="CF91" i="37"/>
  <c r="CG91" i="37"/>
  <c r="CQ91" i="37"/>
  <c r="CR91" i="37"/>
  <c r="CS91" i="37"/>
  <c r="CT91" i="37"/>
  <c r="CU91" i="37"/>
  <c r="CV91" i="37"/>
  <c r="AG92" i="37"/>
  <c r="AH92" i="37"/>
  <c r="AI92" i="37"/>
  <c r="AJ92" i="37"/>
  <c r="AK92" i="37"/>
  <c r="AU92" i="37"/>
  <c r="AV92" i="37"/>
  <c r="AW92" i="37"/>
  <c r="AX92" i="37"/>
  <c r="AY92" i="37"/>
  <c r="AZ92" i="37"/>
  <c r="BM92" i="37"/>
  <c r="BN92" i="37"/>
  <c r="BO92" i="37"/>
  <c r="BP92" i="37"/>
  <c r="BQ92" i="37"/>
  <c r="BR92" i="37"/>
  <c r="CB92" i="37"/>
  <c r="CC92" i="37"/>
  <c r="CD92" i="37"/>
  <c r="CE92" i="37"/>
  <c r="CF92" i="37"/>
  <c r="CG92" i="37"/>
  <c r="CQ92" i="37"/>
  <c r="CR92" i="37"/>
  <c r="CS92" i="37"/>
  <c r="CT92" i="37"/>
  <c r="CU92" i="37"/>
  <c r="CV92" i="37"/>
  <c r="AG93" i="37"/>
  <c r="AH93" i="37"/>
  <c r="AI93" i="37"/>
  <c r="AJ93" i="37"/>
  <c r="AK93" i="37"/>
  <c r="BY93" i="37" s="1"/>
  <c r="AU93" i="37"/>
  <c r="AV93" i="37"/>
  <c r="AW93" i="37"/>
  <c r="AX93" i="37"/>
  <c r="AY93" i="37"/>
  <c r="AZ93" i="37"/>
  <c r="BM93" i="37"/>
  <c r="BN93" i="37"/>
  <c r="BO93" i="37"/>
  <c r="BP93" i="37"/>
  <c r="BQ93" i="37"/>
  <c r="BR93" i="37"/>
  <c r="CB93" i="37"/>
  <c r="CC93" i="37"/>
  <c r="CD93" i="37"/>
  <c r="CE93" i="37"/>
  <c r="CF93" i="37"/>
  <c r="CG93" i="37"/>
  <c r="CQ93" i="37"/>
  <c r="CR93" i="37"/>
  <c r="CS93" i="37"/>
  <c r="CT93" i="37"/>
  <c r="CU93" i="37"/>
  <c r="CV93" i="37"/>
  <c r="AG94" i="37"/>
  <c r="AH94" i="37"/>
  <c r="AI94" i="37"/>
  <c r="AJ94" i="37"/>
  <c r="AK94" i="37"/>
  <c r="AU94" i="37"/>
  <c r="AV94" i="37"/>
  <c r="AW94" i="37"/>
  <c r="AX94" i="37"/>
  <c r="AY94" i="37"/>
  <c r="AZ94" i="37"/>
  <c r="BM94" i="37"/>
  <c r="BN94" i="37"/>
  <c r="BO94" i="37"/>
  <c r="BP94" i="37"/>
  <c r="BQ94" i="37"/>
  <c r="BR94" i="37"/>
  <c r="CB94" i="37"/>
  <c r="CC94" i="37"/>
  <c r="CD94" i="37"/>
  <c r="CE94" i="37"/>
  <c r="CF94" i="37"/>
  <c r="CG94" i="37"/>
  <c r="CQ94" i="37"/>
  <c r="CR94" i="37"/>
  <c r="CS94" i="37"/>
  <c r="CT94" i="37"/>
  <c r="CU94" i="37"/>
  <c r="CV94" i="37"/>
  <c r="AG95" i="37"/>
  <c r="AH95" i="37"/>
  <c r="AI95" i="37"/>
  <c r="AJ95" i="37"/>
  <c r="AK95" i="37"/>
  <c r="AO95" i="37" s="1"/>
  <c r="AU95" i="37"/>
  <c r="AV95" i="37"/>
  <c r="AW95" i="37"/>
  <c r="AX95" i="37"/>
  <c r="AY95" i="37"/>
  <c r="AZ95" i="37"/>
  <c r="BM95" i="37"/>
  <c r="BN95" i="37"/>
  <c r="BO95" i="37"/>
  <c r="BP95" i="37"/>
  <c r="BQ95" i="37"/>
  <c r="BR95" i="37"/>
  <c r="CB95" i="37"/>
  <c r="CC95" i="37"/>
  <c r="CD95" i="37"/>
  <c r="CE95" i="37"/>
  <c r="CF95" i="37"/>
  <c r="CG95" i="37"/>
  <c r="CQ95" i="37"/>
  <c r="CR95" i="37"/>
  <c r="CS95" i="37"/>
  <c r="CT95" i="37"/>
  <c r="CU95" i="37"/>
  <c r="CV95" i="37"/>
  <c r="AG96" i="37"/>
  <c r="AH96" i="37"/>
  <c r="AI96" i="37"/>
  <c r="AJ96" i="37"/>
  <c r="AK96" i="37"/>
  <c r="AU96" i="37"/>
  <c r="AV96" i="37"/>
  <c r="AW96" i="37"/>
  <c r="AX96" i="37"/>
  <c r="AY96" i="37"/>
  <c r="AZ96" i="37"/>
  <c r="BM96" i="37"/>
  <c r="BN96" i="37"/>
  <c r="BO96" i="37"/>
  <c r="BP96" i="37"/>
  <c r="BQ96" i="37"/>
  <c r="BR96" i="37"/>
  <c r="CB96" i="37"/>
  <c r="CC96" i="37"/>
  <c r="CD96" i="37"/>
  <c r="CE96" i="37"/>
  <c r="CF96" i="37"/>
  <c r="CG96" i="37"/>
  <c r="CQ96" i="37"/>
  <c r="CR96" i="37"/>
  <c r="CS96" i="37"/>
  <c r="CT96" i="37"/>
  <c r="CU96" i="37"/>
  <c r="CV96" i="37"/>
  <c r="AG97" i="37"/>
  <c r="AH97" i="37"/>
  <c r="AI97" i="37"/>
  <c r="AJ97" i="37"/>
  <c r="AK97" i="37"/>
  <c r="BI97" i="37" s="1"/>
  <c r="AU97" i="37"/>
  <c r="AV97" i="37"/>
  <c r="AW97" i="37"/>
  <c r="AX97" i="37"/>
  <c r="AY97" i="37"/>
  <c r="AZ97" i="37"/>
  <c r="BM97" i="37"/>
  <c r="BN97" i="37"/>
  <c r="BO97" i="37"/>
  <c r="BP97" i="37"/>
  <c r="BQ97" i="37"/>
  <c r="BR97" i="37"/>
  <c r="CB97" i="37"/>
  <c r="CC97" i="37"/>
  <c r="CD97" i="37"/>
  <c r="CE97" i="37"/>
  <c r="CF97" i="37"/>
  <c r="CG97" i="37"/>
  <c r="CO97" i="37"/>
  <c r="CQ97" i="37"/>
  <c r="CR97" i="37"/>
  <c r="CS97" i="37"/>
  <c r="CT97" i="37"/>
  <c r="CU97" i="37"/>
  <c r="CV97" i="37"/>
  <c r="AG98" i="37"/>
  <c r="AH98" i="37"/>
  <c r="AI98" i="37"/>
  <c r="AJ98" i="37"/>
  <c r="AK98" i="37"/>
  <c r="AU98" i="37"/>
  <c r="AV98" i="37"/>
  <c r="AW98" i="37"/>
  <c r="AX98" i="37"/>
  <c r="AY98" i="37"/>
  <c r="AZ98" i="37"/>
  <c r="BM98" i="37"/>
  <c r="BN98" i="37"/>
  <c r="BO98" i="37"/>
  <c r="BP98" i="37"/>
  <c r="BQ98" i="37"/>
  <c r="BR98" i="37"/>
  <c r="CB98" i="37"/>
  <c r="CC98" i="37"/>
  <c r="CD98" i="37"/>
  <c r="CE98" i="37"/>
  <c r="CF98" i="37"/>
  <c r="CG98" i="37"/>
  <c r="CQ98" i="37"/>
  <c r="CR98" i="37"/>
  <c r="CS98" i="37"/>
  <c r="CT98" i="37"/>
  <c r="CU98" i="37"/>
  <c r="CV98" i="37"/>
  <c r="AG99" i="37"/>
  <c r="AH99" i="37"/>
  <c r="AI99" i="37"/>
  <c r="AJ99" i="37"/>
  <c r="AK99" i="37"/>
  <c r="AO99" i="37" s="1"/>
  <c r="AU99" i="37"/>
  <c r="AV99" i="37"/>
  <c r="AW99" i="37"/>
  <c r="AX99" i="37"/>
  <c r="AY99" i="37"/>
  <c r="AZ99" i="37"/>
  <c r="BM99" i="37"/>
  <c r="BN99" i="37"/>
  <c r="BO99" i="37"/>
  <c r="BP99" i="37"/>
  <c r="BQ99" i="37"/>
  <c r="BR99" i="37"/>
  <c r="CB99" i="37"/>
  <c r="CC99" i="37"/>
  <c r="CD99" i="37"/>
  <c r="CE99" i="37"/>
  <c r="CF99" i="37"/>
  <c r="CG99" i="37"/>
  <c r="CQ99" i="37"/>
  <c r="CR99" i="37"/>
  <c r="CS99" i="37"/>
  <c r="CT99" i="37"/>
  <c r="CU99" i="37"/>
  <c r="CV99" i="37"/>
  <c r="AG100" i="37"/>
  <c r="AH100" i="37"/>
  <c r="AI100" i="37"/>
  <c r="AJ100" i="37"/>
  <c r="AK100" i="37"/>
  <c r="AU100" i="37"/>
  <c r="AV100" i="37"/>
  <c r="AW100" i="37"/>
  <c r="AX100" i="37"/>
  <c r="AY100" i="37"/>
  <c r="AZ100" i="37"/>
  <c r="BM100" i="37"/>
  <c r="BN100" i="37"/>
  <c r="BO100" i="37"/>
  <c r="BP100" i="37"/>
  <c r="BQ100" i="37"/>
  <c r="BR100" i="37"/>
  <c r="CB100" i="37"/>
  <c r="CC100" i="37"/>
  <c r="CD100" i="37"/>
  <c r="CE100" i="37"/>
  <c r="CF100" i="37"/>
  <c r="CG100" i="37"/>
  <c r="CQ100" i="37"/>
  <c r="CR100" i="37"/>
  <c r="CS100" i="37"/>
  <c r="CT100" i="37"/>
  <c r="CU100" i="37"/>
  <c r="CV100" i="37"/>
  <c r="AG101" i="37"/>
  <c r="AH101" i="37"/>
  <c r="AI101" i="37"/>
  <c r="AJ101" i="37"/>
  <c r="AK101" i="37"/>
  <c r="AU101" i="37"/>
  <c r="AV101" i="37"/>
  <c r="AW101" i="37"/>
  <c r="AX101" i="37"/>
  <c r="AY101" i="37"/>
  <c r="AZ101" i="37"/>
  <c r="BM101" i="37"/>
  <c r="BN101" i="37"/>
  <c r="BO101" i="37"/>
  <c r="BP101" i="37"/>
  <c r="BQ101" i="37"/>
  <c r="BR101" i="37"/>
  <c r="CB101" i="37"/>
  <c r="CC101" i="37"/>
  <c r="CD101" i="37"/>
  <c r="CE101" i="37"/>
  <c r="CF101" i="37"/>
  <c r="CG101" i="37"/>
  <c r="CQ101" i="37"/>
  <c r="CR101" i="37"/>
  <c r="CS101" i="37"/>
  <c r="CT101" i="37"/>
  <c r="CU101" i="37"/>
  <c r="CV101" i="37"/>
  <c r="AG102" i="37"/>
  <c r="AH102" i="37"/>
  <c r="AI102" i="37"/>
  <c r="AJ102" i="37"/>
  <c r="AK102" i="37"/>
  <c r="AU102" i="37"/>
  <c r="AV102" i="37"/>
  <c r="AW102" i="37"/>
  <c r="AX102" i="37"/>
  <c r="AY102" i="37"/>
  <c r="AZ102" i="37"/>
  <c r="BM102" i="37"/>
  <c r="BN102" i="37"/>
  <c r="BO102" i="37"/>
  <c r="BP102" i="37"/>
  <c r="BQ102" i="37"/>
  <c r="BR102" i="37"/>
  <c r="CB102" i="37"/>
  <c r="CC102" i="37"/>
  <c r="CD102" i="37"/>
  <c r="CE102" i="37"/>
  <c r="CF102" i="37"/>
  <c r="CG102" i="37"/>
  <c r="CQ102" i="37"/>
  <c r="CR102" i="37"/>
  <c r="CS102" i="37"/>
  <c r="CT102" i="37"/>
  <c r="CU102" i="37"/>
  <c r="CV102" i="37"/>
  <c r="AG103" i="37"/>
  <c r="AH103" i="37"/>
  <c r="AI103" i="37"/>
  <c r="AJ103" i="37"/>
  <c r="AK103" i="37"/>
  <c r="AO103" i="37" s="1"/>
  <c r="AU103" i="37"/>
  <c r="AV103" i="37"/>
  <c r="AW103" i="37"/>
  <c r="AX103" i="37"/>
  <c r="AY103" i="37"/>
  <c r="AZ103" i="37"/>
  <c r="BM103" i="37"/>
  <c r="BN103" i="37"/>
  <c r="BO103" i="37"/>
  <c r="BP103" i="37"/>
  <c r="BQ103" i="37"/>
  <c r="BR103" i="37"/>
  <c r="CB103" i="37"/>
  <c r="CC103" i="37"/>
  <c r="CD103" i="37"/>
  <c r="CE103" i="37"/>
  <c r="CF103" i="37"/>
  <c r="CG103" i="37"/>
  <c r="CQ103" i="37"/>
  <c r="CR103" i="37"/>
  <c r="CS103" i="37"/>
  <c r="CT103" i="37"/>
  <c r="CU103" i="37"/>
  <c r="CV103" i="37"/>
  <c r="AG104" i="37"/>
  <c r="AH104" i="37"/>
  <c r="AI104" i="37"/>
  <c r="AJ104" i="37"/>
  <c r="AK104" i="37"/>
  <c r="BY104" i="37" s="1"/>
  <c r="AU104" i="37"/>
  <c r="AV104" i="37"/>
  <c r="AW104" i="37"/>
  <c r="AX104" i="37"/>
  <c r="AY104" i="37"/>
  <c r="AZ104" i="37"/>
  <c r="BM104" i="37"/>
  <c r="BN104" i="37"/>
  <c r="BO104" i="37"/>
  <c r="BP104" i="37"/>
  <c r="BQ104" i="37"/>
  <c r="BR104" i="37"/>
  <c r="CB104" i="37"/>
  <c r="CC104" i="37"/>
  <c r="CD104" i="37"/>
  <c r="CE104" i="37"/>
  <c r="CF104" i="37"/>
  <c r="CG104" i="37"/>
  <c r="CQ104" i="37"/>
  <c r="CR104" i="37"/>
  <c r="CS104" i="37"/>
  <c r="CT104" i="37"/>
  <c r="CU104" i="37"/>
  <c r="CV104" i="37"/>
  <c r="AG105" i="37"/>
  <c r="AH105" i="37"/>
  <c r="AI105" i="37"/>
  <c r="AJ105" i="37"/>
  <c r="AK105" i="37"/>
  <c r="CP105" i="37" s="1"/>
  <c r="AU105" i="37"/>
  <c r="AV105" i="37"/>
  <c r="AW105" i="37"/>
  <c r="AX105" i="37"/>
  <c r="AY105" i="37"/>
  <c r="AZ105" i="37"/>
  <c r="BM105" i="37"/>
  <c r="BN105" i="37"/>
  <c r="BO105" i="37"/>
  <c r="BP105" i="37"/>
  <c r="BQ105" i="37"/>
  <c r="BR105" i="37"/>
  <c r="CB105" i="37"/>
  <c r="CC105" i="37"/>
  <c r="CD105" i="37"/>
  <c r="CE105" i="37"/>
  <c r="CF105" i="37"/>
  <c r="CG105" i="37"/>
  <c r="CQ105" i="37"/>
  <c r="CR105" i="37"/>
  <c r="CS105" i="37"/>
  <c r="CT105" i="37"/>
  <c r="CU105" i="37"/>
  <c r="CV105" i="37"/>
  <c r="AG106" i="37"/>
  <c r="AH106" i="37"/>
  <c r="AI106" i="37"/>
  <c r="AJ106" i="37"/>
  <c r="AK106" i="37"/>
  <c r="AM106" i="37" s="1"/>
  <c r="AU106" i="37"/>
  <c r="AV106" i="37"/>
  <c r="AW106" i="37"/>
  <c r="AX106" i="37"/>
  <c r="AY106" i="37"/>
  <c r="AZ106" i="37"/>
  <c r="BM106" i="37"/>
  <c r="BN106" i="37"/>
  <c r="BO106" i="37"/>
  <c r="BP106" i="37"/>
  <c r="BQ106" i="37"/>
  <c r="BR106" i="37"/>
  <c r="CB106" i="37"/>
  <c r="CC106" i="37"/>
  <c r="CD106" i="37"/>
  <c r="CE106" i="37"/>
  <c r="CF106" i="37"/>
  <c r="CG106" i="37"/>
  <c r="CQ106" i="37"/>
  <c r="CR106" i="37"/>
  <c r="CS106" i="37"/>
  <c r="CT106" i="37"/>
  <c r="CU106" i="37"/>
  <c r="CV106" i="37"/>
  <c r="AG107" i="37"/>
  <c r="AH107" i="37"/>
  <c r="AI107" i="37"/>
  <c r="AJ107" i="37"/>
  <c r="AK107" i="37"/>
  <c r="BV107" i="37" s="1"/>
  <c r="AU107" i="37"/>
  <c r="AV107" i="37"/>
  <c r="AW107" i="37"/>
  <c r="AX107" i="37"/>
  <c r="AY107" i="37"/>
  <c r="AZ107" i="37"/>
  <c r="BM107" i="37"/>
  <c r="BN107" i="37"/>
  <c r="BO107" i="37"/>
  <c r="BP107" i="37"/>
  <c r="BQ107" i="37"/>
  <c r="BR107" i="37"/>
  <c r="CB107" i="37"/>
  <c r="CC107" i="37"/>
  <c r="CD107" i="37"/>
  <c r="CE107" i="37"/>
  <c r="CF107" i="37"/>
  <c r="CG107" i="37"/>
  <c r="CQ107" i="37"/>
  <c r="CR107" i="37"/>
  <c r="CS107" i="37"/>
  <c r="CT107" i="37"/>
  <c r="CU107" i="37"/>
  <c r="CV107" i="37"/>
  <c r="AG108" i="37"/>
  <c r="AH108" i="37"/>
  <c r="AI108" i="37"/>
  <c r="AJ108" i="37"/>
  <c r="AK108" i="37"/>
  <c r="AU108" i="37"/>
  <c r="AV108" i="37"/>
  <c r="AW108" i="37"/>
  <c r="AX108" i="37"/>
  <c r="AY108" i="37"/>
  <c r="AZ108" i="37"/>
  <c r="BM108" i="37"/>
  <c r="BN108" i="37"/>
  <c r="BO108" i="37"/>
  <c r="BP108" i="37"/>
  <c r="BQ108" i="37"/>
  <c r="BR108" i="37"/>
  <c r="CB108" i="37"/>
  <c r="CC108" i="37"/>
  <c r="CD108" i="37"/>
  <c r="CE108" i="37"/>
  <c r="CF108" i="37"/>
  <c r="CG108" i="37"/>
  <c r="CQ108" i="37"/>
  <c r="CR108" i="37"/>
  <c r="CS108" i="37"/>
  <c r="CT108" i="37"/>
  <c r="CU108" i="37"/>
  <c r="CV108" i="37"/>
  <c r="AG61" i="37"/>
  <c r="AH61" i="37"/>
  <c r="AI61" i="37"/>
  <c r="AJ61" i="37"/>
  <c r="AK61" i="37"/>
  <c r="AU61" i="37"/>
  <c r="AV61" i="37"/>
  <c r="AW61" i="37"/>
  <c r="AX61" i="37"/>
  <c r="AY61" i="37"/>
  <c r="AZ61" i="37"/>
  <c r="BM61" i="37"/>
  <c r="BN61" i="37"/>
  <c r="BO61" i="37"/>
  <c r="BP61" i="37"/>
  <c r="BQ61" i="37"/>
  <c r="BR61" i="37"/>
  <c r="CB61" i="37"/>
  <c r="CC61" i="37"/>
  <c r="CD61" i="37"/>
  <c r="CE61" i="37"/>
  <c r="CF61" i="37"/>
  <c r="CG61" i="37"/>
  <c r="CQ61" i="37"/>
  <c r="CR61" i="37"/>
  <c r="CS61" i="37"/>
  <c r="CT61" i="37"/>
  <c r="CU61" i="37"/>
  <c r="CV61" i="37"/>
  <c r="AG62" i="37"/>
  <c r="AH62" i="37"/>
  <c r="AI62" i="37"/>
  <c r="AJ62" i="37"/>
  <c r="AK62" i="37"/>
  <c r="AU62" i="37"/>
  <c r="AV62" i="37"/>
  <c r="AW62" i="37"/>
  <c r="AX62" i="37"/>
  <c r="AY62" i="37"/>
  <c r="AZ62" i="37"/>
  <c r="BM62" i="37"/>
  <c r="BN62" i="37"/>
  <c r="BO62" i="37"/>
  <c r="BP62" i="37"/>
  <c r="BQ62" i="37"/>
  <c r="BR62" i="37"/>
  <c r="CB62" i="37"/>
  <c r="CC62" i="37"/>
  <c r="CD62" i="37"/>
  <c r="CE62" i="37"/>
  <c r="CF62" i="37"/>
  <c r="CG62" i="37"/>
  <c r="CQ62" i="37"/>
  <c r="CR62" i="37"/>
  <c r="CS62" i="37"/>
  <c r="CT62" i="37"/>
  <c r="CU62" i="37"/>
  <c r="CV62" i="37"/>
  <c r="AG63" i="37"/>
  <c r="AH63" i="37"/>
  <c r="AI63" i="37"/>
  <c r="AJ63" i="37"/>
  <c r="AK63" i="37"/>
  <c r="AP63" i="37" s="1"/>
  <c r="AU63" i="37"/>
  <c r="AV63" i="37"/>
  <c r="AW63" i="37"/>
  <c r="AX63" i="37"/>
  <c r="AY63" i="37"/>
  <c r="AZ63" i="37"/>
  <c r="BM63" i="37"/>
  <c r="BN63" i="37"/>
  <c r="BO63" i="37"/>
  <c r="BP63" i="37"/>
  <c r="BQ63" i="37"/>
  <c r="BR63" i="37"/>
  <c r="CB63" i="37"/>
  <c r="CC63" i="37"/>
  <c r="CD63" i="37"/>
  <c r="CE63" i="37"/>
  <c r="CF63" i="37"/>
  <c r="CG63" i="37"/>
  <c r="CQ63" i="37"/>
  <c r="CR63" i="37"/>
  <c r="CS63" i="37"/>
  <c r="CT63" i="37"/>
  <c r="CU63" i="37"/>
  <c r="CV63" i="37"/>
  <c r="AG64" i="37"/>
  <c r="AH64" i="37"/>
  <c r="AI64" i="37"/>
  <c r="AJ64" i="37"/>
  <c r="AK64" i="37"/>
  <c r="AU64" i="37"/>
  <c r="AV64" i="37"/>
  <c r="AW64" i="37"/>
  <c r="AX64" i="37"/>
  <c r="AY64" i="37"/>
  <c r="AZ64" i="37"/>
  <c r="BM64" i="37"/>
  <c r="BN64" i="37"/>
  <c r="BO64" i="37"/>
  <c r="BP64" i="37"/>
  <c r="BQ64" i="37"/>
  <c r="BR64" i="37"/>
  <c r="CB64" i="37"/>
  <c r="CC64" i="37"/>
  <c r="CD64" i="37"/>
  <c r="CE64" i="37"/>
  <c r="CF64" i="37"/>
  <c r="CG64" i="37"/>
  <c r="CQ64" i="37"/>
  <c r="CR64" i="37"/>
  <c r="CS64" i="37"/>
  <c r="CT64" i="37"/>
  <c r="CU64" i="37"/>
  <c r="CV64" i="37"/>
  <c r="AG65" i="37"/>
  <c r="AH65" i="37"/>
  <c r="AI65" i="37"/>
  <c r="AJ65" i="37"/>
  <c r="AK65" i="37"/>
  <c r="BD65" i="37" s="1"/>
  <c r="AU65" i="37"/>
  <c r="AV65" i="37"/>
  <c r="AW65" i="37"/>
  <c r="AX65" i="37"/>
  <c r="AY65" i="37"/>
  <c r="AZ65" i="37"/>
  <c r="BM65" i="37"/>
  <c r="BN65" i="37"/>
  <c r="BO65" i="37"/>
  <c r="BP65" i="37"/>
  <c r="BQ65" i="37"/>
  <c r="BR65" i="37"/>
  <c r="CB65" i="37"/>
  <c r="CC65" i="37"/>
  <c r="CD65" i="37"/>
  <c r="CE65" i="37"/>
  <c r="CF65" i="37"/>
  <c r="CG65" i="37"/>
  <c r="CQ65" i="37"/>
  <c r="CR65" i="37"/>
  <c r="CS65" i="37"/>
  <c r="CT65" i="37"/>
  <c r="CU65" i="37"/>
  <c r="CV65" i="37"/>
  <c r="AG66" i="37"/>
  <c r="AH66" i="37"/>
  <c r="AI66" i="37"/>
  <c r="AJ66" i="37"/>
  <c r="AK66" i="37"/>
  <c r="AU66" i="37"/>
  <c r="AV66" i="37"/>
  <c r="AW66" i="37"/>
  <c r="AX66" i="37"/>
  <c r="AY66" i="37"/>
  <c r="AZ66" i="37"/>
  <c r="BM66" i="37"/>
  <c r="BN66" i="37"/>
  <c r="BO66" i="37"/>
  <c r="BP66" i="37"/>
  <c r="BQ66" i="37"/>
  <c r="BR66" i="37"/>
  <c r="CB66" i="37"/>
  <c r="CC66" i="37"/>
  <c r="CD66" i="37"/>
  <c r="CE66" i="37"/>
  <c r="CF66" i="37"/>
  <c r="CG66" i="37"/>
  <c r="CQ66" i="37"/>
  <c r="CR66" i="37"/>
  <c r="CS66" i="37"/>
  <c r="CT66" i="37"/>
  <c r="CU66" i="37"/>
  <c r="CV66" i="37"/>
  <c r="AG67" i="37"/>
  <c r="AH67" i="37"/>
  <c r="AI67" i="37"/>
  <c r="AJ67" i="37"/>
  <c r="AK67" i="37"/>
  <c r="BV67" i="37" s="1"/>
  <c r="AU67" i="37"/>
  <c r="AV67" i="37"/>
  <c r="AW67" i="37"/>
  <c r="AX67" i="37"/>
  <c r="AY67" i="37"/>
  <c r="AZ67" i="37"/>
  <c r="BM67" i="37"/>
  <c r="BN67" i="37"/>
  <c r="BO67" i="37"/>
  <c r="BP67" i="37"/>
  <c r="BQ67" i="37"/>
  <c r="BR67" i="37"/>
  <c r="CB67" i="37"/>
  <c r="CC67" i="37"/>
  <c r="CD67" i="37"/>
  <c r="CE67" i="37"/>
  <c r="CF67" i="37"/>
  <c r="CG67" i="37"/>
  <c r="CQ67" i="37"/>
  <c r="CR67" i="37"/>
  <c r="CS67" i="37"/>
  <c r="CT67" i="37"/>
  <c r="CU67" i="37"/>
  <c r="CV67" i="37"/>
  <c r="AG68" i="37"/>
  <c r="AH68" i="37"/>
  <c r="AI68" i="37"/>
  <c r="AJ68" i="37"/>
  <c r="AK68" i="37"/>
  <c r="AU68" i="37"/>
  <c r="AV68" i="37"/>
  <c r="AW68" i="37"/>
  <c r="AX68" i="37"/>
  <c r="AY68" i="37"/>
  <c r="AZ68" i="37"/>
  <c r="BM68" i="37"/>
  <c r="BN68" i="37"/>
  <c r="BO68" i="37"/>
  <c r="BP68" i="37"/>
  <c r="BQ68" i="37"/>
  <c r="BR68" i="37"/>
  <c r="CB68" i="37"/>
  <c r="CC68" i="37"/>
  <c r="CD68" i="37"/>
  <c r="CE68" i="37"/>
  <c r="CF68" i="37"/>
  <c r="CG68" i="37"/>
  <c r="CQ68" i="37"/>
  <c r="CR68" i="37"/>
  <c r="CS68" i="37"/>
  <c r="CT68" i="37"/>
  <c r="CU68" i="37"/>
  <c r="CV68" i="37"/>
  <c r="AG69" i="37"/>
  <c r="AH69" i="37"/>
  <c r="AI69" i="37"/>
  <c r="AJ69" i="37"/>
  <c r="AK69" i="37"/>
  <c r="BU69" i="37" s="1"/>
  <c r="AU69" i="37"/>
  <c r="AV69" i="37"/>
  <c r="AW69" i="37"/>
  <c r="AX69" i="37"/>
  <c r="AY69" i="37"/>
  <c r="AZ69" i="37"/>
  <c r="BM69" i="37"/>
  <c r="BN69" i="37"/>
  <c r="BO69" i="37"/>
  <c r="BP69" i="37"/>
  <c r="BQ69" i="37"/>
  <c r="BR69" i="37"/>
  <c r="CB69" i="37"/>
  <c r="CC69" i="37"/>
  <c r="CD69" i="37"/>
  <c r="CE69" i="37"/>
  <c r="CF69" i="37"/>
  <c r="CG69" i="37"/>
  <c r="CQ69" i="37"/>
  <c r="CR69" i="37"/>
  <c r="CS69" i="37"/>
  <c r="CT69" i="37"/>
  <c r="CU69" i="37"/>
  <c r="CV69" i="37"/>
  <c r="AG70" i="37"/>
  <c r="AH70" i="37"/>
  <c r="AI70" i="37"/>
  <c r="AJ70" i="37"/>
  <c r="AK70" i="37"/>
  <c r="BJ70" i="37" s="1"/>
  <c r="AU70" i="37"/>
  <c r="AV70" i="37"/>
  <c r="AW70" i="37"/>
  <c r="AX70" i="37"/>
  <c r="AY70" i="37"/>
  <c r="AZ70" i="37"/>
  <c r="BM70" i="37"/>
  <c r="BN70" i="37"/>
  <c r="BO70" i="37"/>
  <c r="BP70" i="37"/>
  <c r="BQ70" i="37"/>
  <c r="BR70" i="37"/>
  <c r="CB70" i="37"/>
  <c r="CC70" i="37"/>
  <c r="CD70" i="37"/>
  <c r="CE70" i="37"/>
  <c r="CF70" i="37"/>
  <c r="CG70" i="37"/>
  <c r="CQ70" i="37"/>
  <c r="CR70" i="37"/>
  <c r="CS70" i="37"/>
  <c r="CT70" i="37"/>
  <c r="CU70" i="37"/>
  <c r="CV70" i="37"/>
  <c r="AG71" i="37"/>
  <c r="AH71" i="37"/>
  <c r="AI71" i="37"/>
  <c r="AJ71" i="37"/>
  <c r="AK71" i="37"/>
  <c r="AU71" i="37"/>
  <c r="AV71" i="37"/>
  <c r="AW71" i="37"/>
  <c r="AX71" i="37"/>
  <c r="AY71" i="37"/>
  <c r="AZ71" i="37"/>
  <c r="BM71" i="37"/>
  <c r="BN71" i="37"/>
  <c r="BO71" i="37"/>
  <c r="BP71" i="37"/>
  <c r="BQ71" i="37"/>
  <c r="BR71" i="37"/>
  <c r="CB71" i="37"/>
  <c r="CC71" i="37"/>
  <c r="CD71" i="37"/>
  <c r="CE71" i="37"/>
  <c r="CF71" i="37"/>
  <c r="CG71" i="37"/>
  <c r="CQ71" i="37"/>
  <c r="CR71" i="37"/>
  <c r="CS71" i="37"/>
  <c r="CT71" i="37"/>
  <c r="CU71" i="37"/>
  <c r="CV71" i="37"/>
  <c r="AG72" i="37"/>
  <c r="AH72" i="37"/>
  <c r="AI72" i="37"/>
  <c r="AJ72" i="37"/>
  <c r="AK72" i="37"/>
  <c r="BA72" i="37" s="1"/>
  <c r="AU72" i="37"/>
  <c r="AV72" i="37"/>
  <c r="AW72" i="37"/>
  <c r="AX72" i="37"/>
  <c r="AY72" i="37"/>
  <c r="AZ72" i="37"/>
  <c r="BM72" i="37"/>
  <c r="BN72" i="37"/>
  <c r="BO72" i="37"/>
  <c r="BP72" i="37"/>
  <c r="BQ72" i="37"/>
  <c r="BR72" i="37"/>
  <c r="CB72" i="37"/>
  <c r="CC72" i="37"/>
  <c r="CD72" i="37"/>
  <c r="CE72" i="37"/>
  <c r="CF72" i="37"/>
  <c r="CG72" i="37"/>
  <c r="CQ72" i="37"/>
  <c r="CR72" i="37"/>
  <c r="CS72" i="37"/>
  <c r="CT72" i="37"/>
  <c r="CU72" i="37"/>
  <c r="CV72" i="37"/>
  <c r="AG73" i="37"/>
  <c r="AH73" i="37"/>
  <c r="AI73" i="37"/>
  <c r="AJ73" i="37"/>
  <c r="AK73" i="37"/>
  <c r="CO73" i="37" s="1"/>
  <c r="AU73" i="37"/>
  <c r="AV73" i="37"/>
  <c r="AW73" i="37"/>
  <c r="AX73" i="37"/>
  <c r="AY73" i="37"/>
  <c r="AZ73" i="37"/>
  <c r="BM73" i="37"/>
  <c r="BN73" i="37"/>
  <c r="BO73" i="37"/>
  <c r="BP73" i="37"/>
  <c r="BQ73" i="37"/>
  <c r="BR73" i="37"/>
  <c r="CB73" i="37"/>
  <c r="CC73" i="37"/>
  <c r="CD73" i="37"/>
  <c r="CE73" i="37"/>
  <c r="CF73" i="37"/>
  <c r="CG73" i="37"/>
  <c r="CQ73" i="37"/>
  <c r="CR73" i="37"/>
  <c r="CS73" i="37"/>
  <c r="CT73" i="37"/>
  <c r="CU73" i="37"/>
  <c r="CV73" i="37"/>
  <c r="AG74" i="37"/>
  <c r="AH74" i="37"/>
  <c r="AI74" i="37"/>
  <c r="AJ74" i="37"/>
  <c r="AK74" i="37"/>
  <c r="AO74" i="37" s="1"/>
  <c r="AU74" i="37"/>
  <c r="AV74" i="37"/>
  <c r="AW74" i="37"/>
  <c r="AX74" i="37"/>
  <c r="AY74" i="37"/>
  <c r="AZ74" i="37"/>
  <c r="BM74" i="37"/>
  <c r="BN74" i="37"/>
  <c r="BO74" i="37"/>
  <c r="BP74" i="37"/>
  <c r="BQ74" i="37"/>
  <c r="BR74" i="37"/>
  <c r="CB74" i="37"/>
  <c r="CC74" i="37"/>
  <c r="CD74" i="37"/>
  <c r="CE74" i="37"/>
  <c r="CF74" i="37"/>
  <c r="CG74" i="37"/>
  <c r="CQ74" i="37"/>
  <c r="CR74" i="37"/>
  <c r="CS74" i="37"/>
  <c r="CT74" i="37"/>
  <c r="CU74" i="37"/>
  <c r="CV74" i="37"/>
  <c r="AG75" i="37"/>
  <c r="AH75" i="37"/>
  <c r="AI75" i="37"/>
  <c r="AJ75" i="37"/>
  <c r="AK75" i="37"/>
  <c r="AU75" i="37"/>
  <c r="AV75" i="37"/>
  <c r="AW75" i="37"/>
  <c r="AX75" i="37"/>
  <c r="AY75" i="37"/>
  <c r="AZ75" i="37"/>
  <c r="BM75" i="37"/>
  <c r="BN75" i="37"/>
  <c r="BO75" i="37"/>
  <c r="BP75" i="37"/>
  <c r="BQ75" i="37"/>
  <c r="BR75" i="37"/>
  <c r="CB75" i="37"/>
  <c r="CC75" i="37"/>
  <c r="CD75" i="37"/>
  <c r="CE75" i="37"/>
  <c r="CF75" i="37"/>
  <c r="CG75" i="37"/>
  <c r="CQ75" i="37"/>
  <c r="CR75" i="37"/>
  <c r="CS75" i="37"/>
  <c r="CT75" i="37"/>
  <c r="CU75" i="37"/>
  <c r="CV75" i="37"/>
  <c r="AG76" i="37"/>
  <c r="AH76" i="37"/>
  <c r="AI76" i="37"/>
  <c r="AJ76" i="37"/>
  <c r="AK76" i="37"/>
  <c r="AO76" i="37" s="1"/>
  <c r="AU76" i="37"/>
  <c r="AV76" i="37"/>
  <c r="AW76" i="37"/>
  <c r="AX76" i="37"/>
  <c r="AY76" i="37"/>
  <c r="AZ76" i="37"/>
  <c r="BM76" i="37"/>
  <c r="BN76" i="37"/>
  <c r="BO76" i="37"/>
  <c r="BP76" i="37"/>
  <c r="BQ76" i="37"/>
  <c r="BR76" i="37"/>
  <c r="CB76" i="37"/>
  <c r="CC76" i="37"/>
  <c r="CD76" i="37"/>
  <c r="CE76" i="37"/>
  <c r="CF76" i="37"/>
  <c r="CG76" i="37"/>
  <c r="CQ76" i="37"/>
  <c r="CR76" i="37"/>
  <c r="CS76" i="37"/>
  <c r="CT76" i="37"/>
  <c r="CU76" i="37"/>
  <c r="CV76" i="37"/>
  <c r="AG77" i="37"/>
  <c r="AH77" i="37"/>
  <c r="AI77" i="37"/>
  <c r="AJ77" i="37"/>
  <c r="AK77" i="37"/>
  <c r="BI77" i="37" s="1"/>
  <c r="AU77" i="37"/>
  <c r="AV77" i="37"/>
  <c r="AW77" i="37"/>
  <c r="AX77" i="37"/>
  <c r="AY77" i="37"/>
  <c r="AZ77" i="37"/>
  <c r="BM77" i="37"/>
  <c r="BN77" i="37"/>
  <c r="BO77" i="37"/>
  <c r="BP77" i="37"/>
  <c r="BQ77" i="37"/>
  <c r="BR77" i="37"/>
  <c r="CB77" i="37"/>
  <c r="CC77" i="37"/>
  <c r="CD77" i="37"/>
  <c r="CE77" i="37"/>
  <c r="CF77" i="37"/>
  <c r="CG77" i="37"/>
  <c r="CQ77" i="37"/>
  <c r="CR77" i="37"/>
  <c r="CS77" i="37"/>
  <c r="CT77" i="37"/>
  <c r="CU77" i="37"/>
  <c r="CV77" i="37"/>
  <c r="AG78" i="37"/>
  <c r="AH78" i="37"/>
  <c r="AI78" i="37"/>
  <c r="AJ78" i="37"/>
  <c r="AK78" i="37"/>
  <c r="AL78" i="37" s="1"/>
  <c r="AU78" i="37"/>
  <c r="AV78" i="37"/>
  <c r="AW78" i="37"/>
  <c r="AX78" i="37"/>
  <c r="AY78" i="37"/>
  <c r="AZ78" i="37"/>
  <c r="BJ78" i="37"/>
  <c r="BM78" i="37"/>
  <c r="BN78" i="37"/>
  <c r="BO78" i="37"/>
  <c r="BP78" i="37"/>
  <c r="BQ78" i="37"/>
  <c r="BR78" i="37"/>
  <c r="BV78" i="37"/>
  <c r="CB78" i="37"/>
  <c r="CC78" i="37"/>
  <c r="CD78" i="37"/>
  <c r="CE78" i="37"/>
  <c r="CF78" i="37"/>
  <c r="CG78" i="37"/>
  <c r="CQ78" i="37"/>
  <c r="CR78" i="37"/>
  <c r="CS78" i="37"/>
  <c r="CT78" i="37"/>
  <c r="CU78" i="37"/>
  <c r="CV78" i="37"/>
  <c r="AG79" i="37"/>
  <c r="AH79" i="37"/>
  <c r="AI79" i="37"/>
  <c r="AJ79" i="37"/>
  <c r="AK79" i="37"/>
  <c r="AS79" i="37" s="1"/>
  <c r="AU79" i="37"/>
  <c r="AV79" i="37"/>
  <c r="AW79" i="37"/>
  <c r="AX79" i="37"/>
  <c r="AY79" i="37"/>
  <c r="AZ79" i="37"/>
  <c r="BA79" i="37"/>
  <c r="BM79" i="37"/>
  <c r="BN79" i="37"/>
  <c r="BO79" i="37"/>
  <c r="BP79" i="37"/>
  <c r="BQ79" i="37"/>
  <c r="BR79" i="37"/>
  <c r="CB79" i="37"/>
  <c r="CC79" i="37"/>
  <c r="CD79" i="37"/>
  <c r="CE79" i="37"/>
  <c r="CF79" i="37"/>
  <c r="CG79" i="37"/>
  <c r="CQ79" i="37"/>
  <c r="CR79" i="37"/>
  <c r="CS79" i="37"/>
  <c r="CT79" i="37"/>
  <c r="CU79" i="37"/>
  <c r="CV79" i="37"/>
  <c r="AG80" i="37"/>
  <c r="AH80" i="37"/>
  <c r="AI80" i="37"/>
  <c r="AJ80" i="37"/>
  <c r="AK80" i="37"/>
  <c r="CK80" i="37" s="1"/>
  <c r="AU80" i="37"/>
  <c r="AV80" i="37"/>
  <c r="AW80" i="37"/>
  <c r="AX80" i="37"/>
  <c r="AY80" i="37"/>
  <c r="AZ80" i="37"/>
  <c r="BM80" i="37"/>
  <c r="BN80" i="37"/>
  <c r="BO80" i="37"/>
  <c r="BP80" i="37"/>
  <c r="BQ80" i="37"/>
  <c r="BR80" i="37"/>
  <c r="CB80" i="37"/>
  <c r="CC80" i="37"/>
  <c r="CD80" i="37"/>
  <c r="CE80" i="37"/>
  <c r="CF80" i="37"/>
  <c r="CG80" i="37"/>
  <c r="CQ80" i="37"/>
  <c r="CR80" i="37"/>
  <c r="CS80" i="37"/>
  <c r="CT80" i="37"/>
  <c r="CU80" i="37"/>
  <c r="CV80" i="37"/>
  <c r="AG81" i="37"/>
  <c r="AH81" i="37"/>
  <c r="AI81" i="37"/>
  <c r="AJ81" i="37"/>
  <c r="AK81" i="37"/>
  <c r="CP81" i="37" s="1"/>
  <c r="AU81" i="37"/>
  <c r="AV81" i="37"/>
  <c r="AW81" i="37"/>
  <c r="AX81" i="37"/>
  <c r="AY81" i="37"/>
  <c r="AZ81" i="37"/>
  <c r="BM81" i="37"/>
  <c r="BN81" i="37"/>
  <c r="BO81" i="37"/>
  <c r="BP81" i="37"/>
  <c r="BQ81" i="37"/>
  <c r="BR81" i="37"/>
  <c r="CB81" i="37"/>
  <c r="CC81" i="37"/>
  <c r="CD81" i="37"/>
  <c r="CE81" i="37"/>
  <c r="CF81" i="37"/>
  <c r="CG81" i="37"/>
  <c r="CQ81" i="37"/>
  <c r="CR81" i="37"/>
  <c r="CS81" i="37"/>
  <c r="CT81" i="37"/>
  <c r="CU81" i="37"/>
  <c r="CV81" i="37"/>
  <c r="AG82" i="37"/>
  <c r="AH82" i="37"/>
  <c r="AI82" i="37"/>
  <c r="AJ82" i="37"/>
  <c r="AK82" i="37"/>
  <c r="AL82" i="37" s="1"/>
  <c r="AU82" i="37"/>
  <c r="AV82" i="37"/>
  <c r="AW82" i="37"/>
  <c r="AX82" i="37"/>
  <c r="AY82" i="37"/>
  <c r="AZ82" i="37"/>
  <c r="BM82" i="37"/>
  <c r="BN82" i="37"/>
  <c r="BO82" i="37"/>
  <c r="BP82" i="37"/>
  <c r="BQ82" i="37"/>
  <c r="BR82" i="37"/>
  <c r="CB82" i="37"/>
  <c r="CC82" i="37"/>
  <c r="CD82" i="37"/>
  <c r="CE82" i="37"/>
  <c r="CF82" i="37"/>
  <c r="CG82" i="37"/>
  <c r="CQ82" i="37"/>
  <c r="CR82" i="37"/>
  <c r="CS82" i="37"/>
  <c r="CT82" i="37"/>
  <c r="CU82" i="37"/>
  <c r="CV82" i="37"/>
  <c r="AG83" i="37"/>
  <c r="AH83" i="37"/>
  <c r="AI83" i="37"/>
  <c r="AJ83" i="37"/>
  <c r="AK83" i="37"/>
  <c r="AP83" i="37" s="1"/>
  <c r="AU83" i="37"/>
  <c r="AV83" i="37"/>
  <c r="AW83" i="37"/>
  <c r="AX83" i="37"/>
  <c r="AY83" i="37"/>
  <c r="AZ83" i="37"/>
  <c r="BL83" i="37"/>
  <c r="BM83" i="37"/>
  <c r="BN83" i="37"/>
  <c r="BO83" i="37"/>
  <c r="BP83" i="37"/>
  <c r="BQ83" i="37"/>
  <c r="BR83" i="37"/>
  <c r="BU83" i="37"/>
  <c r="CB83" i="37"/>
  <c r="CC83" i="37"/>
  <c r="CD83" i="37"/>
  <c r="CE83" i="37"/>
  <c r="CF83" i="37"/>
  <c r="CG83" i="37"/>
  <c r="CN83" i="37"/>
  <c r="CQ83" i="37"/>
  <c r="CR83" i="37"/>
  <c r="CS83" i="37"/>
  <c r="CT83" i="37"/>
  <c r="CU83" i="37"/>
  <c r="CV83" i="37"/>
  <c r="AG84" i="37"/>
  <c r="AH84" i="37"/>
  <c r="AI84" i="37"/>
  <c r="AJ84" i="37"/>
  <c r="AK84" i="37"/>
  <c r="AU84" i="37"/>
  <c r="AV84" i="37"/>
  <c r="AW84" i="37"/>
  <c r="AX84" i="37"/>
  <c r="AY84" i="37"/>
  <c r="AZ84" i="37"/>
  <c r="BM84" i="37"/>
  <c r="BN84" i="37"/>
  <c r="BO84" i="37"/>
  <c r="BP84" i="37"/>
  <c r="BQ84" i="37"/>
  <c r="BR84" i="37"/>
  <c r="CB84" i="37"/>
  <c r="CC84" i="37"/>
  <c r="CD84" i="37"/>
  <c r="CE84" i="37"/>
  <c r="CF84" i="37"/>
  <c r="CG84" i="37"/>
  <c r="CQ84" i="37"/>
  <c r="CR84" i="37"/>
  <c r="CS84" i="37"/>
  <c r="CT84" i="37"/>
  <c r="CU84" i="37"/>
  <c r="CV84" i="37"/>
  <c r="AG85" i="37"/>
  <c r="AH85" i="37"/>
  <c r="AI85" i="37"/>
  <c r="AJ85" i="37"/>
  <c r="AK85" i="37"/>
  <c r="AL85" i="37" s="1"/>
  <c r="AU85" i="37"/>
  <c r="AV85" i="37"/>
  <c r="AW85" i="37"/>
  <c r="AX85" i="37"/>
  <c r="AY85" i="37"/>
  <c r="AZ85" i="37"/>
  <c r="BM85" i="37"/>
  <c r="BN85" i="37"/>
  <c r="BO85" i="37"/>
  <c r="BP85" i="37"/>
  <c r="BQ85" i="37"/>
  <c r="BR85" i="37"/>
  <c r="CB85" i="37"/>
  <c r="CC85" i="37"/>
  <c r="CD85" i="37"/>
  <c r="CE85" i="37"/>
  <c r="CF85" i="37"/>
  <c r="CG85" i="37"/>
  <c r="CQ85" i="37"/>
  <c r="CR85" i="37"/>
  <c r="CS85" i="37"/>
  <c r="CT85" i="37"/>
  <c r="CU85" i="37"/>
  <c r="CV85" i="37"/>
  <c r="AG35" i="37"/>
  <c r="AH35" i="37"/>
  <c r="AI35" i="37"/>
  <c r="AJ35" i="37"/>
  <c r="AK35" i="37"/>
  <c r="AR35" i="37" s="1"/>
  <c r="AU35" i="37"/>
  <c r="AV35" i="37"/>
  <c r="AW35" i="37"/>
  <c r="AX35" i="37"/>
  <c r="AY35" i="37"/>
  <c r="AZ35" i="37"/>
  <c r="BM35" i="37"/>
  <c r="BN35" i="37"/>
  <c r="BO35" i="37"/>
  <c r="BP35" i="37"/>
  <c r="BQ35" i="37"/>
  <c r="BR35" i="37"/>
  <c r="CB35" i="37"/>
  <c r="CC35" i="37"/>
  <c r="CD35" i="37"/>
  <c r="CE35" i="37"/>
  <c r="CF35" i="37"/>
  <c r="CG35" i="37"/>
  <c r="CQ35" i="37"/>
  <c r="CR35" i="37"/>
  <c r="CS35" i="37"/>
  <c r="CT35" i="37"/>
  <c r="CU35" i="37"/>
  <c r="CV35" i="37"/>
  <c r="AG36" i="37"/>
  <c r="AH36" i="37"/>
  <c r="AI36" i="37"/>
  <c r="AJ36" i="37"/>
  <c r="AK36" i="37"/>
  <c r="BA36" i="37" s="1"/>
  <c r="AU36" i="37"/>
  <c r="AV36" i="37"/>
  <c r="AW36" i="37"/>
  <c r="AX36" i="37"/>
  <c r="AY36" i="37"/>
  <c r="AZ36" i="37"/>
  <c r="BM36" i="37"/>
  <c r="BN36" i="37"/>
  <c r="BO36" i="37"/>
  <c r="BP36" i="37"/>
  <c r="BQ36" i="37"/>
  <c r="BR36" i="37"/>
  <c r="CB36" i="37"/>
  <c r="CC36" i="37"/>
  <c r="CD36" i="37"/>
  <c r="CE36" i="37"/>
  <c r="CF36" i="37"/>
  <c r="CG36" i="37"/>
  <c r="CQ36" i="37"/>
  <c r="CR36" i="37"/>
  <c r="CS36" i="37"/>
  <c r="CT36" i="37"/>
  <c r="CU36" i="37"/>
  <c r="CV36" i="37"/>
  <c r="AG37" i="37"/>
  <c r="AH37" i="37"/>
  <c r="AI37" i="37"/>
  <c r="AJ37" i="37"/>
  <c r="AK37" i="37"/>
  <c r="BU37" i="37" s="1"/>
  <c r="AU37" i="37"/>
  <c r="AV37" i="37"/>
  <c r="AW37" i="37"/>
  <c r="AX37" i="37"/>
  <c r="AY37" i="37"/>
  <c r="AZ37" i="37"/>
  <c r="BM37" i="37"/>
  <c r="BN37" i="37"/>
  <c r="BO37" i="37"/>
  <c r="BP37" i="37"/>
  <c r="BQ37" i="37"/>
  <c r="BR37" i="37"/>
  <c r="CB37" i="37"/>
  <c r="CC37" i="37"/>
  <c r="CD37" i="37"/>
  <c r="CE37" i="37"/>
  <c r="CF37" i="37"/>
  <c r="CG37" i="37"/>
  <c r="CQ37" i="37"/>
  <c r="CR37" i="37"/>
  <c r="CS37" i="37"/>
  <c r="CT37" i="37"/>
  <c r="CU37" i="37"/>
  <c r="CV37" i="37"/>
  <c r="AG38" i="37"/>
  <c r="AH38" i="37"/>
  <c r="AI38" i="37"/>
  <c r="AJ38" i="37"/>
  <c r="AK38" i="37"/>
  <c r="AL38" i="37" s="1"/>
  <c r="AU38" i="37"/>
  <c r="AV38" i="37"/>
  <c r="AW38" i="37"/>
  <c r="AX38" i="37"/>
  <c r="AY38" i="37"/>
  <c r="AZ38" i="37"/>
  <c r="BM38" i="37"/>
  <c r="BN38" i="37"/>
  <c r="BO38" i="37"/>
  <c r="BP38" i="37"/>
  <c r="BQ38" i="37"/>
  <c r="BR38" i="37"/>
  <c r="CB38" i="37"/>
  <c r="CC38" i="37"/>
  <c r="CD38" i="37"/>
  <c r="CE38" i="37"/>
  <c r="CF38" i="37"/>
  <c r="CG38" i="37"/>
  <c r="CQ38" i="37"/>
  <c r="CR38" i="37"/>
  <c r="CS38" i="37"/>
  <c r="CT38" i="37"/>
  <c r="CU38" i="37"/>
  <c r="CV38" i="37"/>
  <c r="AG39" i="37"/>
  <c r="AH39" i="37"/>
  <c r="AI39" i="37"/>
  <c r="AJ39" i="37"/>
  <c r="AK39" i="37"/>
  <c r="AL39" i="37" s="1"/>
  <c r="AU39" i="37"/>
  <c r="AV39" i="37"/>
  <c r="AW39" i="37"/>
  <c r="AX39" i="37"/>
  <c r="AY39" i="37"/>
  <c r="AZ39" i="37"/>
  <c r="BM39" i="37"/>
  <c r="BN39" i="37"/>
  <c r="BO39" i="37"/>
  <c r="BP39" i="37"/>
  <c r="BQ39" i="37"/>
  <c r="BR39" i="37"/>
  <c r="CB39" i="37"/>
  <c r="CC39" i="37"/>
  <c r="CD39" i="37"/>
  <c r="CE39" i="37"/>
  <c r="CF39" i="37"/>
  <c r="CG39" i="37"/>
  <c r="CQ39" i="37"/>
  <c r="CR39" i="37"/>
  <c r="CS39" i="37"/>
  <c r="CT39" i="37"/>
  <c r="CU39" i="37"/>
  <c r="CV39" i="37"/>
  <c r="AG40" i="37"/>
  <c r="AH40" i="37"/>
  <c r="AI40" i="37"/>
  <c r="AJ40" i="37"/>
  <c r="AK40" i="37"/>
  <c r="AL40" i="37" s="1"/>
  <c r="AU40" i="37"/>
  <c r="AV40" i="37"/>
  <c r="AW40" i="37"/>
  <c r="AX40" i="37"/>
  <c r="AY40" i="37"/>
  <c r="AZ40" i="37"/>
  <c r="BM40" i="37"/>
  <c r="BN40" i="37"/>
  <c r="BO40" i="37"/>
  <c r="BP40" i="37"/>
  <c r="BQ40" i="37"/>
  <c r="BR40" i="37"/>
  <c r="CB40" i="37"/>
  <c r="CC40" i="37"/>
  <c r="CD40" i="37"/>
  <c r="CE40" i="37"/>
  <c r="CF40" i="37"/>
  <c r="CG40" i="37"/>
  <c r="CQ40" i="37"/>
  <c r="CR40" i="37"/>
  <c r="CS40" i="37"/>
  <c r="CT40" i="37"/>
  <c r="CU40" i="37"/>
  <c r="CV40" i="37"/>
  <c r="AG41" i="37"/>
  <c r="AH41" i="37"/>
  <c r="AI41" i="37"/>
  <c r="AJ41" i="37"/>
  <c r="AK41" i="37"/>
  <c r="CJ41" i="37" s="1"/>
  <c r="AU41" i="37"/>
  <c r="AV41" i="37"/>
  <c r="AW41" i="37"/>
  <c r="AX41" i="37"/>
  <c r="AY41" i="37"/>
  <c r="AZ41" i="37"/>
  <c r="BM41" i="37"/>
  <c r="BN41" i="37"/>
  <c r="BO41" i="37"/>
  <c r="BP41" i="37"/>
  <c r="BQ41" i="37"/>
  <c r="BR41" i="37"/>
  <c r="CB41" i="37"/>
  <c r="CC41" i="37"/>
  <c r="CD41" i="37"/>
  <c r="CE41" i="37"/>
  <c r="CF41" i="37"/>
  <c r="CG41" i="37"/>
  <c r="CQ41" i="37"/>
  <c r="CR41" i="37"/>
  <c r="CS41" i="37"/>
  <c r="CT41" i="37"/>
  <c r="CU41" i="37"/>
  <c r="CV41" i="37"/>
  <c r="AG42" i="37"/>
  <c r="AH42" i="37"/>
  <c r="AI42" i="37"/>
  <c r="AJ42" i="37"/>
  <c r="AK42" i="37"/>
  <c r="AU42" i="37"/>
  <c r="AV42" i="37"/>
  <c r="AW42" i="37"/>
  <c r="AX42" i="37"/>
  <c r="AY42" i="37"/>
  <c r="AZ42" i="37"/>
  <c r="BM42" i="37"/>
  <c r="BN42" i="37"/>
  <c r="BO42" i="37"/>
  <c r="BP42" i="37"/>
  <c r="BQ42" i="37"/>
  <c r="BR42" i="37"/>
  <c r="CB42" i="37"/>
  <c r="CC42" i="37"/>
  <c r="CD42" i="37"/>
  <c r="CE42" i="37"/>
  <c r="CF42" i="37"/>
  <c r="CG42" i="37"/>
  <c r="CQ42" i="37"/>
  <c r="CR42" i="37"/>
  <c r="CS42" i="37"/>
  <c r="CT42" i="37"/>
  <c r="CU42" i="37"/>
  <c r="CV42" i="37"/>
  <c r="AG43" i="37"/>
  <c r="AH43" i="37"/>
  <c r="AI43" i="37"/>
  <c r="AJ43" i="37"/>
  <c r="AK43" i="37"/>
  <c r="AR43" i="37" s="1"/>
  <c r="AU43" i="37"/>
  <c r="AV43" i="37"/>
  <c r="AW43" i="37"/>
  <c r="AX43" i="37"/>
  <c r="AY43" i="37"/>
  <c r="AZ43" i="37"/>
  <c r="BM43" i="37"/>
  <c r="BN43" i="37"/>
  <c r="BO43" i="37"/>
  <c r="BP43" i="37"/>
  <c r="BQ43" i="37"/>
  <c r="BR43" i="37"/>
  <c r="CB43" i="37"/>
  <c r="CC43" i="37"/>
  <c r="CD43" i="37"/>
  <c r="CE43" i="37"/>
  <c r="CF43" i="37"/>
  <c r="CG43" i="37"/>
  <c r="CQ43" i="37"/>
  <c r="CR43" i="37"/>
  <c r="CS43" i="37"/>
  <c r="CT43" i="37"/>
  <c r="CU43" i="37"/>
  <c r="CV43" i="37"/>
  <c r="AG44" i="37"/>
  <c r="AH44" i="37"/>
  <c r="AI44" i="37"/>
  <c r="AJ44" i="37"/>
  <c r="AK44" i="37"/>
  <c r="BE44" i="37" s="1"/>
  <c r="AU44" i="37"/>
  <c r="AV44" i="37"/>
  <c r="AW44" i="37"/>
  <c r="AX44" i="37"/>
  <c r="AY44" i="37"/>
  <c r="AZ44" i="37"/>
  <c r="BM44" i="37"/>
  <c r="BN44" i="37"/>
  <c r="BO44" i="37"/>
  <c r="BP44" i="37"/>
  <c r="BQ44" i="37"/>
  <c r="BR44" i="37"/>
  <c r="CB44" i="37"/>
  <c r="CC44" i="37"/>
  <c r="CD44" i="37"/>
  <c r="CE44" i="37"/>
  <c r="CF44" i="37"/>
  <c r="CG44" i="37"/>
  <c r="CQ44" i="37"/>
  <c r="CR44" i="37"/>
  <c r="CS44" i="37"/>
  <c r="CT44" i="37"/>
  <c r="CU44" i="37"/>
  <c r="CV44" i="37"/>
  <c r="AG45" i="37"/>
  <c r="AH45" i="37"/>
  <c r="AI45" i="37"/>
  <c r="AJ45" i="37"/>
  <c r="AK45" i="37"/>
  <c r="AM45" i="37" s="1"/>
  <c r="AU45" i="37"/>
  <c r="AV45" i="37"/>
  <c r="AW45" i="37"/>
  <c r="AX45" i="37"/>
  <c r="AY45" i="37"/>
  <c r="AZ45" i="37"/>
  <c r="BM45" i="37"/>
  <c r="BN45" i="37"/>
  <c r="BO45" i="37"/>
  <c r="BP45" i="37"/>
  <c r="BQ45" i="37"/>
  <c r="BR45" i="37"/>
  <c r="CB45" i="37"/>
  <c r="CC45" i="37"/>
  <c r="CD45" i="37"/>
  <c r="CE45" i="37"/>
  <c r="CF45" i="37"/>
  <c r="CG45" i="37"/>
  <c r="CQ45" i="37"/>
  <c r="CR45" i="37"/>
  <c r="CS45" i="37"/>
  <c r="CT45" i="37"/>
  <c r="CU45" i="37"/>
  <c r="CV45" i="37"/>
  <c r="AG46" i="37"/>
  <c r="AH46" i="37"/>
  <c r="AI46" i="37"/>
  <c r="AJ46" i="37"/>
  <c r="AK46" i="37"/>
  <c r="AN46" i="37" s="1"/>
  <c r="AU46" i="37"/>
  <c r="AV46" i="37"/>
  <c r="AW46" i="37"/>
  <c r="AX46" i="37"/>
  <c r="AY46" i="37"/>
  <c r="AZ46" i="37"/>
  <c r="BM46" i="37"/>
  <c r="BN46" i="37"/>
  <c r="BO46" i="37"/>
  <c r="BP46" i="37"/>
  <c r="BQ46" i="37"/>
  <c r="BR46" i="37"/>
  <c r="CB46" i="37"/>
  <c r="CC46" i="37"/>
  <c r="CD46" i="37"/>
  <c r="CE46" i="37"/>
  <c r="CF46" i="37"/>
  <c r="CG46" i="37"/>
  <c r="CQ46" i="37"/>
  <c r="CR46" i="37"/>
  <c r="CS46" i="37"/>
  <c r="CT46" i="37"/>
  <c r="CU46" i="37"/>
  <c r="CV46" i="37"/>
  <c r="AG47" i="37"/>
  <c r="AH47" i="37"/>
  <c r="AI47" i="37"/>
  <c r="AJ47" i="37"/>
  <c r="AK47" i="37"/>
  <c r="AQ47" i="37" s="1"/>
  <c r="AU47" i="37"/>
  <c r="AV47" i="37"/>
  <c r="AW47" i="37"/>
  <c r="AX47" i="37"/>
  <c r="AY47" i="37"/>
  <c r="AZ47" i="37"/>
  <c r="BM47" i="37"/>
  <c r="BN47" i="37"/>
  <c r="BO47" i="37"/>
  <c r="BP47" i="37"/>
  <c r="BQ47" i="37"/>
  <c r="BR47" i="37"/>
  <c r="CB47" i="37"/>
  <c r="CC47" i="37"/>
  <c r="CD47" i="37"/>
  <c r="CE47" i="37"/>
  <c r="CF47" i="37"/>
  <c r="CG47" i="37"/>
  <c r="CQ47" i="37"/>
  <c r="CR47" i="37"/>
  <c r="CS47" i="37"/>
  <c r="CT47" i="37"/>
  <c r="CU47" i="37"/>
  <c r="CV47" i="37"/>
  <c r="AG48" i="37"/>
  <c r="AH48" i="37"/>
  <c r="AI48" i="37"/>
  <c r="AJ48" i="37"/>
  <c r="AK48" i="37"/>
  <c r="AR48" i="37" s="1"/>
  <c r="AU48" i="37"/>
  <c r="AV48" i="37"/>
  <c r="AW48" i="37"/>
  <c r="AX48" i="37"/>
  <c r="AY48" i="37"/>
  <c r="AZ48" i="37"/>
  <c r="BM48" i="37"/>
  <c r="BN48" i="37"/>
  <c r="BO48" i="37"/>
  <c r="BP48" i="37"/>
  <c r="BQ48" i="37"/>
  <c r="BR48" i="37"/>
  <c r="CB48" i="37"/>
  <c r="CC48" i="37"/>
  <c r="CD48" i="37"/>
  <c r="CE48" i="37"/>
  <c r="CF48" i="37"/>
  <c r="CG48" i="37"/>
  <c r="CQ48" i="37"/>
  <c r="CR48" i="37"/>
  <c r="CS48" i="37"/>
  <c r="CT48" i="37"/>
  <c r="CU48" i="37"/>
  <c r="CV48" i="37"/>
  <c r="AG49" i="37"/>
  <c r="AH49" i="37"/>
  <c r="AI49" i="37"/>
  <c r="AJ49" i="37"/>
  <c r="AK49" i="37"/>
  <c r="AU49" i="37"/>
  <c r="AV49" i="37"/>
  <c r="AW49" i="37"/>
  <c r="AX49" i="37"/>
  <c r="AY49" i="37"/>
  <c r="AZ49" i="37"/>
  <c r="BM49" i="37"/>
  <c r="BN49" i="37"/>
  <c r="BO49" i="37"/>
  <c r="BP49" i="37"/>
  <c r="BQ49" i="37"/>
  <c r="BR49" i="37"/>
  <c r="CB49" i="37"/>
  <c r="CC49" i="37"/>
  <c r="CD49" i="37"/>
  <c r="CE49" i="37"/>
  <c r="CF49" i="37"/>
  <c r="CG49" i="37"/>
  <c r="CQ49" i="37"/>
  <c r="CR49" i="37"/>
  <c r="CS49" i="37"/>
  <c r="CT49" i="37"/>
  <c r="CU49" i="37"/>
  <c r="CV49" i="37"/>
  <c r="AG50" i="37"/>
  <c r="AH50" i="37"/>
  <c r="AI50" i="37"/>
  <c r="AJ50" i="37"/>
  <c r="AK50" i="37"/>
  <c r="AO50" i="37" s="1"/>
  <c r="AU50" i="37"/>
  <c r="AV50" i="37"/>
  <c r="AW50" i="37"/>
  <c r="AX50" i="37"/>
  <c r="AY50" i="37"/>
  <c r="AZ50" i="37"/>
  <c r="BM50" i="37"/>
  <c r="BN50" i="37"/>
  <c r="BO50" i="37"/>
  <c r="BP50" i="37"/>
  <c r="BQ50" i="37"/>
  <c r="BR50" i="37"/>
  <c r="CB50" i="37"/>
  <c r="CC50" i="37"/>
  <c r="CD50" i="37"/>
  <c r="CE50" i="37"/>
  <c r="CF50" i="37"/>
  <c r="CG50" i="37"/>
  <c r="CQ50" i="37"/>
  <c r="CR50" i="37"/>
  <c r="CS50" i="37"/>
  <c r="CT50" i="37"/>
  <c r="CU50" i="37"/>
  <c r="CV50" i="37"/>
  <c r="AG51" i="37"/>
  <c r="AH51" i="37"/>
  <c r="AI51" i="37"/>
  <c r="AJ51" i="37"/>
  <c r="AK51" i="37"/>
  <c r="AM51" i="37" s="1"/>
  <c r="AU51" i="37"/>
  <c r="AV51" i="37"/>
  <c r="AW51" i="37"/>
  <c r="AX51" i="37"/>
  <c r="AY51" i="37"/>
  <c r="AZ51" i="37"/>
  <c r="BM51" i="37"/>
  <c r="BN51" i="37"/>
  <c r="BO51" i="37"/>
  <c r="BP51" i="37"/>
  <c r="BQ51" i="37"/>
  <c r="BR51" i="37"/>
  <c r="CB51" i="37"/>
  <c r="CC51" i="37"/>
  <c r="CD51" i="37"/>
  <c r="CE51" i="37"/>
  <c r="CF51" i="37"/>
  <c r="CG51" i="37"/>
  <c r="CQ51" i="37"/>
  <c r="CR51" i="37"/>
  <c r="CS51" i="37"/>
  <c r="CT51" i="37"/>
  <c r="CU51" i="37"/>
  <c r="CV51" i="37"/>
  <c r="AG52" i="37"/>
  <c r="AH52" i="37"/>
  <c r="AI52" i="37"/>
  <c r="AJ52" i="37"/>
  <c r="AK52" i="37"/>
  <c r="AU52" i="37"/>
  <c r="AV52" i="37"/>
  <c r="AW52" i="37"/>
  <c r="AX52" i="37"/>
  <c r="AY52" i="37"/>
  <c r="AZ52" i="37"/>
  <c r="BM52" i="37"/>
  <c r="BN52" i="37"/>
  <c r="BO52" i="37"/>
  <c r="BP52" i="37"/>
  <c r="BQ52" i="37"/>
  <c r="BR52" i="37"/>
  <c r="CB52" i="37"/>
  <c r="CC52" i="37"/>
  <c r="CD52" i="37"/>
  <c r="CE52" i="37"/>
  <c r="CF52" i="37"/>
  <c r="CG52" i="37"/>
  <c r="CQ52" i="37"/>
  <c r="CR52" i="37"/>
  <c r="CS52" i="37"/>
  <c r="CT52" i="37"/>
  <c r="CU52" i="37"/>
  <c r="CV52" i="37"/>
  <c r="AG53" i="37"/>
  <c r="AH53" i="37"/>
  <c r="AI53" i="37"/>
  <c r="AJ53" i="37"/>
  <c r="AK53" i="37"/>
  <c r="BG53" i="37" s="1"/>
  <c r="AU53" i="37"/>
  <c r="AV53" i="37"/>
  <c r="AW53" i="37"/>
  <c r="AX53" i="37"/>
  <c r="AY53" i="37"/>
  <c r="AZ53" i="37"/>
  <c r="BM53" i="37"/>
  <c r="BN53" i="37"/>
  <c r="BO53" i="37"/>
  <c r="BP53" i="37"/>
  <c r="BQ53" i="37"/>
  <c r="BR53" i="37"/>
  <c r="CB53" i="37"/>
  <c r="CC53" i="37"/>
  <c r="CD53" i="37"/>
  <c r="CE53" i="37"/>
  <c r="CF53" i="37"/>
  <c r="CG53" i="37"/>
  <c r="CQ53" i="37"/>
  <c r="CR53" i="37"/>
  <c r="CS53" i="37"/>
  <c r="CT53" i="37"/>
  <c r="CU53" i="37"/>
  <c r="CV53" i="37"/>
  <c r="AG54" i="37"/>
  <c r="AH54" i="37"/>
  <c r="AI54" i="37"/>
  <c r="AJ54" i="37"/>
  <c r="AK54" i="37"/>
  <c r="BC54" i="37" s="1"/>
  <c r="AU54" i="37"/>
  <c r="AV54" i="37"/>
  <c r="AW54" i="37"/>
  <c r="AX54" i="37"/>
  <c r="AY54" i="37"/>
  <c r="AZ54" i="37"/>
  <c r="BM54" i="37"/>
  <c r="BN54" i="37"/>
  <c r="BO54" i="37"/>
  <c r="BP54" i="37"/>
  <c r="BQ54" i="37"/>
  <c r="BR54" i="37"/>
  <c r="CB54" i="37"/>
  <c r="CC54" i="37"/>
  <c r="CD54" i="37"/>
  <c r="CE54" i="37"/>
  <c r="CF54" i="37"/>
  <c r="CG54" i="37"/>
  <c r="CQ54" i="37"/>
  <c r="CR54" i="37"/>
  <c r="CS54" i="37"/>
  <c r="CT54" i="37"/>
  <c r="CU54" i="37"/>
  <c r="CV54" i="37"/>
  <c r="AG55" i="37"/>
  <c r="AH55" i="37"/>
  <c r="AI55" i="37"/>
  <c r="AJ55" i="37"/>
  <c r="AK55" i="37"/>
  <c r="BW55" i="37" s="1"/>
  <c r="AU55" i="37"/>
  <c r="AV55" i="37"/>
  <c r="AW55" i="37"/>
  <c r="AX55" i="37"/>
  <c r="AY55" i="37"/>
  <c r="AZ55" i="37"/>
  <c r="BM55" i="37"/>
  <c r="BN55" i="37"/>
  <c r="BO55" i="37"/>
  <c r="BP55" i="37"/>
  <c r="BQ55" i="37"/>
  <c r="BR55" i="37"/>
  <c r="CB55" i="37"/>
  <c r="CC55" i="37"/>
  <c r="CD55" i="37"/>
  <c r="CE55" i="37"/>
  <c r="CF55" i="37"/>
  <c r="CG55" i="37"/>
  <c r="CQ55" i="37"/>
  <c r="CR55" i="37"/>
  <c r="CS55" i="37"/>
  <c r="CT55" i="37"/>
  <c r="CU55" i="37"/>
  <c r="CV55" i="37"/>
  <c r="AG56" i="37"/>
  <c r="AH56" i="37"/>
  <c r="AI56" i="37"/>
  <c r="AJ56" i="37"/>
  <c r="AK56" i="37"/>
  <c r="AM56" i="37" s="1"/>
  <c r="AU56" i="37"/>
  <c r="AV56" i="37"/>
  <c r="AW56" i="37"/>
  <c r="AX56" i="37"/>
  <c r="AY56" i="37"/>
  <c r="AZ56" i="37"/>
  <c r="BM56" i="37"/>
  <c r="BN56" i="37"/>
  <c r="BO56" i="37"/>
  <c r="BP56" i="37"/>
  <c r="BQ56" i="37"/>
  <c r="BR56" i="37"/>
  <c r="CB56" i="37"/>
  <c r="CC56" i="37"/>
  <c r="CD56" i="37"/>
  <c r="CE56" i="37"/>
  <c r="CF56" i="37"/>
  <c r="CG56" i="37"/>
  <c r="CQ56" i="37"/>
  <c r="CR56" i="37"/>
  <c r="CS56" i="37"/>
  <c r="CT56" i="37"/>
  <c r="CU56" i="37"/>
  <c r="CV56" i="37"/>
  <c r="AG57" i="37"/>
  <c r="AH57" i="37"/>
  <c r="AI57" i="37"/>
  <c r="AJ57" i="37"/>
  <c r="AK57" i="37"/>
  <c r="BA57" i="37" s="1"/>
  <c r="AU57" i="37"/>
  <c r="AV57" i="37"/>
  <c r="AW57" i="37"/>
  <c r="AX57" i="37"/>
  <c r="AY57" i="37"/>
  <c r="AZ57" i="37"/>
  <c r="BM57" i="37"/>
  <c r="BN57" i="37"/>
  <c r="BO57" i="37"/>
  <c r="BP57" i="37"/>
  <c r="BQ57" i="37"/>
  <c r="BR57" i="37"/>
  <c r="CB57" i="37"/>
  <c r="CC57" i="37"/>
  <c r="CD57" i="37"/>
  <c r="CE57" i="37"/>
  <c r="CF57" i="37"/>
  <c r="CG57" i="37"/>
  <c r="CQ57" i="37"/>
  <c r="CR57" i="37"/>
  <c r="CS57" i="37"/>
  <c r="CT57" i="37"/>
  <c r="CU57" i="37"/>
  <c r="CV57" i="37"/>
  <c r="AG58" i="37"/>
  <c r="AH58" i="37"/>
  <c r="AI58" i="37"/>
  <c r="AJ58" i="37"/>
  <c r="AK58" i="37"/>
  <c r="BK58" i="37" s="1"/>
  <c r="AU58" i="37"/>
  <c r="AV58" i="37"/>
  <c r="AW58" i="37"/>
  <c r="AX58" i="37"/>
  <c r="AY58" i="37"/>
  <c r="AZ58" i="37"/>
  <c r="BM58" i="37"/>
  <c r="BN58" i="37"/>
  <c r="BO58" i="37"/>
  <c r="BP58" i="37"/>
  <c r="BQ58" i="37"/>
  <c r="BR58" i="37"/>
  <c r="CB58" i="37"/>
  <c r="CC58" i="37"/>
  <c r="CD58" i="37"/>
  <c r="CE58" i="37"/>
  <c r="CF58" i="37"/>
  <c r="CG58" i="37"/>
  <c r="CQ58" i="37"/>
  <c r="CR58" i="37"/>
  <c r="CS58" i="37"/>
  <c r="CT58" i="37"/>
  <c r="CU58" i="37"/>
  <c r="CV58" i="37"/>
  <c r="AG59" i="37"/>
  <c r="AH59" i="37"/>
  <c r="AI59" i="37"/>
  <c r="AJ59" i="37"/>
  <c r="AK59" i="37"/>
  <c r="BA59" i="37" s="1"/>
  <c r="AU59" i="37"/>
  <c r="AV59" i="37"/>
  <c r="AW59" i="37"/>
  <c r="AX59" i="37"/>
  <c r="AY59" i="37"/>
  <c r="AZ59" i="37"/>
  <c r="BM59" i="37"/>
  <c r="BN59" i="37"/>
  <c r="BO59" i="37"/>
  <c r="BP59" i="37"/>
  <c r="BQ59" i="37"/>
  <c r="BR59" i="37"/>
  <c r="CB59" i="37"/>
  <c r="CC59" i="37"/>
  <c r="CD59" i="37"/>
  <c r="CE59" i="37"/>
  <c r="CF59" i="37"/>
  <c r="CG59" i="37"/>
  <c r="CQ59" i="37"/>
  <c r="CR59" i="37"/>
  <c r="CS59" i="37"/>
  <c r="CT59" i="37"/>
  <c r="CU59" i="37"/>
  <c r="CV59" i="37"/>
  <c r="AG60" i="37"/>
  <c r="AH60" i="37"/>
  <c r="AI60" i="37"/>
  <c r="AJ60" i="37"/>
  <c r="AK60" i="37"/>
  <c r="AQ60" i="37" s="1"/>
  <c r="AU60" i="37"/>
  <c r="AV60" i="37"/>
  <c r="AW60" i="37"/>
  <c r="AX60" i="37"/>
  <c r="AY60" i="37"/>
  <c r="AZ60" i="37"/>
  <c r="BK60" i="37"/>
  <c r="BM60" i="37"/>
  <c r="BN60" i="37"/>
  <c r="BO60" i="37"/>
  <c r="BP60" i="37"/>
  <c r="BQ60" i="37"/>
  <c r="BR60" i="37"/>
  <c r="CB60" i="37"/>
  <c r="CC60" i="37"/>
  <c r="CD60" i="37"/>
  <c r="CE60" i="37"/>
  <c r="CF60" i="37"/>
  <c r="CG60" i="37"/>
  <c r="CQ60" i="37"/>
  <c r="CR60" i="37"/>
  <c r="CS60" i="37"/>
  <c r="CT60" i="37"/>
  <c r="CU60" i="37"/>
  <c r="CV60" i="37"/>
  <c r="AG12" i="37"/>
  <c r="AH12" i="37"/>
  <c r="AI12" i="37"/>
  <c r="AJ12" i="37"/>
  <c r="AK12" i="37"/>
  <c r="CI12" i="37" s="1"/>
  <c r="AU12" i="37"/>
  <c r="AV12" i="37"/>
  <c r="AW12" i="37"/>
  <c r="AX12" i="37"/>
  <c r="AY12" i="37"/>
  <c r="AZ12" i="37"/>
  <c r="BM12" i="37"/>
  <c r="BN12" i="37"/>
  <c r="BO12" i="37"/>
  <c r="BP12" i="37"/>
  <c r="BQ12" i="37"/>
  <c r="BR12" i="37"/>
  <c r="CB12" i="37"/>
  <c r="CC12" i="37"/>
  <c r="CD12" i="37"/>
  <c r="CE12" i="37"/>
  <c r="CF12" i="37"/>
  <c r="CG12" i="37"/>
  <c r="CQ12" i="37"/>
  <c r="CR12" i="37"/>
  <c r="CS12" i="37"/>
  <c r="CT12" i="37"/>
  <c r="CU12" i="37"/>
  <c r="CV12" i="37"/>
  <c r="AG13" i="37"/>
  <c r="AH13" i="37"/>
  <c r="AI13" i="37"/>
  <c r="AJ13" i="37"/>
  <c r="AK13" i="37"/>
  <c r="AL13" i="37" s="1"/>
  <c r="AU13" i="37"/>
  <c r="AV13" i="37"/>
  <c r="AW13" i="37"/>
  <c r="AX13" i="37"/>
  <c r="AY13" i="37"/>
  <c r="AZ13" i="37"/>
  <c r="BM13" i="37"/>
  <c r="BN13" i="37"/>
  <c r="BO13" i="37"/>
  <c r="BP13" i="37"/>
  <c r="BQ13" i="37"/>
  <c r="BR13" i="37"/>
  <c r="CB13" i="37"/>
  <c r="CC13" i="37"/>
  <c r="CD13" i="37"/>
  <c r="CE13" i="37"/>
  <c r="CF13" i="37"/>
  <c r="CG13" i="37"/>
  <c r="CN13" i="37"/>
  <c r="CQ13" i="37"/>
  <c r="CR13" i="37"/>
  <c r="CS13" i="37"/>
  <c r="CT13" i="37"/>
  <c r="CU13" i="37"/>
  <c r="CV13" i="37"/>
  <c r="AG14" i="37"/>
  <c r="AH14" i="37"/>
  <c r="AI14" i="37"/>
  <c r="AJ14" i="37"/>
  <c r="AK14" i="37"/>
  <c r="AP14" i="37" s="1"/>
  <c r="AU14" i="37"/>
  <c r="AV14" i="37"/>
  <c r="AW14" i="37"/>
  <c r="AX14" i="37"/>
  <c r="AY14" i="37"/>
  <c r="AZ14" i="37"/>
  <c r="BM14" i="37"/>
  <c r="BN14" i="37"/>
  <c r="BO14" i="37"/>
  <c r="BP14" i="37"/>
  <c r="BQ14" i="37"/>
  <c r="BR14" i="37"/>
  <c r="CB14" i="37"/>
  <c r="CC14" i="37"/>
  <c r="CD14" i="37"/>
  <c r="CE14" i="37"/>
  <c r="CF14" i="37"/>
  <c r="CG14" i="37"/>
  <c r="CQ14" i="37"/>
  <c r="CR14" i="37"/>
  <c r="CS14" i="37"/>
  <c r="CT14" i="37"/>
  <c r="CU14" i="37"/>
  <c r="CV14" i="37"/>
  <c r="AG15" i="37"/>
  <c r="AH15" i="37"/>
  <c r="AI15" i="37"/>
  <c r="AJ15" i="37"/>
  <c r="AK15" i="37"/>
  <c r="AP15" i="37" s="1"/>
  <c r="AU15" i="37"/>
  <c r="AV15" i="37"/>
  <c r="AW15" i="37"/>
  <c r="AX15" i="37"/>
  <c r="AY15" i="37"/>
  <c r="AZ15" i="37"/>
  <c r="BM15" i="37"/>
  <c r="BN15" i="37"/>
  <c r="BO15" i="37"/>
  <c r="BP15" i="37"/>
  <c r="BQ15" i="37"/>
  <c r="BR15" i="37"/>
  <c r="CB15" i="37"/>
  <c r="CC15" i="37"/>
  <c r="CD15" i="37"/>
  <c r="CE15" i="37"/>
  <c r="CF15" i="37"/>
  <c r="CG15" i="37"/>
  <c r="CQ15" i="37"/>
  <c r="CR15" i="37"/>
  <c r="CS15" i="37"/>
  <c r="CT15" i="37"/>
  <c r="CU15" i="37"/>
  <c r="CV15" i="37"/>
  <c r="AG16" i="37"/>
  <c r="AH16" i="37"/>
  <c r="AI16" i="37"/>
  <c r="AJ16" i="37"/>
  <c r="AK16" i="37"/>
  <c r="CP16" i="37" s="1"/>
  <c r="AU16" i="37"/>
  <c r="AV16" i="37"/>
  <c r="AW16" i="37"/>
  <c r="AX16" i="37"/>
  <c r="AY16" i="37"/>
  <c r="AZ16" i="37"/>
  <c r="BM16" i="37"/>
  <c r="BN16" i="37"/>
  <c r="BO16" i="37"/>
  <c r="BP16" i="37"/>
  <c r="BQ16" i="37"/>
  <c r="BR16" i="37"/>
  <c r="CB16" i="37"/>
  <c r="CC16" i="37"/>
  <c r="CD16" i="37"/>
  <c r="CE16" i="37"/>
  <c r="CF16" i="37"/>
  <c r="CG16" i="37"/>
  <c r="CQ16" i="37"/>
  <c r="CR16" i="37"/>
  <c r="CS16" i="37"/>
  <c r="CT16" i="37"/>
  <c r="CU16" i="37"/>
  <c r="CV16" i="37"/>
  <c r="AG17" i="37"/>
  <c r="AH17" i="37"/>
  <c r="AI17" i="37"/>
  <c r="AJ17" i="37"/>
  <c r="AK17" i="37"/>
  <c r="AL17" i="37" s="1"/>
  <c r="AU17" i="37"/>
  <c r="AV17" i="37"/>
  <c r="AW17" i="37"/>
  <c r="AX17" i="37"/>
  <c r="AY17" i="37"/>
  <c r="AZ17" i="37"/>
  <c r="BM17" i="37"/>
  <c r="BN17" i="37"/>
  <c r="BO17" i="37"/>
  <c r="BP17" i="37"/>
  <c r="BQ17" i="37"/>
  <c r="BR17" i="37"/>
  <c r="CB17" i="37"/>
  <c r="CC17" i="37"/>
  <c r="CD17" i="37"/>
  <c r="CE17" i="37"/>
  <c r="CF17" i="37"/>
  <c r="CG17" i="37"/>
  <c r="CQ17" i="37"/>
  <c r="CR17" i="37"/>
  <c r="CS17" i="37"/>
  <c r="CT17" i="37"/>
  <c r="CU17" i="37"/>
  <c r="CV17" i="37"/>
  <c r="AG18" i="37"/>
  <c r="AH18" i="37"/>
  <c r="AI18" i="37"/>
  <c r="AJ18" i="37"/>
  <c r="AK18" i="37"/>
  <c r="BI18" i="37" s="1"/>
  <c r="AU18" i="37"/>
  <c r="AV18" i="37"/>
  <c r="AW18" i="37"/>
  <c r="AX18" i="37"/>
  <c r="AY18" i="37"/>
  <c r="AZ18" i="37"/>
  <c r="BM18" i="37"/>
  <c r="BN18" i="37"/>
  <c r="BO18" i="37"/>
  <c r="BP18" i="37"/>
  <c r="BQ18" i="37"/>
  <c r="BR18" i="37"/>
  <c r="CB18" i="37"/>
  <c r="CC18" i="37"/>
  <c r="CD18" i="37"/>
  <c r="CE18" i="37"/>
  <c r="CF18" i="37"/>
  <c r="CG18" i="37"/>
  <c r="CQ18" i="37"/>
  <c r="CR18" i="37"/>
  <c r="CS18" i="37"/>
  <c r="CT18" i="37"/>
  <c r="CU18" i="37"/>
  <c r="CV18" i="37"/>
  <c r="AG19" i="37"/>
  <c r="AH19" i="37"/>
  <c r="AI19" i="37"/>
  <c r="AJ19" i="37"/>
  <c r="AK19" i="37"/>
  <c r="AM19" i="37" s="1"/>
  <c r="AU19" i="37"/>
  <c r="AV19" i="37"/>
  <c r="AW19" i="37"/>
  <c r="AX19" i="37"/>
  <c r="AY19" i="37"/>
  <c r="AZ19" i="37"/>
  <c r="BM19" i="37"/>
  <c r="BN19" i="37"/>
  <c r="BO19" i="37"/>
  <c r="BP19" i="37"/>
  <c r="BQ19" i="37"/>
  <c r="BR19" i="37"/>
  <c r="CB19" i="37"/>
  <c r="CC19" i="37"/>
  <c r="CD19" i="37"/>
  <c r="CE19" i="37"/>
  <c r="CF19" i="37"/>
  <c r="CG19" i="37"/>
  <c r="CQ19" i="37"/>
  <c r="CR19" i="37"/>
  <c r="CS19" i="37"/>
  <c r="CT19" i="37"/>
  <c r="CU19" i="37"/>
  <c r="CV19" i="37"/>
  <c r="AG20" i="37"/>
  <c r="AH20" i="37"/>
  <c r="AI20" i="37"/>
  <c r="AJ20" i="37"/>
  <c r="AK20" i="37"/>
  <c r="AT20" i="37" s="1"/>
  <c r="AU20" i="37"/>
  <c r="AV20" i="37"/>
  <c r="AW20" i="37"/>
  <c r="AX20" i="37"/>
  <c r="AY20" i="37"/>
  <c r="AZ20" i="37"/>
  <c r="BM20" i="37"/>
  <c r="BN20" i="37"/>
  <c r="BO20" i="37"/>
  <c r="BP20" i="37"/>
  <c r="BQ20" i="37"/>
  <c r="BR20" i="37"/>
  <c r="CB20" i="37"/>
  <c r="CC20" i="37"/>
  <c r="CD20" i="37"/>
  <c r="CE20" i="37"/>
  <c r="CF20" i="37"/>
  <c r="CG20" i="37"/>
  <c r="CQ20" i="37"/>
  <c r="CR20" i="37"/>
  <c r="CS20" i="37"/>
  <c r="CT20" i="37"/>
  <c r="CU20" i="37"/>
  <c r="CV20" i="37"/>
  <c r="AG21" i="37"/>
  <c r="AH21" i="37"/>
  <c r="AI21" i="37"/>
  <c r="AJ21" i="37"/>
  <c r="AK21" i="37"/>
  <c r="AL21" i="37" s="1"/>
  <c r="AU21" i="37"/>
  <c r="AV21" i="37"/>
  <c r="AW21" i="37"/>
  <c r="AX21" i="37"/>
  <c r="AY21" i="37"/>
  <c r="AZ21" i="37"/>
  <c r="BM21" i="37"/>
  <c r="BN21" i="37"/>
  <c r="BO21" i="37"/>
  <c r="BP21" i="37"/>
  <c r="BQ21" i="37"/>
  <c r="BR21" i="37"/>
  <c r="CB21" i="37"/>
  <c r="CC21" i="37"/>
  <c r="CD21" i="37"/>
  <c r="CE21" i="37"/>
  <c r="CF21" i="37"/>
  <c r="CG21" i="37"/>
  <c r="CQ21" i="37"/>
  <c r="CR21" i="37"/>
  <c r="CS21" i="37"/>
  <c r="CT21" i="37"/>
  <c r="CU21" i="37"/>
  <c r="CV21" i="37"/>
  <c r="AG22" i="37"/>
  <c r="AH22" i="37"/>
  <c r="AI22" i="37"/>
  <c r="AJ22" i="37"/>
  <c r="AK22" i="37"/>
  <c r="AN22" i="37" s="1"/>
  <c r="AU22" i="37"/>
  <c r="AV22" i="37"/>
  <c r="AW22" i="37"/>
  <c r="AX22" i="37"/>
  <c r="AY22" i="37"/>
  <c r="AZ22" i="37"/>
  <c r="BM22" i="37"/>
  <c r="BN22" i="37"/>
  <c r="BO22" i="37"/>
  <c r="BP22" i="37"/>
  <c r="BQ22" i="37"/>
  <c r="BR22" i="37"/>
  <c r="CB22" i="37"/>
  <c r="CC22" i="37"/>
  <c r="CD22" i="37"/>
  <c r="CE22" i="37"/>
  <c r="CF22" i="37"/>
  <c r="CG22" i="37"/>
  <c r="CQ22" i="37"/>
  <c r="CR22" i="37"/>
  <c r="CS22" i="37"/>
  <c r="CT22" i="37"/>
  <c r="CU22" i="37"/>
  <c r="CV22" i="37"/>
  <c r="AG23" i="37"/>
  <c r="AH23" i="37"/>
  <c r="AI23" i="37"/>
  <c r="AJ23" i="37"/>
  <c r="AK23" i="37"/>
  <c r="CK23" i="37" s="1"/>
  <c r="AU23" i="37"/>
  <c r="AV23" i="37"/>
  <c r="AW23" i="37"/>
  <c r="AX23" i="37"/>
  <c r="AY23" i="37"/>
  <c r="AZ23" i="37"/>
  <c r="BM23" i="37"/>
  <c r="BN23" i="37"/>
  <c r="BO23" i="37"/>
  <c r="BP23" i="37"/>
  <c r="BQ23" i="37"/>
  <c r="BR23" i="37"/>
  <c r="CB23" i="37"/>
  <c r="CC23" i="37"/>
  <c r="CD23" i="37"/>
  <c r="CE23" i="37"/>
  <c r="CF23" i="37"/>
  <c r="CG23" i="37"/>
  <c r="CQ23" i="37"/>
  <c r="CR23" i="37"/>
  <c r="CS23" i="37"/>
  <c r="CT23" i="37"/>
  <c r="CU23" i="37"/>
  <c r="CV23" i="37"/>
  <c r="AG24" i="37"/>
  <c r="AH24" i="37"/>
  <c r="AI24" i="37"/>
  <c r="AJ24" i="37"/>
  <c r="AK24" i="37"/>
  <c r="AL24" i="37" s="1"/>
  <c r="AU24" i="37"/>
  <c r="AV24" i="37"/>
  <c r="AW24" i="37"/>
  <c r="AX24" i="37"/>
  <c r="AY24" i="37"/>
  <c r="AZ24" i="37"/>
  <c r="BM24" i="37"/>
  <c r="BN24" i="37"/>
  <c r="BO24" i="37"/>
  <c r="BP24" i="37"/>
  <c r="BQ24" i="37"/>
  <c r="BR24" i="37"/>
  <c r="CB24" i="37"/>
  <c r="CC24" i="37"/>
  <c r="CD24" i="37"/>
  <c r="CE24" i="37"/>
  <c r="CF24" i="37"/>
  <c r="CG24" i="37"/>
  <c r="CQ24" i="37"/>
  <c r="CR24" i="37"/>
  <c r="CS24" i="37"/>
  <c r="CT24" i="37"/>
  <c r="CU24" i="37"/>
  <c r="CV24" i="37"/>
  <c r="AG25" i="37"/>
  <c r="AH25" i="37"/>
  <c r="AI25" i="37"/>
  <c r="AJ25" i="37"/>
  <c r="AK25" i="37"/>
  <c r="AN25" i="37" s="1"/>
  <c r="AU25" i="37"/>
  <c r="AV25" i="37"/>
  <c r="AW25" i="37"/>
  <c r="AX25" i="37"/>
  <c r="AY25" i="37"/>
  <c r="AZ25" i="37"/>
  <c r="BM25" i="37"/>
  <c r="BN25" i="37"/>
  <c r="BO25" i="37"/>
  <c r="BP25" i="37"/>
  <c r="BQ25" i="37"/>
  <c r="BR25" i="37"/>
  <c r="CB25" i="37"/>
  <c r="CC25" i="37"/>
  <c r="CD25" i="37"/>
  <c r="CE25" i="37"/>
  <c r="CF25" i="37"/>
  <c r="CG25" i="37"/>
  <c r="CQ25" i="37"/>
  <c r="CR25" i="37"/>
  <c r="CS25" i="37"/>
  <c r="CT25" i="37"/>
  <c r="CU25" i="37"/>
  <c r="CV25" i="37"/>
  <c r="AG26" i="37"/>
  <c r="AH26" i="37"/>
  <c r="AI26" i="37"/>
  <c r="AJ26" i="37"/>
  <c r="AK26" i="37"/>
  <c r="CL26" i="37" s="1"/>
  <c r="AU26" i="37"/>
  <c r="AV26" i="37"/>
  <c r="AW26" i="37"/>
  <c r="AX26" i="37"/>
  <c r="AY26" i="37"/>
  <c r="AZ26" i="37"/>
  <c r="BM26" i="37"/>
  <c r="BN26" i="37"/>
  <c r="BO26" i="37"/>
  <c r="BP26" i="37"/>
  <c r="BQ26" i="37"/>
  <c r="BR26" i="37"/>
  <c r="CB26" i="37"/>
  <c r="CC26" i="37"/>
  <c r="CD26" i="37"/>
  <c r="CE26" i="37"/>
  <c r="CF26" i="37"/>
  <c r="CG26" i="37"/>
  <c r="CQ26" i="37"/>
  <c r="CR26" i="37"/>
  <c r="CS26" i="37"/>
  <c r="CT26" i="37"/>
  <c r="CU26" i="37"/>
  <c r="CV26" i="37"/>
  <c r="AG27" i="37"/>
  <c r="AH27" i="37"/>
  <c r="AI27" i="37"/>
  <c r="AJ27" i="37"/>
  <c r="AK27" i="37"/>
  <c r="AL27" i="37" s="1"/>
  <c r="AU27" i="37"/>
  <c r="AV27" i="37"/>
  <c r="AW27" i="37"/>
  <c r="AX27" i="37"/>
  <c r="AY27" i="37"/>
  <c r="AZ27" i="37"/>
  <c r="BM27" i="37"/>
  <c r="BN27" i="37"/>
  <c r="BO27" i="37"/>
  <c r="BP27" i="37"/>
  <c r="BQ27" i="37"/>
  <c r="BR27" i="37"/>
  <c r="CB27" i="37"/>
  <c r="CC27" i="37"/>
  <c r="CD27" i="37"/>
  <c r="CE27" i="37"/>
  <c r="CF27" i="37"/>
  <c r="CG27" i="37"/>
  <c r="CQ27" i="37"/>
  <c r="CR27" i="37"/>
  <c r="CS27" i="37"/>
  <c r="CT27" i="37"/>
  <c r="CU27" i="37"/>
  <c r="CV27" i="37"/>
  <c r="AG28" i="37"/>
  <c r="AH28" i="37"/>
  <c r="AI28" i="37"/>
  <c r="AJ28" i="37"/>
  <c r="AK28" i="37"/>
  <c r="AN28" i="37" s="1"/>
  <c r="AU28" i="37"/>
  <c r="AV28" i="37"/>
  <c r="AW28" i="37"/>
  <c r="AX28" i="37"/>
  <c r="AY28" i="37"/>
  <c r="AZ28" i="37"/>
  <c r="BM28" i="37"/>
  <c r="BN28" i="37"/>
  <c r="BO28" i="37"/>
  <c r="BP28" i="37"/>
  <c r="BQ28" i="37"/>
  <c r="BR28" i="37"/>
  <c r="CB28" i="37"/>
  <c r="CC28" i="37"/>
  <c r="CD28" i="37"/>
  <c r="CE28" i="37"/>
  <c r="CF28" i="37"/>
  <c r="CG28" i="37"/>
  <c r="CQ28" i="37"/>
  <c r="CR28" i="37"/>
  <c r="CS28" i="37"/>
  <c r="CT28" i="37"/>
  <c r="CU28" i="37"/>
  <c r="CV28" i="37"/>
  <c r="AG29" i="37"/>
  <c r="AH29" i="37"/>
  <c r="AI29" i="37"/>
  <c r="AJ29" i="37"/>
  <c r="AK29" i="37"/>
  <c r="AL29" i="37" s="1"/>
  <c r="AU29" i="37"/>
  <c r="AV29" i="37"/>
  <c r="AW29" i="37"/>
  <c r="AX29" i="37"/>
  <c r="AY29" i="37"/>
  <c r="AZ29" i="37"/>
  <c r="BM29" i="37"/>
  <c r="BN29" i="37"/>
  <c r="BO29" i="37"/>
  <c r="BP29" i="37"/>
  <c r="BQ29" i="37"/>
  <c r="BR29" i="37"/>
  <c r="CB29" i="37"/>
  <c r="CC29" i="37"/>
  <c r="CD29" i="37"/>
  <c r="CE29" i="37"/>
  <c r="CF29" i="37"/>
  <c r="CG29" i="37"/>
  <c r="CQ29" i="37"/>
  <c r="CR29" i="37"/>
  <c r="CS29" i="37"/>
  <c r="CT29" i="37"/>
  <c r="CU29" i="37"/>
  <c r="CV29" i="37"/>
  <c r="AG30" i="37"/>
  <c r="AH30" i="37"/>
  <c r="AI30" i="37"/>
  <c r="AJ30" i="37"/>
  <c r="AK30" i="37"/>
  <c r="AM30" i="37" s="1"/>
  <c r="AU30" i="37"/>
  <c r="AV30" i="37"/>
  <c r="AW30" i="37"/>
  <c r="AX30" i="37"/>
  <c r="AY30" i="37"/>
  <c r="AZ30" i="37"/>
  <c r="BA30" i="37"/>
  <c r="BM30" i="37"/>
  <c r="BN30" i="37"/>
  <c r="BO30" i="37"/>
  <c r="BP30" i="37"/>
  <c r="BQ30" i="37"/>
  <c r="BR30" i="37"/>
  <c r="BW30" i="37"/>
  <c r="CB30" i="37"/>
  <c r="CC30" i="37"/>
  <c r="CD30" i="37"/>
  <c r="CE30" i="37"/>
  <c r="CF30" i="37"/>
  <c r="CG30" i="37"/>
  <c r="CQ30" i="37"/>
  <c r="CR30" i="37"/>
  <c r="CS30" i="37"/>
  <c r="CT30" i="37"/>
  <c r="CU30" i="37"/>
  <c r="CV30" i="37"/>
  <c r="AG31" i="37"/>
  <c r="AH31" i="37"/>
  <c r="AI31" i="37"/>
  <c r="AJ31" i="37"/>
  <c r="AK31" i="37"/>
  <c r="AL31" i="37" s="1"/>
  <c r="AU31" i="37"/>
  <c r="AV31" i="37"/>
  <c r="AW31" i="37"/>
  <c r="AX31" i="37"/>
  <c r="AY31" i="37"/>
  <c r="AZ31" i="37"/>
  <c r="BM31" i="37"/>
  <c r="BN31" i="37"/>
  <c r="BO31" i="37"/>
  <c r="BP31" i="37"/>
  <c r="BQ31" i="37"/>
  <c r="BR31" i="37"/>
  <c r="CB31" i="37"/>
  <c r="CC31" i="37"/>
  <c r="CD31" i="37"/>
  <c r="CE31" i="37"/>
  <c r="CF31" i="37"/>
  <c r="CG31" i="37"/>
  <c r="CQ31" i="37"/>
  <c r="CR31" i="37"/>
  <c r="CS31" i="37"/>
  <c r="CT31" i="37"/>
  <c r="CU31" i="37"/>
  <c r="CV31" i="37"/>
  <c r="AG32" i="37"/>
  <c r="AH32" i="37"/>
  <c r="AI32" i="37"/>
  <c r="AJ32" i="37"/>
  <c r="AK32" i="37"/>
  <c r="AU32" i="37"/>
  <c r="AV32" i="37"/>
  <c r="AW32" i="37"/>
  <c r="AX32" i="37"/>
  <c r="AY32" i="37"/>
  <c r="AZ32" i="37"/>
  <c r="BM32" i="37"/>
  <c r="BN32" i="37"/>
  <c r="BO32" i="37"/>
  <c r="BP32" i="37"/>
  <c r="BQ32" i="37"/>
  <c r="BR32" i="37"/>
  <c r="CB32" i="37"/>
  <c r="CC32" i="37"/>
  <c r="CD32" i="37"/>
  <c r="CE32" i="37"/>
  <c r="CF32" i="37"/>
  <c r="CG32" i="37"/>
  <c r="CQ32" i="37"/>
  <c r="CR32" i="37"/>
  <c r="CS32" i="37"/>
  <c r="CT32" i="37"/>
  <c r="CU32" i="37"/>
  <c r="CV32" i="37"/>
  <c r="AG33" i="37"/>
  <c r="AH33" i="37"/>
  <c r="AI33" i="37"/>
  <c r="AJ33" i="37"/>
  <c r="AK33" i="37"/>
  <c r="AQ33" i="37" s="1"/>
  <c r="AU33" i="37"/>
  <c r="AV33" i="37"/>
  <c r="AW33" i="37"/>
  <c r="AX33" i="37"/>
  <c r="AY33" i="37"/>
  <c r="AZ33" i="37"/>
  <c r="BM33" i="37"/>
  <c r="BN33" i="37"/>
  <c r="BO33" i="37"/>
  <c r="BP33" i="37"/>
  <c r="BQ33" i="37"/>
  <c r="BR33" i="37"/>
  <c r="CB33" i="37"/>
  <c r="CC33" i="37"/>
  <c r="CD33" i="37"/>
  <c r="CE33" i="37"/>
  <c r="CF33" i="37"/>
  <c r="CG33" i="37"/>
  <c r="CQ33" i="37"/>
  <c r="CR33" i="37"/>
  <c r="CS33" i="37"/>
  <c r="CT33" i="37"/>
  <c r="CU33" i="37"/>
  <c r="CV33" i="37"/>
  <c r="AG34" i="37"/>
  <c r="AH34" i="37"/>
  <c r="AI34" i="37"/>
  <c r="AJ34" i="37"/>
  <c r="AK34" i="37"/>
  <c r="AN34" i="37" s="1"/>
  <c r="AU34" i="37"/>
  <c r="AV34" i="37"/>
  <c r="AW34" i="37"/>
  <c r="AX34" i="37"/>
  <c r="AY34" i="37"/>
  <c r="AZ34" i="37"/>
  <c r="BM34" i="37"/>
  <c r="BN34" i="37"/>
  <c r="BO34" i="37"/>
  <c r="BP34" i="37"/>
  <c r="BQ34" i="37"/>
  <c r="BR34" i="37"/>
  <c r="CB34" i="37"/>
  <c r="CC34" i="37"/>
  <c r="CD34" i="37"/>
  <c r="CE34" i="37"/>
  <c r="CF34" i="37"/>
  <c r="CG34" i="37"/>
  <c r="CQ34" i="37"/>
  <c r="CR34" i="37"/>
  <c r="CS34" i="37"/>
  <c r="CT34" i="37"/>
  <c r="CU34" i="37"/>
  <c r="CV34" i="37"/>
  <c r="L494" i="28"/>
  <c r="O374" i="28"/>
  <c r="O373" i="28"/>
  <c r="O371" i="28"/>
  <c r="O370" i="28"/>
  <c r="O369" i="28"/>
  <c r="M366" i="28"/>
  <c r="M365" i="28"/>
  <c r="CL33" i="37" l="1"/>
  <c r="CM30" i="37"/>
  <c r="CH17" i="37"/>
  <c r="CM14" i="37"/>
  <c r="CH83" i="37"/>
  <c r="BT83" i="37"/>
  <c r="BI83" i="37"/>
  <c r="BF81" i="37"/>
  <c r="BV81" i="37"/>
  <c r="CO83" i="37"/>
  <c r="CH30" i="37"/>
  <c r="CJ43" i="37"/>
  <c r="BI36" i="37"/>
  <c r="BE85" i="37"/>
  <c r="CK78" i="37"/>
  <c r="CL77" i="37"/>
  <c r="CK74" i="37"/>
  <c r="BI63" i="37"/>
  <c r="BH158" i="37"/>
  <c r="BT85" i="37"/>
  <c r="BH81" i="37"/>
  <c r="AO81" i="37"/>
  <c r="BV29" i="37"/>
  <c r="BU60" i="37"/>
  <c r="CI56" i="37"/>
  <c r="CL83" i="37"/>
  <c r="BH83" i="37"/>
  <c r="AS83" i="37"/>
  <c r="CK79" i="37"/>
  <c r="BZ79" i="37"/>
  <c r="BS78" i="37"/>
  <c r="BI78" i="37"/>
  <c r="BA103" i="37"/>
  <c r="BI143" i="37"/>
  <c r="CO133" i="37"/>
  <c r="BT131" i="37"/>
  <c r="BU158" i="37"/>
  <c r="BD158" i="37"/>
  <c r="BF30" i="37"/>
  <c r="AP30" i="37"/>
  <c r="BK15" i="37"/>
  <c r="BW13" i="37"/>
  <c r="BD48" i="37"/>
  <c r="BI85" i="37"/>
  <c r="AR85" i="37"/>
  <c r="CJ83" i="37"/>
  <c r="BZ83" i="37"/>
  <c r="BA83" i="37"/>
  <c r="AO83" i="37"/>
  <c r="CH79" i="37"/>
  <c r="BY79" i="37"/>
  <c r="BJ79" i="37"/>
  <c r="BB78" i="37"/>
  <c r="AT78" i="37"/>
  <c r="BU77" i="37"/>
  <c r="BX143" i="37"/>
  <c r="CK158" i="37"/>
  <c r="BS14" i="37"/>
  <c r="BU43" i="37"/>
  <c r="BU40" i="37"/>
  <c r="BS79" i="37"/>
  <c r="BI79" i="37"/>
  <c r="AQ79" i="37"/>
  <c r="CL78" i="37"/>
  <c r="CA78" i="37"/>
  <c r="BA78" i="37"/>
  <c r="AS78" i="37"/>
  <c r="CJ143" i="37"/>
  <c r="BF25" i="37"/>
  <c r="BB31" i="37"/>
  <c r="BA21" i="37"/>
  <c r="BE99" i="37"/>
  <c r="BF33" i="37"/>
  <c r="BU25" i="37"/>
  <c r="BY21" i="37"/>
  <c r="CI18" i="37"/>
  <c r="BC17" i="37"/>
  <c r="AS17" i="37"/>
  <c r="CI51" i="37"/>
  <c r="BX50" i="37"/>
  <c r="BK45" i="37"/>
  <c r="BC37" i="37"/>
  <c r="BY36" i="37"/>
  <c r="BI82" i="37"/>
  <c r="AL79" i="37"/>
  <c r="CO115" i="37"/>
  <c r="BY115" i="37"/>
  <c r="BA140" i="37"/>
  <c r="BU136" i="37"/>
  <c r="CN133" i="37"/>
  <c r="BT133" i="37"/>
  <c r="BI133" i="37"/>
  <c r="AS133" i="37"/>
  <c r="CO22" i="37"/>
  <c r="BC50" i="37"/>
  <c r="BC80" i="37"/>
  <c r="BD115" i="37"/>
  <c r="BL136" i="37"/>
  <c r="BV33" i="37"/>
  <c r="CL25" i="37"/>
  <c r="CH21" i="37"/>
  <c r="CL20" i="37"/>
  <c r="BW17" i="37"/>
  <c r="BA17" i="37"/>
  <c r="AQ17" i="37"/>
  <c r="BA60" i="37"/>
  <c r="BD46" i="37"/>
  <c r="BW45" i="37"/>
  <c r="BY83" i="37"/>
  <c r="BB83" i="37"/>
  <c r="AT83" i="37"/>
  <c r="BT82" i="37"/>
  <c r="CN115" i="37"/>
  <c r="CA31" i="37"/>
  <c r="BI24" i="37"/>
  <c r="CI22" i="37"/>
  <c r="CA22" i="37"/>
  <c r="BI22" i="37"/>
  <c r="CM15" i="37"/>
  <c r="BZ15" i="37"/>
  <c r="CI50" i="37"/>
  <c r="BX46" i="37"/>
  <c r="BE76" i="37"/>
  <c r="BA104" i="37"/>
  <c r="CN117" i="37"/>
  <c r="BA112" i="37"/>
  <c r="BD147" i="37"/>
  <c r="CO143" i="37"/>
  <c r="BT143" i="37"/>
  <c r="BH143" i="37"/>
  <c r="CO141" i="37"/>
  <c r="BD139" i="37"/>
  <c r="CM33" i="37"/>
  <c r="BY33" i="37"/>
  <c r="BG33" i="37"/>
  <c r="AM33" i="37"/>
  <c r="BC29" i="37"/>
  <c r="BS24" i="37"/>
  <c r="CH22" i="37"/>
  <c r="BZ22" i="37"/>
  <c r="BB22" i="37"/>
  <c r="AT22" i="37"/>
  <c r="CA20" i="37"/>
  <c r="CP19" i="37"/>
  <c r="CP17" i="37"/>
  <c r="BY17" i="37"/>
  <c r="BJ17" i="37"/>
  <c r="CL15" i="37"/>
  <c r="AS50" i="37"/>
  <c r="CI46" i="37"/>
  <c r="CK45" i="37"/>
  <c r="BU45" i="37"/>
  <c r="BC45" i="37"/>
  <c r="BS44" i="37"/>
  <c r="CN85" i="37"/>
  <c r="BX83" i="37"/>
  <c r="BD83" i="37"/>
  <c r="AN83" i="37"/>
  <c r="CH82" i="37"/>
  <c r="BU76" i="37"/>
  <c r="BI73" i="37"/>
  <c r="CO70" i="37"/>
  <c r="BL67" i="37"/>
  <c r="BB106" i="37"/>
  <c r="CK91" i="37"/>
  <c r="BI119" i="37"/>
  <c r="CO113" i="37"/>
  <c r="BU112" i="37"/>
  <c r="CJ150" i="37"/>
  <c r="BZ150" i="37"/>
  <c r="BJ150" i="37"/>
  <c r="BD149" i="37"/>
  <c r="CN143" i="37"/>
  <c r="BE143" i="37"/>
  <c r="AR143" i="37"/>
  <c r="CO136" i="37"/>
  <c r="CJ157" i="37"/>
  <c r="CM25" i="37"/>
  <c r="CA25" i="37"/>
  <c r="BG25" i="37"/>
  <c r="AM25" i="37"/>
  <c r="CK24" i="37"/>
  <c r="BA22" i="37"/>
  <c r="AM22" i="37"/>
  <c r="CL21" i="37"/>
  <c r="BZ21" i="37"/>
  <c r="BK21" i="37"/>
  <c r="AQ21" i="37"/>
  <c r="BU56" i="37"/>
  <c r="CH150" i="37"/>
  <c r="BY150" i="37"/>
  <c r="BV149" i="37"/>
  <c r="CK143" i="37"/>
  <c r="BY143" i="37"/>
  <c r="BA143" i="37"/>
  <c r="AO143" i="37"/>
  <c r="CL29" i="37"/>
  <c r="CA29" i="37"/>
  <c r="BC28" i="37"/>
  <c r="CK20" i="37"/>
  <c r="BV20" i="37"/>
  <c r="BJ20" i="37"/>
  <c r="BB16" i="37"/>
  <c r="CH15" i="37"/>
  <c r="BW15" i="37"/>
  <c r="BF15" i="37"/>
  <c r="AT15" i="37"/>
  <c r="CK54" i="37"/>
  <c r="BX48" i="37"/>
  <c r="BL48" i="37"/>
  <c r="BX47" i="37"/>
  <c r="BH47" i="37"/>
  <c r="BB35" i="37"/>
  <c r="CP80" i="37"/>
  <c r="BW80" i="37"/>
  <c r="CP78" i="37"/>
  <c r="CI78" i="37"/>
  <c r="BY78" i="37"/>
  <c r="BG78" i="37"/>
  <c r="AO78" i="37"/>
  <c r="CK76" i="37"/>
  <c r="BE74" i="37"/>
  <c r="AS74" i="37"/>
  <c r="BY73" i="37"/>
  <c r="BA69" i="37"/>
  <c r="BS63" i="37"/>
  <c r="CO107" i="37"/>
  <c r="BC105" i="37"/>
  <c r="BU99" i="37"/>
  <c r="CO93" i="37"/>
  <c r="BT119" i="37"/>
  <c r="BE111" i="37"/>
  <c r="BD148" i="37"/>
  <c r="BX147" i="37"/>
  <c r="CO140" i="37"/>
  <c r="BY140" i="37"/>
  <c r="BI140" i="37"/>
  <c r="BX139" i="37"/>
  <c r="BE135" i="37"/>
  <c r="CO31" i="37"/>
  <c r="AO31" i="37"/>
  <c r="CK29" i="37"/>
  <c r="BW29" i="37"/>
  <c r="BJ29" i="37"/>
  <c r="CP28" i="37"/>
  <c r="BW28" i="37"/>
  <c r="CP22" i="37"/>
  <c r="BU22" i="37"/>
  <c r="BG22" i="37"/>
  <c r="BS20" i="37"/>
  <c r="BI20" i="37"/>
  <c r="AQ20" i="37"/>
  <c r="BU19" i="37"/>
  <c r="CP18" i="37"/>
  <c r="BG18" i="37"/>
  <c r="AT18" i="37"/>
  <c r="BC15" i="37"/>
  <c r="AO15" i="37"/>
  <c r="BG51" i="37"/>
  <c r="CI48" i="37"/>
  <c r="BT48" i="37"/>
  <c r="BE48" i="37"/>
  <c r="CO47" i="37"/>
  <c r="BS47" i="37"/>
  <c r="BH43" i="37"/>
  <c r="CP83" i="37"/>
  <c r="CK83" i="37"/>
  <c r="BV83" i="37"/>
  <c r="BF83" i="37"/>
  <c r="CO78" i="37"/>
  <c r="BW78" i="37"/>
  <c r="BE78" i="37"/>
  <c r="AS76" i="37"/>
  <c r="BU74" i="37"/>
  <c r="BA74" i="37"/>
  <c r="CH63" i="37"/>
  <c r="CK99" i="37"/>
  <c r="BY97" i="37"/>
  <c r="CM125" i="37"/>
  <c r="BX121" i="37"/>
  <c r="BH115" i="37"/>
  <c r="BU113" i="37"/>
  <c r="BU110" i="37"/>
  <c r="BA109" i="37"/>
  <c r="BU143" i="37"/>
  <c r="BL143" i="37"/>
  <c r="BD143" i="37"/>
  <c r="AS143" i="37"/>
  <c r="CK140" i="37"/>
  <c r="BU140" i="37"/>
  <c r="BE140" i="37"/>
  <c r="AS140" i="37"/>
  <c r="CO139" i="37"/>
  <c r="CK28" i="37"/>
  <c r="BB20" i="37"/>
  <c r="AL20" i="37"/>
  <c r="CO18" i="37"/>
  <c r="BV18" i="37"/>
  <c r="BC18" i="37"/>
  <c r="AO18" i="37"/>
  <c r="CK46" i="37"/>
  <c r="BY46" i="37"/>
  <c r="BG46" i="37"/>
  <c r="AR46" i="37"/>
  <c r="BY82" i="37"/>
  <c r="BJ82" i="37"/>
  <c r="CL104" i="37"/>
  <c r="AP104" i="37"/>
  <c r="CP103" i="37"/>
  <c r="BU91" i="37"/>
  <c r="BI146" i="37"/>
  <c r="BB27" i="37"/>
  <c r="BY27" i="37"/>
  <c r="AS22" i="37"/>
  <c r="BW34" i="37"/>
  <c r="CI33" i="37"/>
  <c r="BK33" i="37"/>
  <c r="BE33" i="37"/>
  <c r="AS33" i="37"/>
  <c r="CK31" i="37"/>
  <c r="BW31" i="37"/>
  <c r="BI31" i="37"/>
  <c r="CH27" i="37"/>
  <c r="CI25" i="37"/>
  <c r="BY25" i="37"/>
  <c r="BE25" i="37"/>
  <c r="AS25" i="37"/>
  <c r="CM22" i="37"/>
  <c r="BW22" i="37"/>
  <c r="BF22" i="37"/>
  <c r="AP22" i="37"/>
  <c r="BU21" i="37"/>
  <c r="BF21" i="37"/>
  <c r="CM17" i="37"/>
  <c r="BS17" i="37"/>
  <c r="BI17" i="37"/>
  <c r="AP17" i="37"/>
  <c r="BZ16" i="37"/>
  <c r="CK60" i="37"/>
  <c r="CO50" i="37"/>
  <c r="BU50" i="37"/>
  <c r="BK50" i="37"/>
  <c r="BA50" i="37"/>
  <c r="AR50" i="37"/>
  <c r="BW46" i="37"/>
  <c r="BK46" i="37"/>
  <c r="BA46" i="37"/>
  <c r="AQ46" i="37"/>
  <c r="CO43" i="37"/>
  <c r="BD39" i="37"/>
  <c r="BD38" i="37"/>
  <c r="CL85" i="37"/>
  <c r="BY85" i="37"/>
  <c r="BD85" i="37"/>
  <c r="AP85" i="37"/>
  <c r="AP84" i="37"/>
  <c r="BX84" i="37"/>
  <c r="BD84" i="37"/>
  <c r="AN81" i="37"/>
  <c r="AP81" i="37"/>
  <c r="BA81" i="37"/>
  <c r="BL81" i="37"/>
  <c r="BX81" i="37"/>
  <c r="CJ81" i="37"/>
  <c r="AS81" i="37"/>
  <c r="BD81" i="37"/>
  <c r="BZ81" i="37"/>
  <c r="CK81" i="37"/>
  <c r="AM72" i="37"/>
  <c r="AS72" i="37"/>
  <c r="BE72" i="37"/>
  <c r="BU72" i="37"/>
  <c r="CK72" i="37"/>
  <c r="BI72" i="37"/>
  <c r="BY72" i="37"/>
  <c r="CO72" i="37"/>
  <c r="AL66" i="37"/>
  <c r="CH66" i="37"/>
  <c r="BY66" i="37"/>
  <c r="CO66" i="37"/>
  <c r="BA66" i="37"/>
  <c r="CA33" i="37"/>
  <c r="BU33" i="37"/>
  <c r="CP34" i="37"/>
  <c r="CO33" i="37"/>
  <c r="CH33" i="37"/>
  <c r="BZ33" i="37"/>
  <c r="BS33" i="37"/>
  <c r="BJ33" i="37"/>
  <c r="BA33" i="37"/>
  <c r="BS31" i="37"/>
  <c r="BE31" i="37"/>
  <c r="AQ31" i="37"/>
  <c r="BK30" i="37"/>
  <c r="AT27" i="37"/>
  <c r="BV25" i="37"/>
  <c r="BK25" i="37"/>
  <c r="BA25" i="37"/>
  <c r="AQ25" i="37"/>
  <c r="BW24" i="37"/>
  <c r="BJ24" i="37"/>
  <c r="CK22" i="37"/>
  <c r="BV22" i="37"/>
  <c r="BK22" i="37"/>
  <c r="BC22" i="37"/>
  <c r="AO22" i="37"/>
  <c r="BE21" i="37"/>
  <c r="AS21" i="37"/>
  <c r="BC20" i="37"/>
  <c r="BG19" i="37"/>
  <c r="CK18" i="37"/>
  <c r="BW18" i="37"/>
  <c r="CK17" i="37"/>
  <c r="BZ17" i="37"/>
  <c r="BF17" i="37"/>
  <c r="CP15" i="37"/>
  <c r="BV15" i="37"/>
  <c r="BG15" i="37"/>
  <c r="BC14" i="37"/>
  <c r="BG13" i="37"/>
  <c r="BA56" i="37"/>
  <c r="BI54" i="37"/>
  <c r="CN50" i="37"/>
  <c r="BS50" i="37"/>
  <c r="BH50" i="37"/>
  <c r="AQ50" i="37"/>
  <c r="CN46" i="37"/>
  <c r="BS46" i="37"/>
  <c r="BI46" i="37"/>
  <c r="AO46" i="37"/>
  <c r="CM45" i="37"/>
  <c r="CA45" i="37"/>
  <c r="CM43" i="37"/>
  <c r="BY43" i="37"/>
  <c r="BL43" i="37"/>
  <c r="AS43" i="37"/>
  <c r="BH40" i="37"/>
  <c r="BU39" i="37"/>
  <c r="BT38" i="37"/>
  <c r="CH85" i="37"/>
  <c r="BX85" i="37"/>
  <c r="BJ85" i="37"/>
  <c r="CL84" i="37"/>
  <c r="AR82" i="37"/>
  <c r="BA82" i="37"/>
  <c r="BZ82" i="37"/>
  <c r="CJ82" i="37"/>
  <c r="AS82" i="37"/>
  <c r="BD82" i="37"/>
  <c r="CO82" i="37"/>
  <c r="CO81" i="37"/>
  <c r="AP80" i="37"/>
  <c r="BI80" i="37"/>
  <c r="AQ70" i="37"/>
  <c r="BB70" i="37"/>
  <c r="AT70" i="37"/>
  <c r="BC70" i="37"/>
  <c r="BV70" i="37"/>
  <c r="CL70" i="37"/>
  <c r="AP68" i="37"/>
  <c r="AR68" i="37"/>
  <c r="BA68" i="37"/>
  <c r="AS68" i="37"/>
  <c r="BD68" i="37"/>
  <c r="BT68" i="37"/>
  <c r="CN68" i="37"/>
  <c r="BI68" i="37"/>
  <c r="BY68" i="37"/>
  <c r="CO68" i="37"/>
  <c r="CM50" i="37"/>
  <c r="BY50" i="37"/>
  <c r="BG50" i="37"/>
  <c r="AM50" i="37"/>
  <c r="CI38" i="37"/>
  <c r="AL37" i="37"/>
  <c r="CK37" i="37"/>
  <c r="AL36" i="37"/>
  <c r="CO36" i="37"/>
  <c r="AM85" i="37"/>
  <c r="AN85" i="37"/>
  <c r="AS85" i="37"/>
  <c r="BA85" i="37"/>
  <c r="BF85" i="37"/>
  <c r="BL85" i="37"/>
  <c r="BU85" i="37"/>
  <c r="BZ85" i="37"/>
  <c r="CJ85" i="37"/>
  <c r="CO85" i="37"/>
  <c r="AO85" i="37"/>
  <c r="AT85" i="37"/>
  <c r="BB85" i="37"/>
  <c r="BH85" i="37"/>
  <c r="BV85" i="37"/>
  <c r="CK85" i="37"/>
  <c r="CP85" i="37"/>
  <c r="BC34" i="37"/>
  <c r="AO72" i="37"/>
  <c r="BW70" i="37"/>
  <c r="BS105" i="37"/>
  <c r="BA95" i="37"/>
  <c r="BI93" i="37"/>
  <c r="CO89" i="37"/>
  <c r="BY89" i="37"/>
  <c r="BI89" i="37"/>
  <c r="CL87" i="37"/>
  <c r="BZ87" i="37"/>
  <c r="BB87" i="37"/>
  <c r="AT87" i="37"/>
  <c r="BH86" i="37"/>
  <c r="CN119" i="37"/>
  <c r="BE119" i="37"/>
  <c r="AR119" i="37"/>
  <c r="CO109" i="37"/>
  <c r="BY109" i="37"/>
  <c r="BI109" i="37"/>
  <c r="BV152" i="37"/>
  <c r="BT150" i="37"/>
  <c r="BI150" i="37"/>
  <c r="AR150" i="37"/>
  <c r="CN136" i="37"/>
  <c r="BT136" i="37"/>
  <c r="BI136" i="37"/>
  <c r="BU135" i="37"/>
  <c r="BY159" i="37"/>
  <c r="BE157" i="37"/>
  <c r="CP79" i="37"/>
  <c r="BC79" i="37"/>
  <c r="CO63" i="37"/>
  <c r="CP107" i="37"/>
  <c r="CP106" i="37"/>
  <c r="CP104" i="37"/>
  <c r="CK89" i="37"/>
  <c r="BU89" i="37"/>
  <c r="BE89" i="37"/>
  <c r="AS89" i="37"/>
  <c r="CK87" i="37"/>
  <c r="BV87" i="37"/>
  <c r="BJ87" i="37"/>
  <c r="BA87" i="37"/>
  <c r="AS87" i="37"/>
  <c r="BY86" i="37"/>
  <c r="BS125" i="37"/>
  <c r="CL119" i="37"/>
  <c r="BY119" i="37"/>
  <c r="BD119" i="37"/>
  <c r="AP119" i="37"/>
  <c r="BE117" i="37"/>
  <c r="BU114" i="37"/>
  <c r="BL112" i="37"/>
  <c r="CJ111" i="37"/>
  <c r="AS111" i="37"/>
  <c r="CK109" i="37"/>
  <c r="BU109" i="37"/>
  <c r="BE109" i="37"/>
  <c r="AS109" i="37"/>
  <c r="CK152" i="37"/>
  <c r="BA150" i="37"/>
  <c r="AL150" i="37"/>
  <c r="CP149" i="37"/>
  <c r="BD136" i="37"/>
  <c r="AS136" i="37"/>
  <c r="CO159" i="37"/>
  <c r="CN158" i="37"/>
  <c r="BY158" i="37"/>
  <c r="BL158" i="37"/>
  <c r="BU157" i="37"/>
  <c r="CN63" i="37"/>
  <c r="BW63" i="37"/>
  <c r="BJ63" i="37"/>
  <c r="AS63" i="37"/>
  <c r="CO99" i="37"/>
  <c r="BY99" i="37"/>
  <c r="BI99" i="37"/>
  <c r="AS99" i="37"/>
  <c r="BA89" i="37"/>
  <c r="BU87" i="37"/>
  <c r="BI87" i="37"/>
  <c r="AP87" i="37"/>
  <c r="CK86" i="37"/>
  <c r="CH119" i="37"/>
  <c r="BX119" i="37"/>
  <c r="BJ119" i="37"/>
  <c r="CL149" i="37"/>
  <c r="BX149" i="37"/>
  <c r="BI149" i="37"/>
  <c r="AP149" i="37"/>
  <c r="BI147" i="37"/>
  <c r="AP147" i="37"/>
  <c r="BX141" i="37"/>
  <c r="BA136" i="37"/>
  <c r="AS158" i="37"/>
  <c r="BI34" i="37"/>
  <c r="AP34" i="37"/>
  <c r="CP31" i="37"/>
  <c r="CI31" i="37"/>
  <c r="BY31" i="37"/>
  <c r="BG31" i="37"/>
  <c r="AP31" i="37"/>
  <c r="CL30" i="37"/>
  <c r="BY30" i="37"/>
  <c r="BE30" i="37"/>
  <c r="AQ30" i="37"/>
  <c r="AN29" i="37"/>
  <c r="AQ29" i="37"/>
  <c r="BE29" i="37"/>
  <c r="BY29" i="37"/>
  <c r="CI29" i="37"/>
  <c r="CP29" i="37"/>
  <c r="CL27" i="37"/>
  <c r="BZ27" i="37"/>
  <c r="BF27" i="37"/>
  <c r="AN24" i="37"/>
  <c r="AP24" i="37"/>
  <c r="BC24" i="37"/>
  <c r="BY24" i="37"/>
  <c r="CL24" i="37"/>
  <c r="AQ24" i="37"/>
  <c r="BE24" i="37"/>
  <c r="CP24" i="37"/>
  <c r="CH19" i="37"/>
  <c r="BZ19" i="37"/>
  <c r="BI19" i="37"/>
  <c r="AN18" i="37"/>
  <c r="AL18" i="37"/>
  <c r="AQ18" i="37"/>
  <c r="BE18" i="37"/>
  <c r="BJ18" i="37"/>
  <c r="BS18" i="37"/>
  <c r="BY18" i="37"/>
  <c r="CL18" i="37"/>
  <c r="AM18" i="37"/>
  <c r="AS18" i="37"/>
  <c r="BA18" i="37"/>
  <c r="BF18" i="37"/>
  <c r="BK18" i="37"/>
  <c r="BU18" i="37"/>
  <c r="BZ18" i="37"/>
  <c r="CH18" i="37"/>
  <c r="CM18" i="37"/>
  <c r="CI15" i="37"/>
  <c r="CA15" i="37"/>
  <c r="BS15" i="37"/>
  <c r="BJ15" i="37"/>
  <c r="BB15" i="37"/>
  <c r="CI13" i="37"/>
  <c r="BX13" i="37"/>
  <c r="BH13" i="37"/>
  <c r="AQ58" i="37"/>
  <c r="CK58" i="37"/>
  <c r="BA58" i="37"/>
  <c r="BU58" i="37"/>
  <c r="BY56" i="37"/>
  <c r="BK56" i="37"/>
  <c r="BB55" i="37"/>
  <c r="BK44" i="37"/>
  <c r="AN44" i="37"/>
  <c r="CO44" i="37"/>
  <c r="CH35" i="37"/>
  <c r="BT35" i="37"/>
  <c r="BG35" i="37"/>
  <c r="BI84" i="37"/>
  <c r="AN32" i="37"/>
  <c r="BE32" i="37"/>
  <c r="BS32" i="37"/>
  <c r="CL32" i="37"/>
  <c r="AN27" i="37"/>
  <c r="AM27" i="37"/>
  <c r="BE27" i="37"/>
  <c r="BK27" i="37"/>
  <c r="BU27" i="37"/>
  <c r="CA27" i="37"/>
  <c r="CI27" i="37"/>
  <c r="AN26" i="37"/>
  <c r="AQ26" i="37"/>
  <c r="BJ26" i="37"/>
  <c r="BY26" i="37"/>
  <c r="AN23" i="37"/>
  <c r="AP23" i="37"/>
  <c r="BI23" i="37"/>
  <c r="AO19" i="37"/>
  <c r="BC19" i="37"/>
  <c r="BK19" i="37"/>
  <c r="BV19" i="37"/>
  <c r="CK19" i="37"/>
  <c r="AP19" i="37"/>
  <c r="BF19" i="37"/>
  <c r="BW19" i="37"/>
  <c r="CM19" i="37"/>
  <c r="AM13" i="37"/>
  <c r="AN13" i="37"/>
  <c r="AS13" i="37"/>
  <c r="BA13" i="37"/>
  <c r="BE13" i="37"/>
  <c r="BI13" i="37"/>
  <c r="BU13" i="37"/>
  <c r="BY13" i="37"/>
  <c r="CK13" i="37"/>
  <c r="CO13" i="37"/>
  <c r="AO13" i="37"/>
  <c r="AT13" i="37"/>
  <c r="BB13" i="37"/>
  <c r="BF13" i="37"/>
  <c r="BJ13" i="37"/>
  <c r="BV13" i="37"/>
  <c r="BZ13" i="37"/>
  <c r="CH13" i="37"/>
  <c r="CL13" i="37"/>
  <c r="CP13" i="37"/>
  <c r="AL56" i="37"/>
  <c r="AP56" i="37"/>
  <c r="BF56" i="37"/>
  <c r="CA56" i="37"/>
  <c r="CK56" i="37"/>
  <c r="BI56" i="37"/>
  <c r="BS56" i="37"/>
  <c r="CM56" i="37"/>
  <c r="BC52" i="37"/>
  <c r="BU52" i="37"/>
  <c r="AO41" i="37"/>
  <c r="AR41" i="37"/>
  <c r="BE41" i="37"/>
  <c r="BU41" i="37"/>
  <c r="CO41" i="37"/>
  <c r="BL41" i="37"/>
  <c r="AL35" i="37"/>
  <c r="AN35" i="37"/>
  <c r="AT35" i="37"/>
  <c r="BC35" i="37"/>
  <c r="BH35" i="37"/>
  <c r="BV35" i="37"/>
  <c r="CA35" i="37"/>
  <c r="CI35" i="37"/>
  <c r="CN35" i="37"/>
  <c r="AP35" i="37"/>
  <c r="BD35" i="37"/>
  <c r="BJ35" i="37"/>
  <c r="BW35" i="37"/>
  <c r="CJ35" i="37"/>
  <c r="CP35" i="37"/>
  <c r="AQ35" i="37"/>
  <c r="BF35" i="37"/>
  <c r="BK35" i="37"/>
  <c r="BS35" i="37"/>
  <c r="BX35" i="37"/>
  <c r="CL35" i="37"/>
  <c r="AM84" i="37"/>
  <c r="AL84" i="37"/>
  <c r="AR84" i="37"/>
  <c r="BE84" i="37"/>
  <c r="BJ84" i="37"/>
  <c r="BT84" i="37"/>
  <c r="BY84" i="37"/>
  <c r="CH84" i="37"/>
  <c r="CN84" i="37"/>
  <c r="AN84" i="37"/>
  <c r="AS84" i="37"/>
  <c r="BA84" i="37"/>
  <c r="BF84" i="37"/>
  <c r="BL84" i="37"/>
  <c r="BU84" i="37"/>
  <c r="BZ84" i="37"/>
  <c r="CJ84" i="37"/>
  <c r="CO84" i="37"/>
  <c r="AO84" i="37"/>
  <c r="AT84" i="37"/>
  <c r="BB84" i="37"/>
  <c r="BH84" i="37"/>
  <c r="BV84" i="37"/>
  <c r="CK84" i="37"/>
  <c r="CP84" i="37"/>
  <c r="CK34" i="37"/>
  <c r="AN33" i="37"/>
  <c r="AL33" i="37"/>
  <c r="AT33" i="37"/>
  <c r="BB33" i="37"/>
  <c r="BJ32" i="37"/>
  <c r="CL31" i="37"/>
  <c r="BV31" i="37"/>
  <c r="BJ31" i="37"/>
  <c r="BC31" i="37"/>
  <c r="AT31" i="37"/>
  <c r="CP30" i="37"/>
  <c r="BU30" i="37"/>
  <c r="BI30" i="37"/>
  <c r="CO29" i="37"/>
  <c r="BS29" i="37"/>
  <c r="BI29" i="37"/>
  <c r="AP29" i="37"/>
  <c r="BI28" i="37"/>
  <c r="AP28" i="37"/>
  <c r="CO27" i="37"/>
  <c r="BV27" i="37"/>
  <c r="BJ27" i="37"/>
  <c r="BA27" i="37"/>
  <c r="AS27" i="37"/>
  <c r="BE26" i="37"/>
  <c r="BC23" i="37"/>
  <c r="AO20" i="37"/>
  <c r="BE20" i="37"/>
  <c r="BW20" i="37"/>
  <c r="CO20" i="37"/>
  <c r="AP20" i="37"/>
  <c r="BG20" i="37"/>
  <c r="BY20" i="37"/>
  <c r="CI20" i="37"/>
  <c r="CP20" i="37"/>
  <c r="CO19" i="37"/>
  <c r="BB19" i="37"/>
  <c r="AT19" i="37"/>
  <c r="CA18" i="37"/>
  <c r="BB18" i="37"/>
  <c r="AP18" i="37"/>
  <c r="AM15" i="37"/>
  <c r="AL15" i="37"/>
  <c r="AR15" i="37"/>
  <c r="BD15" i="37"/>
  <c r="BH15" i="37"/>
  <c r="BL15" i="37"/>
  <c r="BT15" i="37"/>
  <c r="BX15" i="37"/>
  <c r="CJ15" i="37"/>
  <c r="CN15" i="37"/>
  <c r="AN15" i="37"/>
  <c r="AS15" i="37"/>
  <c r="BA15" i="37"/>
  <c r="BE15" i="37"/>
  <c r="BI15" i="37"/>
  <c r="BU15" i="37"/>
  <c r="BY15" i="37"/>
  <c r="CK15" i="37"/>
  <c r="CO15" i="37"/>
  <c r="CM13" i="37"/>
  <c r="BT13" i="37"/>
  <c r="BL13" i="37"/>
  <c r="BD13" i="37"/>
  <c r="AR13" i="37"/>
  <c r="BK52" i="37"/>
  <c r="BA41" i="37"/>
  <c r="BY32" i="37"/>
  <c r="AN31" i="37"/>
  <c r="AM31" i="37"/>
  <c r="AS31" i="37"/>
  <c r="BA31" i="37"/>
  <c r="BF31" i="37"/>
  <c r="BK31" i="37"/>
  <c r="BU31" i="37"/>
  <c r="BZ31" i="37"/>
  <c r="CH31" i="37"/>
  <c r="CM31" i="37"/>
  <c r="AN30" i="37"/>
  <c r="AL30" i="37"/>
  <c r="AS30" i="37"/>
  <c r="BC30" i="37"/>
  <c r="BJ30" i="37"/>
  <c r="BS30" i="37"/>
  <c r="BZ30" i="37"/>
  <c r="CK30" i="37"/>
  <c r="CM27" i="37"/>
  <c r="BS27" i="37"/>
  <c r="BG27" i="37"/>
  <c r="AQ27" i="37"/>
  <c r="BS26" i="37"/>
  <c r="CP23" i="37"/>
  <c r="BW23" i="37"/>
  <c r="CI19" i="37"/>
  <c r="CA19" i="37"/>
  <c r="BA19" i="37"/>
  <c r="AS19" i="37"/>
  <c r="CJ13" i="37"/>
  <c r="CA13" i="37"/>
  <c r="BS13" i="37"/>
  <c r="BK13" i="37"/>
  <c r="BC13" i="37"/>
  <c r="AP13" i="37"/>
  <c r="BX12" i="37"/>
  <c r="BC12" i="37"/>
  <c r="AO48" i="37"/>
  <c r="AM48" i="37"/>
  <c r="BI48" i="37"/>
  <c r="BY48" i="37"/>
  <c r="CK48" i="37"/>
  <c r="AQ48" i="37"/>
  <c r="BA48" i="37"/>
  <c r="BK48" i="37"/>
  <c r="BS48" i="37"/>
  <c r="CM48" i="37"/>
  <c r="CM35" i="37"/>
  <c r="BZ35" i="37"/>
  <c r="BL35" i="37"/>
  <c r="AM71" i="37"/>
  <c r="AO71" i="37"/>
  <c r="BA71" i="37"/>
  <c r="AS71" i="37"/>
  <c r="BE71" i="37"/>
  <c r="BU71" i="37"/>
  <c r="CK71" i="37"/>
  <c r="AN69" i="37"/>
  <c r="BK69" i="37"/>
  <c r="BZ69" i="37"/>
  <c r="CM69" i="37"/>
  <c r="AP67" i="37"/>
  <c r="BF67" i="37"/>
  <c r="BX67" i="37"/>
  <c r="CJ67" i="37"/>
  <c r="CP67" i="37"/>
  <c r="AN67" i="37"/>
  <c r="BD67" i="37"/>
  <c r="BZ67" i="37"/>
  <c r="CL67" i="37"/>
  <c r="AO67" i="37"/>
  <c r="BH67" i="37"/>
  <c r="CO67" i="37"/>
  <c r="AO105" i="37"/>
  <c r="AM105" i="37"/>
  <c r="BE105" i="37"/>
  <c r="BK105" i="37"/>
  <c r="BU105" i="37"/>
  <c r="CL105" i="37"/>
  <c r="AP105" i="37"/>
  <c r="BF105" i="37"/>
  <c r="BW105" i="37"/>
  <c r="AL105" i="37"/>
  <c r="BJ105" i="37"/>
  <c r="BY105" i="37"/>
  <c r="CH105" i="37"/>
  <c r="AQ105" i="37"/>
  <c r="BA105" i="37"/>
  <c r="BZ105" i="37"/>
  <c r="CK105" i="37"/>
  <c r="CO101" i="37"/>
  <c r="BY101" i="37"/>
  <c r="AL127" i="37"/>
  <c r="CO127" i="37"/>
  <c r="BA127" i="37"/>
  <c r="BY127" i="37"/>
  <c r="BI127" i="37"/>
  <c r="AL151" i="37"/>
  <c r="AO151" i="37"/>
  <c r="BI151" i="37"/>
  <c r="BX151" i="37"/>
  <c r="CL151" i="37"/>
  <c r="AP151" i="37"/>
  <c r="BB151" i="37"/>
  <c r="CP151" i="37"/>
  <c r="AT151" i="37"/>
  <c r="BH151" i="37"/>
  <c r="AS134" i="37"/>
  <c r="BU134" i="37"/>
  <c r="BD134" i="37"/>
  <c r="AM82" i="37"/>
  <c r="AO82" i="37"/>
  <c r="AT82" i="37"/>
  <c r="BB82" i="37"/>
  <c r="BH82" i="37"/>
  <c r="BV82" i="37"/>
  <c r="CK82" i="37"/>
  <c r="CP82" i="37"/>
  <c r="AO79" i="37"/>
  <c r="AT79" i="37"/>
  <c r="BB79" i="37"/>
  <c r="BG79" i="37"/>
  <c r="BV79" i="37"/>
  <c r="CA79" i="37"/>
  <c r="CI79" i="37"/>
  <c r="CO79" i="37"/>
  <c r="BI71" i="37"/>
  <c r="CH69" i="37"/>
  <c r="CK67" i="37"/>
  <c r="BU67" i="37"/>
  <c r="BI67" i="37"/>
  <c r="AP64" i="37"/>
  <c r="BZ64" i="37"/>
  <c r="CN64" i="37"/>
  <c r="AR64" i="37"/>
  <c r="BF64" i="37"/>
  <c r="BT64" i="37"/>
  <c r="CJ64" i="37"/>
  <c r="BJ64" i="37"/>
  <c r="BX64" i="37"/>
  <c r="AO61" i="37"/>
  <c r="CK61" i="37"/>
  <c r="BU61" i="37"/>
  <c r="AL106" i="37"/>
  <c r="AP106" i="37"/>
  <c r="BF106" i="37"/>
  <c r="BW106" i="37"/>
  <c r="CM106" i="37"/>
  <c r="AO106" i="37"/>
  <c r="BG106" i="37"/>
  <c r="CA106" i="37"/>
  <c r="CI106" i="37"/>
  <c r="AS106" i="37"/>
  <c r="BA106" i="37"/>
  <c r="BI106" i="37"/>
  <c r="BU106" i="37"/>
  <c r="CK106" i="37"/>
  <c r="CM105" i="37"/>
  <c r="BD151" i="37"/>
  <c r="BH155" i="37"/>
  <c r="BT155" i="37"/>
  <c r="CH155" i="37"/>
  <c r="BV155" i="37"/>
  <c r="BJ155" i="37"/>
  <c r="CO25" i="37"/>
  <c r="CH25" i="37"/>
  <c r="BZ25" i="37"/>
  <c r="BS25" i="37"/>
  <c r="BJ25" i="37"/>
  <c r="BB25" i="37"/>
  <c r="AT25" i="37"/>
  <c r="AL25" i="37"/>
  <c r="CL22" i="37"/>
  <c r="BY22" i="37"/>
  <c r="BS22" i="37"/>
  <c r="BJ22" i="37"/>
  <c r="BE22" i="37"/>
  <c r="AQ22" i="37"/>
  <c r="AL22" i="37"/>
  <c r="CM21" i="37"/>
  <c r="BS21" i="37"/>
  <c r="BJ21" i="37"/>
  <c r="CA14" i="37"/>
  <c r="BG14" i="37"/>
  <c r="CM46" i="37"/>
  <c r="BT46" i="37"/>
  <c r="BL46" i="37"/>
  <c r="BE46" i="37"/>
  <c r="AM46" i="37"/>
  <c r="CO45" i="37"/>
  <c r="BS45" i="37"/>
  <c r="BH45" i="37"/>
  <c r="AO45" i="37"/>
  <c r="BD43" i="37"/>
  <c r="AO43" i="37"/>
  <c r="CK36" i="37"/>
  <c r="BU36" i="37"/>
  <c r="BE36" i="37"/>
  <c r="AS36" i="37"/>
  <c r="AM83" i="37"/>
  <c r="AL83" i="37"/>
  <c r="AR83" i="37"/>
  <c r="BE83" i="37"/>
  <c r="BJ83" i="37"/>
  <c r="CN82" i="37"/>
  <c r="BX82" i="37"/>
  <c r="BF82" i="37"/>
  <c r="AP82" i="37"/>
  <c r="CL81" i="37"/>
  <c r="BU81" i="37"/>
  <c r="BI81" i="37"/>
  <c r="BB81" i="37"/>
  <c r="AT81" i="37"/>
  <c r="CM79" i="37"/>
  <c r="BW79" i="37"/>
  <c r="BF79" i="37"/>
  <c r="AP79" i="37"/>
  <c r="AP78" i="37"/>
  <c r="BF78" i="37"/>
  <c r="BK78" i="37"/>
  <c r="BU78" i="37"/>
  <c r="BZ78" i="37"/>
  <c r="CH78" i="37"/>
  <c r="CM78" i="37"/>
  <c r="AM73" i="37"/>
  <c r="AO73" i="37"/>
  <c r="BA73" i="37"/>
  <c r="AS73" i="37"/>
  <c r="BE73" i="37"/>
  <c r="BU73" i="37"/>
  <c r="CK73" i="37"/>
  <c r="BY71" i="37"/>
  <c r="AO70" i="37"/>
  <c r="BE70" i="37"/>
  <c r="AL70" i="37"/>
  <c r="BG70" i="37"/>
  <c r="BY70" i="37"/>
  <c r="CI70" i="37"/>
  <c r="CP70" i="37"/>
  <c r="AP70" i="37"/>
  <c r="BI70" i="37"/>
  <c r="BS70" i="37"/>
  <c r="CA70" i="37"/>
  <c r="CK70" i="37"/>
  <c r="BB67" i="37"/>
  <c r="AT67" i="37"/>
  <c r="BD64" i="37"/>
  <c r="BA61" i="37"/>
  <c r="AT107" i="37"/>
  <c r="BC107" i="37"/>
  <c r="CO106" i="37"/>
  <c r="BZ106" i="37"/>
  <c r="BK106" i="37"/>
  <c r="BV151" i="37"/>
  <c r="CP155" i="37"/>
  <c r="CL82" i="37"/>
  <c r="BU82" i="37"/>
  <c r="BL82" i="37"/>
  <c r="BE82" i="37"/>
  <c r="AN82" i="37"/>
  <c r="AM81" i="37"/>
  <c r="AL81" i="37"/>
  <c r="AR81" i="37"/>
  <c r="BE81" i="37"/>
  <c r="BJ81" i="37"/>
  <c r="BT81" i="37"/>
  <c r="BY81" i="37"/>
  <c r="CH81" i="37"/>
  <c r="CN81" i="37"/>
  <c r="CL79" i="37"/>
  <c r="BU79" i="37"/>
  <c r="BK79" i="37"/>
  <c r="BE79" i="37"/>
  <c r="AM79" i="37"/>
  <c r="CO71" i="37"/>
  <c r="BF69" i="37"/>
  <c r="AS69" i="37"/>
  <c r="BA67" i="37"/>
  <c r="AS67" i="37"/>
  <c r="AN65" i="37"/>
  <c r="AO65" i="37"/>
  <c r="BA65" i="37"/>
  <c r="AS65" i="37"/>
  <c r="BH65" i="37"/>
  <c r="BV65" i="37"/>
  <c r="CK65" i="37"/>
  <c r="BL65" i="37"/>
  <c r="BZ65" i="37"/>
  <c r="CO65" i="37"/>
  <c r="BS62" i="37"/>
  <c r="CL62" i="37"/>
  <c r="CH106" i="37"/>
  <c r="BV106" i="37"/>
  <c r="BC106" i="37"/>
  <c r="AT106" i="37"/>
  <c r="BI105" i="37"/>
  <c r="AS105" i="37"/>
  <c r="BX118" i="37"/>
  <c r="BD118" i="37"/>
  <c r="CK151" i="37"/>
  <c r="AL145" i="37"/>
  <c r="CL145" i="37"/>
  <c r="BD145" i="37"/>
  <c r="BX145" i="37"/>
  <c r="CH68" i="37"/>
  <c r="BX68" i="37"/>
  <c r="BJ68" i="37"/>
  <c r="BI66" i="37"/>
  <c r="AR66" i="37"/>
  <c r="BC63" i="37"/>
  <c r="AL104" i="37"/>
  <c r="AS104" i="37"/>
  <c r="BF104" i="37"/>
  <c r="BS104" i="37"/>
  <c r="BI104" i="37"/>
  <c r="BW104" i="37"/>
  <c r="CK104" i="37"/>
  <c r="AO97" i="37"/>
  <c r="BA97" i="37"/>
  <c r="AS97" i="37"/>
  <c r="BE97" i="37"/>
  <c r="BU97" i="37"/>
  <c r="CK97" i="37"/>
  <c r="AO91" i="37"/>
  <c r="AS91" i="37"/>
  <c r="BI91" i="37"/>
  <c r="BY91" i="37"/>
  <c r="CO91" i="37"/>
  <c r="AN119" i="37"/>
  <c r="AS119" i="37"/>
  <c r="BA119" i="37"/>
  <c r="BF119" i="37"/>
  <c r="BL119" i="37"/>
  <c r="BU119" i="37"/>
  <c r="BZ119" i="37"/>
  <c r="CJ119" i="37"/>
  <c r="CO119" i="37"/>
  <c r="AO119" i="37"/>
  <c r="AT119" i="37"/>
  <c r="BB119" i="37"/>
  <c r="BH119" i="37"/>
  <c r="BV119" i="37"/>
  <c r="CK119" i="37"/>
  <c r="CP119" i="37"/>
  <c r="AL112" i="37"/>
  <c r="AS112" i="37"/>
  <c r="BD112" i="37"/>
  <c r="BI112" i="37"/>
  <c r="BT112" i="37"/>
  <c r="CN112" i="37"/>
  <c r="AN136" i="37"/>
  <c r="BE136" i="37"/>
  <c r="BX136" i="37"/>
  <c r="CJ136" i="37"/>
  <c r="AO136" i="37"/>
  <c r="BH136" i="37"/>
  <c r="BY136" i="37"/>
  <c r="CK136" i="37"/>
  <c r="BH135" i="37"/>
  <c r="AL68" i="37"/>
  <c r="BF68" i="37"/>
  <c r="BZ68" i="37"/>
  <c r="CJ68" i="37"/>
  <c r="AL63" i="37"/>
  <c r="AQ63" i="37"/>
  <c r="BA63" i="37"/>
  <c r="BY63" i="37"/>
  <c r="CL63" i="37"/>
  <c r="AP123" i="37"/>
  <c r="CO123" i="37"/>
  <c r="AN115" i="37"/>
  <c r="AO115" i="37"/>
  <c r="BI115" i="37"/>
  <c r="BT115" i="37"/>
  <c r="AR115" i="37"/>
  <c r="BA115" i="37"/>
  <c r="BL115" i="37"/>
  <c r="BU115" i="37"/>
  <c r="CK115" i="37"/>
  <c r="CO112" i="37"/>
  <c r="CO148" i="37"/>
  <c r="AS148" i="37"/>
  <c r="BF148" i="37"/>
  <c r="AN137" i="37"/>
  <c r="BY137" i="37"/>
  <c r="CO137" i="37"/>
  <c r="BD137" i="37"/>
  <c r="AO131" i="37"/>
  <c r="BH131" i="37"/>
  <c r="CA131" i="37"/>
  <c r="CN131" i="37"/>
  <c r="BA133" i="37"/>
  <c r="AR133" i="37"/>
  <c r="CO158" i="37"/>
  <c r="BA158" i="37"/>
  <c r="AR158" i="37"/>
  <c r="CO157" i="37"/>
  <c r="BX157" i="37"/>
  <c r="BL157" i="37"/>
  <c r="AS157" i="37"/>
  <c r="CL153" i="37"/>
  <c r="BX153" i="37"/>
  <c r="BD153" i="37"/>
  <c r="AT153" i="37"/>
  <c r="CJ86" i="37"/>
  <c r="BX86" i="37"/>
  <c r="BC125" i="37"/>
  <c r="BD121" i="37"/>
  <c r="BD113" i="37"/>
  <c r="BU111" i="37"/>
  <c r="BD110" i="37"/>
  <c r="CO150" i="37"/>
  <c r="BD150" i="37"/>
  <c r="CL147" i="37"/>
  <c r="AM16" i="37"/>
  <c r="AT16" i="37"/>
  <c r="BF16" i="37"/>
  <c r="BV16" i="37"/>
  <c r="CH16" i="37"/>
  <c r="AL12" i="37"/>
  <c r="AR12" i="37"/>
  <c r="BD12" i="37"/>
  <c r="BL12" i="37"/>
  <c r="BT12" i="37"/>
  <c r="CM12" i="37"/>
  <c r="AN59" i="37"/>
  <c r="AS59" i="37"/>
  <c r="BC59" i="37"/>
  <c r="AN57" i="37"/>
  <c r="AS57" i="37"/>
  <c r="BC57" i="37"/>
  <c r="AL55" i="37"/>
  <c r="CK55" i="37"/>
  <c r="AQ49" i="37"/>
  <c r="BS49" i="37"/>
  <c r="BV34" i="37"/>
  <c r="AO34" i="37"/>
  <c r="CP32" i="37"/>
  <c r="CK32" i="37"/>
  <c r="BW32" i="37"/>
  <c r="BI32" i="37"/>
  <c r="BC32" i="37"/>
  <c r="AP32" i="37"/>
  <c r="CO28" i="37"/>
  <c r="CI28" i="37"/>
  <c r="CA28" i="37"/>
  <c r="BV28" i="37"/>
  <c r="BG28" i="37"/>
  <c r="BB28" i="37"/>
  <c r="AT28" i="37"/>
  <c r="AO28" i="37"/>
  <c r="CP26" i="37"/>
  <c r="CK26" i="37"/>
  <c r="BW26" i="37"/>
  <c r="BI26" i="37"/>
  <c r="BC26" i="37"/>
  <c r="AP26" i="37"/>
  <c r="CO23" i="37"/>
  <c r="CI23" i="37"/>
  <c r="CA23" i="37"/>
  <c r="BV23" i="37"/>
  <c r="BG23" i="37"/>
  <c r="BB23" i="37"/>
  <c r="AT23" i="37"/>
  <c r="AO23" i="37"/>
  <c r="AN21" i="37"/>
  <c r="AO21" i="37"/>
  <c r="AN17" i="37"/>
  <c r="AO17" i="37"/>
  <c r="AT17" i="37"/>
  <c r="BB17" i="37"/>
  <c r="BG17" i="37"/>
  <c r="BV17" i="37"/>
  <c r="CA17" i="37"/>
  <c r="CI17" i="37"/>
  <c r="CO17" i="37"/>
  <c r="CL16" i="37"/>
  <c r="AM14" i="37"/>
  <c r="BK14" i="37"/>
  <c r="BW14" i="37"/>
  <c r="CI14" i="37"/>
  <c r="BW12" i="37"/>
  <c r="BK12" i="37"/>
  <c r="BS60" i="37"/>
  <c r="BI60" i="37"/>
  <c r="CM59" i="37"/>
  <c r="CA59" i="37"/>
  <c r="BS58" i="37"/>
  <c r="BI58" i="37"/>
  <c r="CM57" i="37"/>
  <c r="CA57" i="37"/>
  <c r="CP55" i="37"/>
  <c r="AQ53" i="37"/>
  <c r="CO53" i="37"/>
  <c r="AO52" i="37"/>
  <c r="CM52" i="37"/>
  <c r="CM49" i="37"/>
  <c r="AQ32" i="37"/>
  <c r="AM32" i="37"/>
  <c r="BG29" i="37"/>
  <c r="BB29" i="37"/>
  <c r="AT29" i="37"/>
  <c r="AO29" i="37"/>
  <c r="CM28" i="37"/>
  <c r="CH28" i="37"/>
  <c r="BZ28" i="37"/>
  <c r="BU28" i="37"/>
  <c r="BK28" i="37"/>
  <c r="BF28" i="37"/>
  <c r="BA28" i="37"/>
  <c r="AS28" i="37"/>
  <c r="AM28" i="37"/>
  <c r="CO26" i="37"/>
  <c r="CI26" i="37"/>
  <c r="CA26" i="37"/>
  <c r="BV26" i="37"/>
  <c r="BG26" i="37"/>
  <c r="BB26" i="37"/>
  <c r="AT26" i="37"/>
  <c r="AM26" i="37"/>
  <c r="CO24" i="37"/>
  <c r="CI24" i="37"/>
  <c r="CA24" i="37"/>
  <c r="BV24" i="37"/>
  <c r="BG24" i="37"/>
  <c r="BB24" i="37"/>
  <c r="AT24" i="37"/>
  <c r="AO24" i="37"/>
  <c r="CM23" i="37"/>
  <c r="CH23" i="37"/>
  <c r="BZ23" i="37"/>
  <c r="BU23" i="37"/>
  <c r="BK23" i="37"/>
  <c r="BF23" i="37"/>
  <c r="BA23" i="37"/>
  <c r="AS23" i="37"/>
  <c r="AM23" i="37"/>
  <c r="CP21" i="37"/>
  <c r="CK21" i="37"/>
  <c r="BW21" i="37"/>
  <c r="BI21" i="37"/>
  <c r="BC21" i="37"/>
  <c r="AP21" i="37"/>
  <c r="CN12" i="37"/>
  <c r="BS12" i="37"/>
  <c r="BH12" i="37"/>
  <c r="AN60" i="37"/>
  <c r="AS60" i="37"/>
  <c r="BC60" i="37"/>
  <c r="CK59" i="37"/>
  <c r="BU59" i="37"/>
  <c r="BK59" i="37"/>
  <c r="AN58" i="37"/>
  <c r="AS58" i="37"/>
  <c r="BC58" i="37"/>
  <c r="CK57" i="37"/>
  <c r="BU57" i="37"/>
  <c r="BK57" i="37"/>
  <c r="CO34" i="37"/>
  <c r="CI34" i="37"/>
  <c r="CA34" i="37"/>
  <c r="BG34" i="37"/>
  <c r="BB34" i="37"/>
  <c r="AT34" i="37"/>
  <c r="CM34" i="37"/>
  <c r="CH34" i="37"/>
  <c r="BZ34" i="37"/>
  <c r="BU34" i="37"/>
  <c r="BK34" i="37"/>
  <c r="BF34" i="37"/>
  <c r="BA34" i="37"/>
  <c r="AS34" i="37"/>
  <c r="AM34" i="37"/>
  <c r="CO32" i="37"/>
  <c r="CI32" i="37"/>
  <c r="CA32" i="37"/>
  <c r="BV32" i="37"/>
  <c r="BG32" i="37"/>
  <c r="BB32" i="37"/>
  <c r="AT32" i="37"/>
  <c r="CL34" i="37"/>
  <c r="BY34" i="37"/>
  <c r="BS34" i="37"/>
  <c r="BJ34" i="37"/>
  <c r="BE34" i="37"/>
  <c r="AQ34" i="37"/>
  <c r="AL34" i="37"/>
  <c r="CP33" i="37"/>
  <c r="CK33" i="37"/>
  <c r="BW33" i="37"/>
  <c r="BI33" i="37"/>
  <c r="BC33" i="37"/>
  <c r="AP33" i="37"/>
  <c r="CM32" i="37"/>
  <c r="CH32" i="37"/>
  <c r="BZ32" i="37"/>
  <c r="BU32" i="37"/>
  <c r="BK32" i="37"/>
  <c r="BF32" i="37"/>
  <c r="BA32" i="37"/>
  <c r="AS32" i="37"/>
  <c r="AL32" i="37"/>
  <c r="CO30" i="37"/>
  <c r="CI30" i="37"/>
  <c r="CA30" i="37"/>
  <c r="BV30" i="37"/>
  <c r="BG30" i="37"/>
  <c r="BB30" i="37"/>
  <c r="AT30" i="37"/>
  <c r="AO30" i="37"/>
  <c r="CM29" i="37"/>
  <c r="CH29" i="37"/>
  <c r="BZ29" i="37"/>
  <c r="BU29" i="37"/>
  <c r="BK29" i="37"/>
  <c r="BF29" i="37"/>
  <c r="BA29" i="37"/>
  <c r="AS29" i="37"/>
  <c r="AM29" i="37"/>
  <c r="CL28" i="37"/>
  <c r="BY28" i="37"/>
  <c r="BS28" i="37"/>
  <c r="BJ28" i="37"/>
  <c r="BE28" i="37"/>
  <c r="AQ28" i="37"/>
  <c r="AL28" i="37"/>
  <c r="CP27" i="37"/>
  <c r="CK27" i="37"/>
  <c r="BW27" i="37"/>
  <c r="BI27" i="37"/>
  <c r="BC27" i="37"/>
  <c r="AP27" i="37"/>
  <c r="CM26" i="37"/>
  <c r="CH26" i="37"/>
  <c r="BZ26" i="37"/>
  <c r="BU26" i="37"/>
  <c r="BK26" i="37"/>
  <c r="BF26" i="37"/>
  <c r="BA26" i="37"/>
  <c r="AS26" i="37"/>
  <c r="AL26" i="37"/>
  <c r="CP25" i="37"/>
  <c r="CK25" i="37"/>
  <c r="BW25" i="37"/>
  <c r="BI25" i="37"/>
  <c r="BC25" i="37"/>
  <c r="AP25" i="37"/>
  <c r="CM24" i="37"/>
  <c r="CH24" i="37"/>
  <c r="BZ24" i="37"/>
  <c r="BU24" i="37"/>
  <c r="BK24" i="37"/>
  <c r="BF24" i="37"/>
  <c r="BA24" i="37"/>
  <c r="AS24" i="37"/>
  <c r="AM24" i="37"/>
  <c r="CL23" i="37"/>
  <c r="BY23" i="37"/>
  <c r="BS23" i="37"/>
  <c r="BJ23" i="37"/>
  <c r="BE23" i="37"/>
  <c r="AQ23" i="37"/>
  <c r="AL23" i="37"/>
  <c r="CO21" i="37"/>
  <c r="CI21" i="37"/>
  <c r="CA21" i="37"/>
  <c r="BV21" i="37"/>
  <c r="BG21" i="37"/>
  <c r="BB21" i="37"/>
  <c r="AT21" i="37"/>
  <c r="AM21" i="37"/>
  <c r="AN20" i="37"/>
  <c r="AM20" i="37"/>
  <c r="AS20" i="37"/>
  <c r="BA20" i="37"/>
  <c r="BF20" i="37"/>
  <c r="BK20" i="37"/>
  <c r="BU20" i="37"/>
  <c r="BZ20" i="37"/>
  <c r="CH20" i="37"/>
  <c r="CM20" i="37"/>
  <c r="AN19" i="37"/>
  <c r="AL19" i="37"/>
  <c r="AQ19" i="37"/>
  <c r="BE19" i="37"/>
  <c r="BJ19" i="37"/>
  <c r="BS19" i="37"/>
  <c r="BY19" i="37"/>
  <c r="CL19" i="37"/>
  <c r="CL17" i="37"/>
  <c r="BU17" i="37"/>
  <c r="BK17" i="37"/>
  <c r="BE17" i="37"/>
  <c r="AM17" i="37"/>
  <c r="BJ16" i="37"/>
  <c r="AP16" i="37"/>
  <c r="CJ12" i="37"/>
  <c r="CA12" i="37"/>
  <c r="BG12" i="37"/>
  <c r="AP12" i="37"/>
  <c r="CM60" i="37"/>
  <c r="CA60" i="37"/>
  <c r="BS59" i="37"/>
  <c r="BI59" i="37"/>
  <c r="AQ59" i="37"/>
  <c r="CM58" i="37"/>
  <c r="CA58" i="37"/>
  <c r="BS57" i="37"/>
  <c r="BI57" i="37"/>
  <c r="AQ57" i="37"/>
  <c r="BI55" i="37"/>
  <c r="AQ55" i="37"/>
  <c r="CP54" i="37"/>
  <c r="BW54" i="37"/>
  <c r="CA53" i="37"/>
  <c r="AM47" i="37"/>
  <c r="AN47" i="37"/>
  <c r="BC47" i="37"/>
  <c r="BK47" i="37"/>
  <c r="BU47" i="37"/>
  <c r="CJ47" i="37"/>
  <c r="AN80" i="37"/>
  <c r="AR80" i="37"/>
  <c r="BD80" i="37"/>
  <c r="BH80" i="37"/>
  <c r="BL80" i="37"/>
  <c r="BT80" i="37"/>
  <c r="BX80" i="37"/>
  <c r="CJ80" i="37"/>
  <c r="CN80" i="37"/>
  <c r="AM77" i="37"/>
  <c r="AQ77" i="37"/>
  <c r="BC77" i="37"/>
  <c r="BG77" i="37"/>
  <c r="BK77" i="37"/>
  <c r="BS77" i="37"/>
  <c r="BW77" i="37"/>
  <c r="CA77" i="37"/>
  <c r="CI77" i="37"/>
  <c r="CM77" i="37"/>
  <c r="AN77" i="37"/>
  <c r="AR77" i="37"/>
  <c r="BD77" i="37"/>
  <c r="BH77" i="37"/>
  <c r="BL77" i="37"/>
  <c r="BT77" i="37"/>
  <c r="BX77" i="37"/>
  <c r="CJ77" i="37"/>
  <c r="CN77" i="37"/>
  <c r="AL77" i="37"/>
  <c r="AP77" i="37"/>
  <c r="AT77" i="37"/>
  <c r="BB77" i="37"/>
  <c r="AM75" i="37"/>
  <c r="AQ75" i="37"/>
  <c r="BC75" i="37"/>
  <c r="BG75" i="37"/>
  <c r="BK75" i="37"/>
  <c r="BS75" i="37"/>
  <c r="BW75" i="37"/>
  <c r="CA75" i="37"/>
  <c r="CI75" i="37"/>
  <c r="CM75" i="37"/>
  <c r="AN75" i="37"/>
  <c r="AR75" i="37"/>
  <c r="BD75" i="37"/>
  <c r="BH75" i="37"/>
  <c r="BL75" i="37"/>
  <c r="BT75" i="37"/>
  <c r="BX75" i="37"/>
  <c r="CJ75" i="37"/>
  <c r="CN75" i="37"/>
  <c r="AL75" i="37"/>
  <c r="AP75" i="37"/>
  <c r="AT75" i="37"/>
  <c r="BB75" i="37"/>
  <c r="BF75" i="37"/>
  <c r="BJ75" i="37"/>
  <c r="BV75" i="37"/>
  <c r="BZ75" i="37"/>
  <c r="CH75" i="37"/>
  <c r="CL75" i="37"/>
  <c r="CP75" i="37"/>
  <c r="CN43" i="37"/>
  <c r="CI43" i="37"/>
  <c r="BX43" i="37"/>
  <c r="BE43" i="37"/>
  <c r="AN43" i="37"/>
  <c r="BT41" i="37"/>
  <c r="BI41" i="37"/>
  <c r="AN41" i="37"/>
  <c r="CO40" i="37"/>
  <c r="BE40" i="37"/>
  <c r="AS40" i="37"/>
  <c r="BL39" i="37"/>
  <c r="AS39" i="37"/>
  <c r="CN38" i="37"/>
  <c r="BY38" i="37"/>
  <c r="BL38" i="37"/>
  <c r="AS38" i="37"/>
  <c r="CO37" i="37"/>
  <c r="BY37" i="37"/>
  <c r="BH37" i="37"/>
  <c r="AS37" i="37"/>
  <c r="CO80" i="37"/>
  <c r="CI80" i="37"/>
  <c r="CA80" i="37"/>
  <c r="BV80" i="37"/>
  <c r="BG80" i="37"/>
  <c r="BB80" i="37"/>
  <c r="AT80" i="37"/>
  <c r="AO80" i="37"/>
  <c r="CK77" i="37"/>
  <c r="BZ77" i="37"/>
  <c r="BF77" i="37"/>
  <c r="BA76" i="37"/>
  <c r="CO75" i="37"/>
  <c r="BY75" i="37"/>
  <c r="BI75" i="37"/>
  <c r="CK40" i="37"/>
  <c r="BY40" i="37"/>
  <c r="BD40" i="37"/>
  <c r="AO40" i="37"/>
  <c r="CM80" i="37"/>
  <c r="CH80" i="37"/>
  <c r="BZ80" i="37"/>
  <c r="BU80" i="37"/>
  <c r="BK80" i="37"/>
  <c r="BF80" i="37"/>
  <c r="BA80" i="37"/>
  <c r="AS80" i="37"/>
  <c r="AM80" i="37"/>
  <c r="CP77" i="37"/>
  <c r="CH77" i="37"/>
  <c r="BY77" i="37"/>
  <c r="BE77" i="37"/>
  <c r="AS77" i="37"/>
  <c r="AM76" i="37"/>
  <c r="AQ76" i="37"/>
  <c r="BC76" i="37"/>
  <c r="BG76" i="37"/>
  <c r="BK76" i="37"/>
  <c r="BS76" i="37"/>
  <c r="BW76" i="37"/>
  <c r="CA76" i="37"/>
  <c r="CI76" i="37"/>
  <c r="CM76" i="37"/>
  <c r="AN76" i="37"/>
  <c r="AR76" i="37"/>
  <c r="BD76" i="37"/>
  <c r="BH76" i="37"/>
  <c r="BL76" i="37"/>
  <c r="BT76" i="37"/>
  <c r="BX76" i="37"/>
  <c r="CJ76" i="37"/>
  <c r="CN76" i="37"/>
  <c r="AL76" i="37"/>
  <c r="AP76" i="37"/>
  <c r="AT76" i="37"/>
  <c r="BB76" i="37"/>
  <c r="BF76" i="37"/>
  <c r="BJ76" i="37"/>
  <c r="BV76" i="37"/>
  <c r="BZ76" i="37"/>
  <c r="CH76" i="37"/>
  <c r="CL76" i="37"/>
  <c r="CP76" i="37"/>
  <c r="CK75" i="37"/>
  <c r="BU75" i="37"/>
  <c r="BE75" i="37"/>
  <c r="AS75" i="37"/>
  <c r="AM74" i="37"/>
  <c r="AQ74" i="37"/>
  <c r="BC74" i="37"/>
  <c r="BG74" i="37"/>
  <c r="BK74" i="37"/>
  <c r="BS74" i="37"/>
  <c r="BW74" i="37"/>
  <c r="CA74" i="37"/>
  <c r="CI74" i="37"/>
  <c r="CM74" i="37"/>
  <c r="AN74" i="37"/>
  <c r="AR74" i="37"/>
  <c r="BD74" i="37"/>
  <c r="BH74" i="37"/>
  <c r="BL74" i="37"/>
  <c r="BT74" i="37"/>
  <c r="BX74" i="37"/>
  <c r="CJ74" i="37"/>
  <c r="CN74" i="37"/>
  <c r="AL74" i="37"/>
  <c r="AP74" i="37"/>
  <c r="AT74" i="37"/>
  <c r="BB74" i="37"/>
  <c r="BF74" i="37"/>
  <c r="BJ74" i="37"/>
  <c r="BV74" i="37"/>
  <c r="BZ74" i="37"/>
  <c r="CH74" i="37"/>
  <c r="CL74" i="37"/>
  <c r="CP74" i="37"/>
  <c r="BY51" i="37"/>
  <c r="CJ50" i="37"/>
  <c r="CA50" i="37"/>
  <c r="BT50" i="37"/>
  <c r="BL50" i="37"/>
  <c r="BE50" i="37"/>
  <c r="AN50" i="37"/>
  <c r="CN48" i="37"/>
  <c r="BW48" i="37"/>
  <c r="BG48" i="37"/>
  <c r="CO46" i="37"/>
  <c r="CJ46" i="37"/>
  <c r="CA46" i="37"/>
  <c r="BU46" i="37"/>
  <c r="BH46" i="37"/>
  <c r="BC46" i="37"/>
  <c r="AS46" i="37"/>
  <c r="CJ45" i="37"/>
  <c r="BX45" i="37"/>
  <c r="BE45" i="37"/>
  <c r="AS45" i="37"/>
  <c r="CA44" i="37"/>
  <c r="BH44" i="37"/>
  <c r="AS44" i="37"/>
  <c r="CK43" i="37"/>
  <c r="BT43" i="37"/>
  <c r="BI43" i="37"/>
  <c r="BA43" i="37"/>
  <c r="CN41" i="37"/>
  <c r="BX41" i="37"/>
  <c r="BD41" i="37"/>
  <c r="AS41" i="37"/>
  <c r="CJ40" i="37"/>
  <c r="BX40" i="37"/>
  <c r="BL40" i="37"/>
  <c r="AN40" i="37"/>
  <c r="CO39" i="37"/>
  <c r="CO35" i="37"/>
  <c r="CK35" i="37"/>
  <c r="BY35" i="37"/>
  <c r="BU35" i="37"/>
  <c r="BI35" i="37"/>
  <c r="BE35" i="37"/>
  <c r="BA35" i="37"/>
  <c r="AS35" i="37"/>
  <c r="AO35" i="37"/>
  <c r="CM85" i="37"/>
  <c r="CI85" i="37"/>
  <c r="CA85" i="37"/>
  <c r="BW85" i="37"/>
  <c r="BS85" i="37"/>
  <c r="BK85" i="37"/>
  <c r="BG85" i="37"/>
  <c r="BC85" i="37"/>
  <c r="AQ85" i="37"/>
  <c r="CM84" i="37"/>
  <c r="CI84" i="37"/>
  <c r="CA84" i="37"/>
  <c r="BW84" i="37"/>
  <c r="BS84" i="37"/>
  <c r="BK84" i="37"/>
  <c r="BG84" i="37"/>
  <c r="BC84" i="37"/>
  <c r="AQ84" i="37"/>
  <c r="CM83" i="37"/>
  <c r="CI83" i="37"/>
  <c r="CA83" i="37"/>
  <c r="BW83" i="37"/>
  <c r="BS83" i="37"/>
  <c r="BK83" i="37"/>
  <c r="BG83" i="37"/>
  <c r="BC83" i="37"/>
  <c r="AQ83" i="37"/>
  <c r="CM82" i="37"/>
  <c r="CI82" i="37"/>
  <c r="CA82" i="37"/>
  <c r="BW82" i="37"/>
  <c r="BS82" i="37"/>
  <c r="BK82" i="37"/>
  <c r="BG82" i="37"/>
  <c r="BC82" i="37"/>
  <c r="AQ82" i="37"/>
  <c r="CM81" i="37"/>
  <c r="CI81" i="37"/>
  <c r="CA81" i="37"/>
  <c r="BW81" i="37"/>
  <c r="BS81" i="37"/>
  <c r="BK81" i="37"/>
  <c r="BG81" i="37"/>
  <c r="BC81" i="37"/>
  <c r="AQ81" i="37"/>
  <c r="CL80" i="37"/>
  <c r="BY80" i="37"/>
  <c r="BS80" i="37"/>
  <c r="BJ80" i="37"/>
  <c r="BE80" i="37"/>
  <c r="AQ80" i="37"/>
  <c r="AL80" i="37"/>
  <c r="AN79" i="37"/>
  <c r="AR79" i="37"/>
  <c r="BD79" i="37"/>
  <c r="BH79" i="37"/>
  <c r="BL79" i="37"/>
  <c r="BT79" i="37"/>
  <c r="BX79" i="37"/>
  <c r="CJ79" i="37"/>
  <c r="CN79" i="37"/>
  <c r="AM78" i="37"/>
  <c r="AQ78" i="37"/>
  <c r="BC78" i="37"/>
  <c r="AN78" i="37"/>
  <c r="AR78" i="37"/>
  <c r="BD78" i="37"/>
  <c r="BH78" i="37"/>
  <c r="BL78" i="37"/>
  <c r="BT78" i="37"/>
  <c r="BX78" i="37"/>
  <c r="CJ78" i="37"/>
  <c r="CN78" i="37"/>
  <c r="CO77" i="37"/>
  <c r="BV77" i="37"/>
  <c r="BJ77" i="37"/>
  <c r="BA77" i="37"/>
  <c r="AO77" i="37"/>
  <c r="CO76" i="37"/>
  <c r="BY76" i="37"/>
  <c r="BI76" i="37"/>
  <c r="BA75" i="37"/>
  <c r="AO75" i="37"/>
  <c r="CO74" i="37"/>
  <c r="BY74" i="37"/>
  <c r="BI74" i="37"/>
  <c r="CP73" i="37"/>
  <c r="CL73" i="37"/>
  <c r="CH73" i="37"/>
  <c r="BZ73" i="37"/>
  <c r="BV73" i="37"/>
  <c r="BJ73" i="37"/>
  <c r="BF73" i="37"/>
  <c r="BB73" i="37"/>
  <c r="AT73" i="37"/>
  <c r="AP73" i="37"/>
  <c r="AL73" i="37"/>
  <c r="CP72" i="37"/>
  <c r="CL72" i="37"/>
  <c r="CH72" i="37"/>
  <c r="BZ72" i="37"/>
  <c r="BV72" i="37"/>
  <c r="BJ72" i="37"/>
  <c r="BF72" i="37"/>
  <c r="BB72" i="37"/>
  <c r="AT72" i="37"/>
  <c r="AP72" i="37"/>
  <c r="AL72" i="37"/>
  <c r="CP71" i="37"/>
  <c r="CL71" i="37"/>
  <c r="CH71" i="37"/>
  <c r="BZ71" i="37"/>
  <c r="BV71" i="37"/>
  <c r="BJ71" i="37"/>
  <c r="BF71" i="37"/>
  <c r="BB71" i="37"/>
  <c r="AT71" i="37"/>
  <c r="AP71" i="37"/>
  <c r="AL71" i="37"/>
  <c r="AN70" i="37"/>
  <c r="AR70" i="37"/>
  <c r="BD70" i="37"/>
  <c r="BH70" i="37"/>
  <c r="BL70" i="37"/>
  <c r="BT70" i="37"/>
  <c r="BX70" i="37"/>
  <c r="CJ70" i="37"/>
  <c r="CN70" i="37"/>
  <c r="CO69" i="37"/>
  <c r="CI69" i="37"/>
  <c r="CA69" i="37"/>
  <c r="BV69" i="37"/>
  <c r="BG69" i="37"/>
  <c r="BB69" i="37"/>
  <c r="AT69" i="37"/>
  <c r="AM68" i="37"/>
  <c r="AQ68" i="37"/>
  <c r="BC68" i="37"/>
  <c r="BG68" i="37"/>
  <c r="BK68" i="37"/>
  <c r="BS68" i="37"/>
  <c r="BW68" i="37"/>
  <c r="CA68" i="37"/>
  <c r="CI68" i="37"/>
  <c r="CM68" i="37"/>
  <c r="AO68" i="37"/>
  <c r="AT68" i="37"/>
  <c r="BB68" i="37"/>
  <c r="BH68" i="37"/>
  <c r="BV68" i="37"/>
  <c r="CK68" i="37"/>
  <c r="CP68" i="37"/>
  <c r="CJ66" i="37"/>
  <c r="BZ66" i="37"/>
  <c r="BT66" i="37"/>
  <c r="BJ66" i="37"/>
  <c r="BD66" i="37"/>
  <c r="AS66" i="37"/>
  <c r="CP65" i="37"/>
  <c r="CJ65" i="37"/>
  <c r="BX65" i="37"/>
  <c r="BF65" i="37"/>
  <c r="AP65" i="37"/>
  <c r="CL64" i="37"/>
  <c r="BU64" i="37"/>
  <c r="BL64" i="37"/>
  <c r="BE64" i="37"/>
  <c r="AM69" i="37"/>
  <c r="AQ69" i="37"/>
  <c r="AL69" i="37"/>
  <c r="AR69" i="37"/>
  <c r="BD69" i="37"/>
  <c r="BH69" i="37"/>
  <c r="BL69" i="37"/>
  <c r="BT69" i="37"/>
  <c r="BX69" i="37"/>
  <c r="CJ69" i="37"/>
  <c r="CN69" i="37"/>
  <c r="AM66" i="37"/>
  <c r="AQ66" i="37"/>
  <c r="BC66" i="37"/>
  <c r="BG66" i="37"/>
  <c r="BK66" i="37"/>
  <c r="BS66" i="37"/>
  <c r="BW66" i="37"/>
  <c r="CA66" i="37"/>
  <c r="CI66" i="37"/>
  <c r="CM66" i="37"/>
  <c r="AO66" i="37"/>
  <c r="AT66" i="37"/>
  <c r="BB66" i="37"/>
  <c r="BH66" i="37"/>
  <c r="BV66" i="37"/>
  <c r="CK66" i="37"/>
  <c r="CP66" i="37"/>
  <c r="CN73" i="37"/>
  <c r="CJ73" i="37"/>
  <c r="BX73" i="37"/>
  <c r="BT73" i="37"/>
  <c r="BL73" i="37"/>
  <c r="BH73" i="37"/>
  <c r="BD73" i="37"/>
  <c r="AR73" i="37"/>
  <c r="AN73" i="37"/>
  <c r="CN72" i="37"/>
  <c r="CJ72" i="37"/>
  <c r="BX72" i="37"/>
  <c r="BT72" i="37"/>
  <c r="BL72" i="37"/>
  <c r="BH72" i="37"/>
  <c r="BD72" i="37"/>
  <c r="AR72" i="37"/>
  <c r="AN72" i="37"/>
  <c r="CN71" i="37"/>
  <c r="CJ71" i="37"/>
  <c r="BX71" i="37"/>
  <c r="BT71" i="37"/>
  <c r="BL71" i="37"/>
  <c r="BH71" i="37"/>
  <c r="BD71" i="37"/>
  <c r="AR71" i="37"/>
  <c r="AN71" i="37"/>
  <c r="CM70" i="37"/>
  <c r="CH70" i="37"/>
  <c r="BZ70" i="37"/>
  <c r="BU70" i="37"/>
  <c r="BK70" i="37"/>
  <c r="BF70" i="37"/>
  <c r="BA70" i="37"/>
  <c r="AS70" i="37"/>
  <c r="AM70" i="37"/>
  <c r="CL69" i="37"/>
  <c r="BY69" i="37"/>
  <c r="BS69" i="37"/>
  <c r="BJ69" i="37"/>
  <c r="BE69" i="37"/>
  <c r="AP69" i="37"/>
  <c r="CL68" i="37"/>
  <c r="BU68" i="37"/>
  <c r="BL68" i="37"/>
  <c r="BE68" i="37"/>
  <c r="AN68" i="37"/>
  <c r="AM67" i="37"/>
  <c r="AQ67" i="37"/>
  <c r="BC67" i="37"/>
  <c r="BG67" i="37"/>
  <c r="BK67" i="37"/>
  <c r="BS67" i="37"/>
  <c r="BW67" i="37"/>
  <c r="CA67" i="37"/>
  <c r="CI67" i="37"/>
  <c r="CM67" i="37"/>
  <c r="AL67" i="37"/>
  <c r="AR67" i="37"/>
  <c r="BE67" i="37"/>
  <c r="BJ67" i="37"/>
  <c r="BT67" i="37"/>
  <c r="BY67" i="37"/>
  <c r="CH67" i="37"/>
  <c r="CN67" i="37"/>
  <c r="CN66" i="37"/>
  <c r="BX66" i="37"/>
  <c r="BF66" i="37"/>
  <c r="AP66" i="37"/>
  <c r="CL65" i="37"/>
  <c r="BU65" i="37"/>
  <c r="BI65" i="37"/>
  <c r="BB65" i="37"/>
  <c r="AT65" i="37"/>
  <c r="CO64" i="37"/>
  <c r="CH64" i="37"/>
  <c r="BY64" i="37"/>
  <c r="BI64" i="37"/>
  <c r="BA64" i="37"/>
  <c r="CM73" i="37"/>
  <c r="CI73" i="37"/>
  <c r="CA73" i="37"/>
  <c r="BW73" i="37"/>
  <c r="BS73" i="37"/>
  <c r="BK73" i="37"/>
  <c r="BG73" i="37"/>
  <c r="BC73" i="37"/>
  <c r="AQ73" i="37"/>
  <c r="CM72" i="37"/>
  <c r="CI72" i="37"/>
  <c r="CA72" i="37"/>
  <c r="BW72" i="37"/>
  <c r="BS72" i="37"/>
  <c r="BK72" i="37"/>
  <c r="BG72" i="37"/>
  <c r="BC72" i="37"/>
  <c r="AQ72" i="37"/>
  <c r="CM71" i="37"/>
  <c r="CI71" i="37"/>
  <c r="CA71" i="37"/>
  <c r="BW71" i="37"/>
  <c r="BS71" i="37"/>
  <c r="BK71" i="37"/>
  <c r="BG71" i="37"/>
  <c r="BC71" i="37"/>
  <c r="AQ71" i="37"/>
  <c r="CP69" i="37"/>
  <c r="CK69" i="37"/>
  <c r="BW69" i="37"/>
  <c r="BI69" i="37"/>
  <c r="BC69" i="37"/>
  <c r="AO69" i="37"/>
  <c r="CL66" i="37"/>
  <c r="BU66" i="37"/>
  <c r="BL66" i="37"/>
  <c r="BE66" i="37"/>
  <c r="AN66" i="37"/>
  <c r="AM65" i="37"/>
  <c r="AQ65" i="37"/>
  <c r="BC65" i="37"/>
  <c r="BG65" i="37"/>
  <c r="BK65" i="37"/>
  <c r="BS65" i="37"/>
  <c r="BW65" i="37"/>
  <c r="CA65" i="37"/>
  <c r="CI65" i="37"/>
  <c r="CM65" i="37"/>
  <c r="AL65" i="37"/>
  <c r="AR65" i="37"/>
  <c r="BE65" i="37"/>
  <c r="BJ65" i="37"/>
  <c r="BT65" i="37"/>
  <c r="BY65" i="37"/>
  <c r="CH65" i="37"/>
  <c r="CN65" i="37"/>
  <c r="AN64" i="37"/>
  <c r="AL64" i="37"/>
  <c r="AQ64" i="37"/>
  <c r="BC64" i="37"/>
  <c r="BG64" i="37"/>
  <c r="BK64" i="37"/>
  <c r="BS64" i="37"/>
  <c r="BW64" i="37"/>
  <c r="CA64" i="37"/>
  <c r="CI64" i="37"/>
  <c r="CM64" i="37"/>
  <c r="AM64" i="37"/>
  <c r="AS64" i="37"/>
  <c r="AO64" i="37"/>
  <c r="AT64" i="37"/>
  <c r="BB64" i="37"/>
  <c r="BH64" i="37"/>
  <c r="BV64" i="37"/>
  <c r="CK64" i="37"/>
  <c r="CP64" i="37"/>
  <c r="CJ63" i="37"/>
  <c r="BZ63" i="37"/>
  <c r="BF63" i="37"/>
  <c r="BJ62" i="37"/>
  <c r="BY62" i="37"/>
  <c r="BG107" i="37"/>
  <c r="AS103" i="37"/>
  <c r="BE103" i="37"/>
  <c r="BU103" i="37"/>
  <c r="CK103" i="37"/>
  <c r="BI103" i="37"/>
  <c r="BY103" i="37"/>
  <c r="CO103" i="37"/>
  <c r="AN124" i="37"/>
  <c r="CL124" i="37"/>
  <c r="CN123" i="37"/>
  <c r="BY123" i="37"/>
  <c r="BI123" i="37"/>
  <c r="AM118" i="37"/>
  <c r="AP118" i="37"/>
  <c r="BI118" i="37"/>
  <c r="CO111" i="37"/>
  <c r="BX111" i="37"/>
  <c r="BL111" i="37"/>
  <c r="CL152" i="37"/>
  <c r="BX152" i="37"/>
  <c r="BI152" i="37"/>
  <c r="AN150" i="37"/>
  <c r="BE150" i="37"/>
  <c r="BL150" i="37"/>
  <c r="BU150" i="37"/>
  <c r="CL150" i="37"/>
  <c r="AP150" i="37"/>
  <c r="BF150" i="37"/>
  <c r="BX150" i="37"/>
  <c r="CN150" i="37"/>
  <c r="BD141" i="37"/>
  <c r="AM63" i="37"/>
  <c r="BE63" i="37"/>
  <c r="BK63" i="37"/>
  <c r="BU63" i="37"/>
  <c r="CK63" i="37"/>
  <c r="CP63" i="37"/>
  <c r="AS61" i="37"/>
  <c r="BE61" i="37"/>
  <c r="AL107" i="37"/>
  <c r="AO107" i="37"/>
  <c r="BI107" i="37"/>
  <c r="BW107" i="37"/>
  <c r="CI107" i="37"/>
  <c r="AP107" i="37"/>
  <c r="BB107" i="37"/>
  <c r="CA107" i="37"/>
  <c r="CK107" i="37"/>
  <c r="AO101" i="37"/>
  <c r="BA101" i="37"/>
  <c r="AS101" i="37"/>
  <c r="BE101" i="37"/>
  <c r="BU101" i="37"/>
  <c r="CK101" i="37"/>
  <c r="AS95" i="37"/>
  <c r="BE95" i="37"/>
  <c r="BU95" i="37"/>
  <c r="CK95" i="37"/>
  <c r="BI95" i="37"/>
  <c r="BY95" i="37"/>
  <c r="CO95" i="37"/>
  <c r="AL86" i="37"/>
  <c r="AR86" i="37"/>
  <c r="BA86" i="37"/>
  <c r="BI86" i="37"/>
  <c r="BT86" i="37"/>
  <c r="CN86" i="37"/>
  <c r="AS86" i="37"/>
  <c r="BD86" i="37"/>
  <c r="BL86" i="37"/>
  <c r="BU86" i="37"/>
  <c r="CO86" i="37"/>
  <c r="CH123" i="37"/>
  <c r="BX123" i="37"/>
  <c r="BF123" i="37"/>
  <c r="AR123" i="37"/>
  <c r="AN122" i="37"/>
  <c r="CL122" i="37"/>
  <c r="BD122" i="37"/>
  <c r="BX122" i="37"/>
  <c r="AN116" i="37"/>
  <c r="CN116" i="37"/>
  <c r="BY116" i="37"/>
  <c r="CO116" i="37"/>
  <c r="AN152" i="37"/>
  <c r="BE152" i="37"/>
  <c r="BJ152" i="37"/>
  <c r="BT152" i="37"/>
  <c r="BY152" i="37"/>
  <c r="CH152" i="37"/>
  <c r="CN152" i="37"/>
  <c r="AP152" i="37"/>
  <c r="BF152" i="37"/>
  <c r="BL152" i="37"/>
  <c r="BU152" i="37"/>
  <c r="BZ152" i="37"/>
  <c r="CJ152" i="37"/>
  <c r="CO152" i="37"/>
  <c r="AN144" i="37"/>
  <c r="AS144" i="37"/>
  <c r="BF144" i="37"/>
  <c r="BU144" i="37"/>
  <c r="CJ144" i="37"/>
  <c r="BL144" i="37"/>
  <c r="BZ144" i="37"/>
  <c r="CO144" i="37"/>
  <c r="AR132" i="37"/>
  <c r="BA132" i="37"/>
  <c r="BI132" i="37"/>
  <c r="BT132" i="37"/>
  <c r="BY132" i="37"/>
  <c r="CH132" i="37"/>
  <c r="CN132" i="37"/>
  <c r="AS132" i="37"/>
  <c r="BD132" i="37"/>
  <c r="BL132" i="37"/>
  <c r="BU132" i="37"/>
  <c r="BZ132" i="37"/>
  <c r="CJ132" i="37"/>
  <c r="CO132" i="37"/>
  <c r="AO132" i="37"/>
  <c r="BH132" i="37"/>
  <c r="BX132" i="37"/>
  <c r="CL132" i="37"/>
  <c r="CP132" i="37"/>
  <c r="AN130" i="37"/>
  <c r="AS130" i="37"/>
  <c r="BD130" i="37"/>
  <c r="BI130" i="37"/>
  <c r="BT130" i="37"/>
  <c r="BC130" i="37"/>
  <c r="BU130" i="37"/>
  <c r="CJ130" i="37"/>
  <c r="BI101" i="37"/>
  <c r="AO93" i="37"/>
  <c r="BA93" i="37"/>
  <c r="AS93" i="37"/>
  <c r="BE93" i="37"/>
  <c r="BU93" i="37"/>
  <c r="CK93" i="37"/>
  <c r="BA123" i="37"/>
  <c r="BI122" i="37"/>
  <c r="BL116" i="37"/>
  <c r="BD111" i="37"/>
  <c r="CM110" i="37"/>
  <c r="BZ110" i="37"/>
  <c r="BL110" i="37"/>
  <c r="AS110" i="37"/>
  <c r="BD152" i="37"/>
  <c r="AS152" i="37"/>
  <c r="AL146" i="37"/>
  <c r="AP146" i="37"/>
  <c r="BA146" i="37"/>
  <c r="BL146" i="37"/>
  <c r="BX146" i="37"/>
  <c r="CJ146" i="37"/>
  <c r="AS146" i="37"/>
  <c r="BD146" i="37"/>
  <c r="BZ146" i="37"/>
  <c r="CL146" i="37"/>
  <c r="CO146" i="37"/>
  <c r="BA144" i="37"/>
  <c r="AN142" i="37"/>
  <c r="AS142" i="37"/>
  <c r="BH142" i="37"/>
  <c r="BU142" i="37"/>
  <c r="CK142" i="37"/>
  <c r="BL142" i="37"/>
  <c r="BY142" i="37"/>
  <c r="CO142" i="37"/>
  <c r="BE132" i="37"/>
  <c r="BL130" i="37"/>
  <c r="AL129" i="37"/>
  <c r="CK129" i="37"/>
  <c r="BA129" i="37"/>
  <c r="BU129" i="37"/>
  <c r="AL126" i="37"/>
  <c r="AS126" i="37"/>
  <c r="BE126" i="37"/>
  <c r="BU126" i="37"/>
  <c r="CK126" i="37"/>
  <c r="BI126" i="37"/>
  <c r="BY126" i="37"/>
  <c r="CO126" i="37"/>
  <c r="AO123" i="37"/>
  <c r="AL123" i="37"/>
  <c r="AS123" i="37"/>
  <c r="BD123" i="37"/>
  <c r="BJ123" i="37"/>
  <c r="BT123" i="37"/>
  <c r="BZ123" i="37"/>
  <c r="CJ123" i="37"/>
  <c r="AN123" i="37"/>
  <c r="BE123" i="37"/>
  <c r="BL123" i="37"/>
  <c r="BU123" i="37"/>
  <c r="CL123" i="37"/>
  <c r="AL111" i="37"/>
  <c r="AO111" i="37"/>
  <c r="BH111" i="37"/>
  <c r="BY111" i="37"/>
  <c r="CK111" i="37"/>
  <c r="AR111" i="37"/>
  <c r="BA111" i="37"/>
  <c r="BI111" i="37"/>
  <c r="BT111" i="37"/>
  <c r="CN111" i="37"/>
  <c r="CP152" i="37"/>
  <c r="BA152" i="37"/>
  <c r="AR152" i="37"/>
  <c r="AL148" i="37"/>
  <c r="AN148" i="37"/>
  <c r="BI148" i="37"/>
  <c r="BU148" i="37"/>
  <c r="AP148" i="37"/>
  <c r="BA148" i="37"/>
  <c r="BL148" i="37"/>
  <c r="BX148" i="37"/>
  <c r="CJ148" i="37"/>
  <c r="CL148" i="37"/>
  <c r="AN141" i="37"/>
  <c r="BI141" i="37"/>
  <c r="BT141" i="37"/>
  <c r="AR141" i="37"/>
  <c r="BA141" i="37"/>
  <c r="BL141" i="37"/>
  <c r="BU141" i="37"/>
  <c r="CJ141" i="37"/>
  <c r="AS141" i="37"/>
  <c r="BE141" i="37"/>
  <c r="BV132" i="37"/>
  <c r="CA130" i="37"/>
  <c r="AL156" i="37"/>
  <c r="AO156" i="37"/>
  <c r="BH156" i="37"/>
  <c r="BX156" i="37"/>
  <c r="CL156" i="37"/>
  <c r="AR156" i="37"/>
  <c r="BA156" i="37"/>
  <c r="BI156" i="37"/>
  <c r="BT156" i="37"/>
  <c r="BY156" i="37"/>
  <c r="CH156" i="37"/>
  <c r="CN156" i="37"/>
  <c r="AL135" i="37"/>
  <c r="AN135" i="37"/>
  <c r="BL135" i="37"/>
  <c r="BX135" i="37"/>
  <c r="CJ135" i="37"/>
  <c r="AO135" i="37"/>
  <c r="BD135" i="37"/>
  <c r="BY135" i="37"/>
  <c r="CK135" i="37"/>
  <c r="AR131" i="37"/>
  <c r="BE131" i="37"/>
  <c r="BW131" i="37"/>
  <c r="CK131" i="37"/>
  <c r="BF131" i="37"/>
  <c r="BX131" i="37"/>
  <c r="CM131" i="37"/>
  <c r="CJ156" i="37"/>
  <c r="BV156" i="37"/>
  <c r="BL156" i="37"/>
  <c r="AL154" i="37"/>
  <c r="AN154" i="37"/>
  <c r="BE154" i="37"/>
  <c r="BL154" i="37"/>
  <c r="BU154" i="37"/>
  <c r="CK154" i="37"/>
  <c r="CP154" i="37"/>
  <c r="AP154" i="37"/>
  <c r="BF154" i="37"/>
  <c r="BX154" i="37"/>
  <c r="CL154" i="37"/>
  <c r="CL106" i="37"/>
  <c r="BY106" i="37"/>
  <c r="BS106" i="37"/>
  <c r="BJ106" i="37"/>
  <c r="BE106" i="37"/>
  <c r="AQ106" i="37"/>
  <c r="BA99" i="37"/>
  <c r="BA91" i="37"/>
  <c r="CP87" i="37"/>
  <c r="CH87" i="37"/>
  <c r="BY87" i="37"/>
  <c r="BE87" i="37"/>
  <c r="AO87" i="37"/>
  <c r="CK127" i="37"/>
  <c r="BU127" i="37"/>
  <c r="BE127" i="37"/>
  <c r="AS127" i="37"/>
  <c r="CA125" i="37"/>
  <c r="BG125" i="37"/>
  <c r="AP125" i="37"/>
  <c r="BI121" i="37"/>
  <c r="AP121" i="37"/>
  <c r="CJ115" i="37"/>
  <c r="BX115" i="37"/>
  <c r="BE115" i="37"/>
  <c r="BL113" i="37"/>
  <c r="AS113" i="37"/>
  <c r="CO135" i="37"/>
  <c r="CI131" i="37"/>
  <c r="BY131" i="37"/>
  <c r="BD157" i="37"/>
  <c r="CP156" i="37"/>
  <c r="BU156" i="37"/>
  <c r="BE156" i="37"/>
  <c r="AS156" i="37"/>
  <c r="CO154" i="37"/>
  <c r="BT154" i="37"/>
  <c r="BI154" i="37"/>
  <c r="CL138" i="37"/>
  <c r="BU138" i="37"/>
  <c r="CO131" i="37"/>
  <c r="BU131" i="37"/>
  <c r="BL131" i="37"/>
  <c r="AL157" i="37"/>
  <c r="AO157" i="37"/>
  <c r="BH157" i="37"/>
  <c r="BY157" i="37"/>
  <c r="CK157" i="37"/>
  <c r="AR157" i="37"/>
  <c r="BA157" i="37"/>
  <c r="BI157" i="37"/>
  <c r="BT157" i="37"/>
  <c r="CN157" i="37"/>
  <c r="CO156" i="37"/>
  <c r="BD156" i="37"/>
  <c r="AN156" i="37"/>
  <c r="CM154" i="37"/>
  <c r="BD154" i="37"/>
  <c r="AS154" i="37"/>
  <c r="AP145" i="37"/>
  <c r="BH137" i="37"/>
  <c r="AS137" i="37"/>
  <c r="AR153" i="37"/>
  <c r="AO33" i="37"/>
  <c r="AO32" i="37"/>
  <c r="AO26" i="37"/>
  <c r="CO16" i="37"/>
  <c r="CK16" i="37"/>
  <c r="BY16" i="37"/>
  <c r="BU16" i="37"/>
  <c r="BI16" i="37"/>
  <c r="BE16" i="37"/>
  <c r="BA16" i="37"/>
  <c r="AS16" i="37"/>
  <c r="AO16" i="37"/>
  <c r="CP14" i="37"/>
  <c r="CL14" i="37"/>
  <c r="CH14" i="37"/>
  <c r="BZ14" i="37"/>
  <c r="BV14" i="37"/>
  <c r="BJ14" i="37"/>
  <c r="BF14" i="37"/>
  <c r="BB14" i="37"/>
  <c r="AT14" i="37"/>
  <c r="AO14" i="37"/>
  <c r="CP12" i="37"/>
  <c r="CL12" i="37"/>
  <c r="CH12" i="37"/>
  <c r="BZ12" i="37"/>
  <c r="BV12" i="37"/>
  <c r="BJ12" i="37"/>
  <c r="BF12" i="37"/>
  <c r="BB12" i="37"/>
  <c r="AT12" i="37"/>
  <c r="AO12" i="37"/>
  <c r="CI60" i="37"/>
  <c r="BY60" i="37"/>
  <c r="BG60" i="37"/>
  <c r="AO60" i="37"/>
  <c r="CI59" i="37"/>
  <c r="BY59" i="37"/>
  <c r="BG59" i="37"/>
  <c r="AO59" i="37"/>
  <c r="CI58" i="37"/>
  <c r="BY58" i="37"/>
  <c r="BG58" i="37"/>
  <c r="AO58" i="37"/>
  <c r="CI57" i="37"/>
  <c r="BY57" i="37"/>
  <c r="BG57" i="37"/>
  <c r="AO57" i="37"/>
  <c r="CO55" i="37"/>
  <c r="CI55" i="37"/>
  <c r="CA55" i="37"/>
  <c r="BV55" i="37"/>
  <c r="BG55" i="37"/>
  <c r="AP55" i="37"/>
  <c r="CO51" i="37"/>
  <c r="BW51" i="37"/>
  <c r="BE51" i="37"/>
  <c r="AS51" i="37"/>
  <c r="CN39" i="37"/>
  <c r="BT39" i="37"/>
  <c r="BI39" i="37"/>
  <c r="BA39" i="37"/>
  <c r="AR39" i="37"/>
  <c r="CM38" i="37"/>
  <c r="BX38" i="37"/>
  <c r="BS38" i="37"/>
  <c r="BI38" i="37"/>
  <c r="BA38" i="37"/>
  <c r="AR38" i="37"/>
  <c r="CN37" i="37"/>
  <c r="CJ37" i="37"/>
  <c r="BX37" i="37"/>
  <c r="BT37" i="37"/>
  <c r="BL37" i="37"/>
  <c r="BG37" i="37"/>
  <c r="BA37" i="37"/>
  <c r="AR37" i="37"/>
  <c r="CN36" i="37"/>
  <c r="CJ36" i="37"/>
  <c r="BX36" i="37"/>
  <c r="BT36" i="37"/>
  <c r="BL36" i="37"/>
  <c r="BH36" i="37"/>
  <c r="BD36" i="37"/>
  <c r="AR36" i="37"/>
  <c r="AN62" i="37"/>
  <c r="AR62" i="37"/>
  <c r="BD62" i="37"/>
  <c r="BH62" i="37"/>
  <c r="BL62" i="37"/>
  <c r="BT62" i="37"/>
  <c r="BX62" i="37"/>
  <c r="CJ62" i="37"/>
  <c r="CN62" i="37"/>
  <c r="AL62" i="37"/>
  <c r="AP62" i="37"/>
  <c r="AT62" i="37"/>
  <c r="BB62" i="37"/>
  <c r="BF62" i="37"/>
  <c r="AM62" i="37"/>
  <c r="AQ62" i="37"/>
  <c r="BC62" i="37"/>
  <c r="BG62" i="37"/>
  <c r="AN108" i="37"/>
  <c r="AR108" i="37"/>
  <c r="BD108" i="37"/>
  <c r="BH108" i="37"/>
  <c r="BL108" i="37"/>
  <c r="BT108" i="37"/>
  <c r="BX108" i="37"/>
  <c r="CJ108" i="37"/>
  <c r="CN108" i="37"/>
  <c r="AL108" i="37"/>
  <c r="AP108" i="37"/>
  <c r="AT108" i="37"/>
  <c r="BB108" i="37"/>
  <c r="BF108" i="37"/>
  <c r="BJ108" i="37"/>
  <c r="BV108" i="37"/>
  <c r="BZ108" i="37"/>
  <c r="CH108" i="37"/>
  <c r="CL108" i="37"/>
  <c r="CP108" i="37"/>
  <c r="AM108" i="37"/>
  <c r="AQ108" i="37"/>
  <c r="BC108" i="37"/>
  <c r="BG108" i="37"/>
  <c r="BK108" i="37"/>
  <c r="BS108" i="37"/>
  <c r="BW108" i="37"/>
  <c r="CA108" i="37"/>
  <c r="CI108" i="37"/>
  <c r="CM108" i="37"/>
  <c r="AL100" i="37"/>
  <c r="AP100" i="37"/>
  <c r="AT100" i="37"/>
  <c r="BB100" i="37"/>
  <c r="BF100" i="37"/>
  <c r="BJ100" i="37"/>
  <c r="BV100" i="37"/>
  <c r="BZ100" i="37"/>
  <c r="CH100" i="37"/>
  <c r="CL100" i="37"/>
  <c r="CP100" i="37"/>
  <c r="AM100" i="37"/>
  <c r="AQ100" i="37"/>
  <c r="BC100" i="37"/>
  <c r="BG100" i="37"/>
  <c r="BK100" i="37"/>
  <c r="BS100" i="37"/>
  <c r="BW100" i="37"/>
  <c r="CA100" i="37"/>
  <c r="CI100" i="37"/>
  <c r="CM100" i="37"/>
  <c r="AN100" i="37"/>
  <c r="AR100" i="37"/>
  <c r="BD100" i="37"/>
  <c r="BH100" i="37"/>
  <c r="BL100" i="37"/>
  <c r="BT100" i="37"/>
  <c r="BX100" i="37"/>
  <c r="CJ100" i="37"/>
  <c r="CN100" i="37"/>
  <c r="BI100" i="37"/>
  <c r="BY100" i="37"/>
  <c r="CO100" i="37"/>
  <c r="AO100" i="37"/>
  <c r="BA100" i="37"/>
  <c r="AS100" i="37"/>
  <c r="BE100" i="37"/>
  <c r="BU100" i="37"/>
  <c r="CK100" i="37"/>
  <c r="AL92" i="37"/>
  <c r="AP92" i="37"/>
  <c r="AT92" i="37"/>
  <c r="BB92" i="37"/>
  <c r="BF92" i="37"/>
  <c r="BJ92" i="37"/>
  <c r="BV92" i="37"/>
  <c r="BZ92" i="37"/>
  <c r="CH92" i="37"/>
  <c r="CL92" i="37"/>
  <c r="CP92" i="37"/>
  <c r="AM92" i="37"/>
  <c r="AQ92" i="37"/>
  <c r="BC92" i="37"/>
  <c r="BG92" i="37"/>
  <c r="BK92" i="37"/>
  <c r="BS92" i="37"/>
  <c r="BW92" i="37"/>
  <c r="CA92" i="37"/>
  <c r="CI92" i="37"/>
  <c r="CM92" i="37"/>
  <c r="AN92" i="37"/>
  <c r="AR92" i="37"/>
  <c r="BD92" i="37"/>
  <c r="BH92" i="37"/>
  <c r="BL92" i="37"/>
  <c r="BT92" i="37"/>
  <c r="BX92" i="37"/>
  <c r="CJ92" i="37"/>
  <c r="CN92" i="37"/>
  <c r="BI92" i="37"/>
  <c r="BY92" i="37"/>
  <c r="CO92" i="37"/>
  <c r="AO92" i="37"/>
  <c r="BA92" i="37"/>
  <c r="AS92" i="37"/>
  <c r="BE92" i="37"/>
  <c r="BU92" i="37"/>
  <c r="CK92" i="37"/>
  <c r="AO27" i="37"/>
  <c r="AO25" i="37"/>
  <c r="CN34" i="37"/>
  <c r="CJ34" i="37"/>
  <c r="BX34" i="37"/>
  <c r="BT34" i="37"/>
  <c r="BL34" i="37"/>
  <c r="BH34" i="37"/>
  <c r="BD34" i="37"/>
  <c r="AR34" i="37"/>
  <c r="CN33" i="37"/>
  <c r="CJ33" i="37"/>
  <c r="BX33" i="37"/>
  <c r="BT33" i="37"/>
  <c r="BL33" i="37"/>
  <c r="BH33" i="37"/>
  <c r="BD33" i="37"/>
  <c r="AR33" i="37"/>
  <c r="CN32" i="37"/>
  <c r="CJ32" i="37"/>
  <c r="BX32" i="37"/>
  <c r="BT32" i="37"/>
  <c r="BL32" i="37"/>
  <c r="BH32" i="37"/>
  <c r="BD32" i="37"/>
  <c r="AR32" i="37"/>
  <c r="CN31" i="37"/>
  <c r="CJ31" i="37"/>
  <c r="BX31" i="37"/>
  <c r="BT31" i="37"/>
  <c r="BL31" i="37"/>
  <c r="BH31" i="37"/>
  <c r="BD31" i="37"/>
  <c r="AR31" i="37"/>
  <c r="CN30" i="37"/>
  <c r="CJ30" i="37"/>
  <c r="BX30" i="37"/>
  <c r="BT30" i="37"/>
  <c r="BL30" i="37"/>
  <c r="BH30" i="37"/>
  <c r="BD30" i="37"/>
  <c r="AR30" i="37"/>
  <c r="CN29" i="37"/>
  <c r="CJ29" i="37"/>
  <c r="BX29" i="37"/>
  <c r="BT29" i="37"/>
  <c r="BL29" i="37"/>
  <c r="BH29" i="37"/>
  <c r="BD29" i="37"/>
  <c r="AR29" i="37"/>
  <c r="CN28" i="37"/>
  <c r="CJ28" i="37"/>
  <c r="BX28" i="37"/>
  <c r="BT28" i="37"/>
  <c r="BL28" i="37"/>
  <c r="BH28" i="37"/>
  <c r="BD28" i="37"/>
  <c r="AR28" i="37"/>
  <c r="CN27" i="37"/>
  <c r="CJ27" i="37"/>
  <c r="BX27" i="37"/>
  <c r="BT27" i="37"/>
  <c r="BL27" i="37"/>
  <c r="BH27" i="37"/>
  <c r="BD27" i="37"/>
  <c r="AR27" i="37"/>
  <c r="CN26" i="37"/>
  <c r="CJ26" i="37"/>
  <c r="BX26" i="37"/>
  <c r="BT26" i="37"/>
  <c r="BL26" i="37"/>
  <c r="BH26" i="37"/>
  <c r="BD26" i="37"/>
  <c r="AR26" i="37"/>
  <c r="CN25" i="37"/>
  <c r="CJ25" i="37"/>
  <c r="BX25" i="37"/>
  <c r="BT25" i="37"/>
  <c r="BL25" i="37"/>
  <c r="BH25" i="37"/>
  <c r="BD25" i="37"/>
  <c r="AR25" i="37"/>
  <c r="CN24" i="37"/>
  <c r="CJ24" i="37"/>
  <c r="BX24" i="37"/>
  <c r="BT24" i="37"/>
  <c r="BL24" i="37"/>
  <c r="BH24" i="37"/>
  <c r="BD24" i="37"/>
  <c r="AR24" i="37"/>
  <c r="CN23" i="37"/>
  <c r="CJ23" i="37"/>
  <c r="BX23" i="37"/>
  <c r="BT23" i="37"/>
  <c r="BL23" i="37"/>
  <c r="BH23" i="37"/>
  <c r="BD23" i="37"/>
  <c r="AR23" i="37"/>
  <c r="CN22" i="37"/>
  <c r="CJ22" i="37"/>
  <c r="BX22" i="37"/>
  <c r="BT22" i="37"/>
  <c r="BL22" i="37"/>
  <c r="BH22" i="37"/>
  <c r="BD22" i="37"/>
  <c r="AR22" i="37"/>
  <c r="CN21" i="37"/>
  <c r="CJ21" i="37"/>
  <c r="BX21" i="37"/>
  <c r="BT21" i="37"/>
  <c r="BL21" i="37"/>
  <c r="BH21" i="37"/>
  <c r="BD21" i="37"/>
  <c r="AR21" i="37"/>
  <c r="CN20" i="37"/>
  <c r="CJ20" i="37"/>
  <c r="BX20" i="37"/>
  <c r="BT20" i="37"/>
  <c r="BL20" i="37"/>
  <c r="BH20" i="37"/>
  <c r="BD20" i="37"/>
  <c r="AR20" i="37"/>
  <c r="CN19" i="37"/>
  <c r="CJ19" i="37"/>
  <c r="BX19" i="37"/>
  <c r="BT19" i="37"/>
  <c r="BL19" i="37"/>
  <c r="BH19" i="37"/>
  <c r="BD19" i="37"/>
  <c r="AR19" i="37"/>
  <c r="CN18" i="37"/>
  <c r="CJ18" i="37"/>
  <c r="BX18" i="37"/>
  <c r="BT18" i="37"/>
  <c r="BL18" i="37"/>
  <c r="BH18" i="37"/>
  <c r="BD18" i="37"/>
  <c r="AR18" i="37"/>
  <c r="CN17" i="37"/>
  <c r="CJ17" i="37"/>
  <c r="BX17" i="37"/>
  <c r="BT17" i="37"/>
  <c r="BL17" i="37"/>
  <c r="BH17" i="37"/>
  <c r="BD17" i="37"/>
  <c r="AR17" i="37"/>
  <c r="CN16" i="37"/>
  <c r="CJ16" i="37"/>
  <c r="BX16" i="37"/>
  <c r="BT16" i="37"/>
  <c r="BL16" i="37"/>
  <c r="BH16" i="37"/>
  <c r="BD16" i="37"/>
  <c r="AR16" i="37"/>
  <c r="AN16" i="37"/>
  <c r="CO14" i="37"/>
  <c r="CK14" i="37"/>
  <c r="BY14" i="37"/>
  <c r="BU14" i="37"/>
  <c r="BI14" i="37"/>
  <c r="BE14" i="37"/>
  <c r="BA14" i="37"/>
  <c r="AS14" i="37"/>
  <c r="AN14" i="37"/>
  <c r="CO12" i="37"/>
  <c r="CK12" i="37"/>
  <c r="BY12" i="37"/>
  <c r="BU12" i="37"/>
  <c r="BI12" i="37"/>
  <c r="BE12" i="37"/>
  <c r="BA12" i="37"/>
  <c r="AS12" i="37"/>
  <c r="AN12" i="37"/>
  <c r="CO60" i="37"/>
  <c r="BW60" i="37"/>
  <c r="BE60" i="37"/>
  <c r="AM60" i="37"/>
  <c r="CO59" i="37"/>
  <c r="BW59" i="37"/>
  <c r="BE59" i="37"/>
  <c r="AM59" i="37"/>
  <c r="CO58" i="37"/>
  <c r="BW58" i="37"/>
  <c r="BE58" i="37"/>
  <c r="AM58" i="37"/>
  <c r="CO57" i="37"/>
  <c r="BW57" i="37"/>
  <c r="BE57" i="37"/>
  <c r="AM57" i="37"/>
  <c r="CO56" i="37"/>
  <c r="BW56" i="37"/>
  <c r="BC56" i="37"/>
  <c r="AS56" i="37"/>
  <c r="CM55" i="37"/>
  <c r="CH55" i="37"/>
  <c r="BZ55" i="37"/>
  <c r="BU55" i="37"/>
  <c r="BK55" i="37"/>
  <c r="BE55" i="37"/>
  <c r="AO55" i="37"/>
  <c r="CI53" i="37"/>
  <c r="BV53" i="37"/>
  <c r="BB53" i="37"/>
  <c r="CM51" i="37"/>
  <c r="BU51" i="37"/>
  <c r="BK51" i="37"/>
  <c r="BC51" i="37"/>
  <c r="AQ51" i="37"/>
  <c r="CK50" i="37"/>
  <c r="BW50" i="37"/>
  <c r="BI50" i="37"/>
  <c r="BD50" i="37"/>
  <c r="BE49" i="37"/>
  <c r="CM47" i="37"/>
  <c r="CA47" i="37"/>
  <c r="BE47" i="37"/>
  <c r="AS47" i="37"/>
  <c r="CM44" i="37"/>
  <c r="BU44" i="37"/>
  <c r="CN40" i="37"/>
  <c r="BT40" i="37"/>
  <c r="BI40" i="37"/>
  <c r="BA40" i="37"/>
  <c r="AR40" i="37"/>
  <c r="CK39" i="37"/>
  <c r="BY39" i="37"/>
  <c r="BH39" i="37"/>
  <c r="AO39" i="37"/>
  <c r="CK38" i="37"/>
  <c r="BW38" i="37"/>
  <c r="BH38" i="37"/>
  <c r="AO38" i="37"/>
  <c r="CM37" i="37"/>
  <c r="CI37" i="37"/>
  <c r="CA37" i="37"/>
  <c r="BW37" i="37"/>
  <c r="BS37" i="37"/>
  <c r="BK37" i="37"/>
  <c r="BE37" i="37"/>
  <c r="AO37" i="37"/>
  <c r="CM36" i="37"/>
  <c r="CI36" i="37"/>
  <c r="CA36" i="37"/>
  <c r="BW36" i="37"/>
  <c r="BS36" i="37"/>
  <c r="BK36" i="37"/>
  <c r="BG36" i="37"/>
  <c r="BC36" i="37"/>
  <c r="AO36" i="37"/>
  <c r="CP62" i="37"/>
  <c r="CK62" i="37"/>
  <c r="BW62" i="37"/>
  <c r="BI62" i="37"/>
  <c r="CO108" i="37"/>
  <c r="BY108" i="37"/>
  <c r="BI108" i="37"/>
  <c r="AL102" i="37"/>
  <c r="AP102" i="37"/>
  <c r="AT102" i="37"/>
  <c r="BB102" i="37"/>
  <c r="BF102" i="37"/>
  <c r="BJ102" i="37"/>
  <c r="BV102" i="37"/>
  <c r="BZ102" i="37"/>
  <c r="CH102" i="37"/>
  <c r="CL102" i="37"/>
  <c r="CP102" i="37"/>
  <c r="AM102" i="37"/>
  <c r="AQ102" i="37"/>
  <c r="BC102" i="37"/>
  <c r="BG102" i="37"/>
  <c r="BK102" i="37"/>
  <c r="BS102" i="37"/>
  <c r="BW102" i="37"/>
  <c r="CA102" i="37"/>
  <c r="CI102" i="37"/>
  <c r="CM102" i="37"/>
  <c r="AN102" i="37"/>
  <c r="AR102" i="37"/>
  <c r="BD102" i="37"/>
  <c r="BH102" i="37"/>
  <c r="BL102" i="37"/>
  <c r="BT102" i="37"/>
  <c r="BX102" i="37"/>
  <c r="CJ102" i="37"/>
  <c r="CN102" i="37"/>
  <c r="BI102" i="37"/>
  <c r="BY102" i="37"/>
  <c r="CO102" i="37"/>
  <c r="AO102" i="37"/>
  <c r="BA102" i="37"/>
  <c r="AS102" i="37"/>
  <c r="BE102" i="37"/>
  <c r="BU102" i="37"/>
  <c r="CK102" i="37"/>
  <c r="AL94" i="37"/>
  <c r="AP94" i="37"/>
  <c r="AT94" i="37"/>
  <c r="BB94" i="37"/>
  <c r="BF94" i="37"/>
  <c r="BJ94" i="37"/>
  <c r="BV94" i="37"/>
  <c r="BZ94" i="37"/>
  <c r="CH94" i="37"/>
  <c r="CL94" i="37"/>
  <c r="CP94" i="37"/>
  <c r="AM94" i="37"/>
  <c r="AQ94" i="37"/>
  <c r="BC94" i="37"/>
  <c r="BG94" i="37"/>
  <c r="BK94" i="37"/>
  <c r="BS94" i="37"/>
  <c r="BW94" i="37"/>
  <c r="CA94" i="37"/>
  <c r="CI94" i="37"/>
  <c r="CM94" i="37"/>
  <c r="AN94" i="37"/>
  <c r="AR94" i="37"/>
  <c r="BD94" i="37"/>
  <c r="BH94" i="37"/>
  <c r="BL94" i="37"/>
  <c r="BT94" i="37"/>
  <c r="BX94" i="37"/>
  <c r="CJ94" i="37"/>
  <c r="CN94" i="37"/>
  <c r="BI94" i="37"/>
  <c r="BY94" i="37"/>
  <c r="CO94" i="37"/>
  <c r="AO94" i="37"/>
  <c r="BA94" i="37"/>
  <c r="AS94" i="37"/>
  <c r="BE94" i="37"/>
  <c r="BU94" i="37"/>
  <c r="CK94" i="37"/>
  <c r="CM16" i="37"/>
  <c r="CI16" i="37"/>
  <c r="CA16" i="37"/>
  <c r="BW16" i="37"/>
  <c r="BS16" i="37"/>
  <c r="BK16" i="37"/>
  <c r="BG16" i="37"/>
  <c r="BC16" i="37"/>
  <c r="AQ16" i="37"/>
  <c r="AL16" i="37"/>
  <c r="CN14" i="37"/>
  <c r="CJ14" i="37"/>
  <c r="BX14" i="37"/>
  <c r="BT14" i="37"/>
  <c r="BL14" i="37"/>
  <c r="BH14" i="37"/>
  <c r="BD14" i="37"/>
  <c r="AR14" i="37"/>
  <c r="AL14" i="37"/>
  <c r="CL55" i="37"/>
  <c r="BY55" i="37"/>
  <c r="BS55" i="37"/>
  <c r="BJ55" i="37"/>
  <c r="BC55" i="37"/>
  <c r="AT55" i="37"/>
  <c r="CK51" i="37"/>
  <c r="CA51" i="37"/>
  <c r="BS51" i="37"/>
  <c r="BI51" i="37"/>
  <c r="AN51" i="37"/>
  <c r="CJ39" i="37"/>
  <c r="BX39" i="37"/>
  <c r="BE39" i="37"/>
  <c r="AN39" i="37"/>
  <c r="CO38" i="37"/>
  <c r="CJ38" i="37"/>
  <c r="CA38" i="37"/>
  <c r="BU38" i="37"/>
  <c r="BE38" i="37"/>
  <c r="AN38" i="37"/>
  <c r="CP37" i="37"/>
  <c r="CL37" i="37"/>
  <c r="CH37" i="37"/>
  <c r="BZ37" i="37"/>
  <c r="BV37" i="37"/>
  <c r="BI37" i="37"/>
  <c r="BD37" i="37"/>
  <c r="AN37" i="37"/>
  <c r="CP36" i="37"/>
  <c r="CL36" i="37"/>
  <c r="CH36" i="37"/>
  <c r="BZ36" i="37"/>
  <c r="BV36" i="37"/>
  <c r="BJ36" i="37"/>
  <c r="BF36" i="37"/>
  <c r="BB36" i="37"/>
  <c r="AT36" i="37"/>
  <c r="AN36" i="37"/>
  <c r="AN63" i="37"/>
  <c r="AR63" i="37"/>
  <c r="BD63" i="37"/>
  <c r="BH63" i="37"/>
  <c r="BL63" i="37"/>
  <c r="BT63" i="37"/>
  <c r="BX63" i="37"/>
  <c r="CO62" i="37"/>
  <c r="CI62" i="37"/>
  <c r="CA62" i="37"/>
  <c r="BV62" i="37"/>
  <c r="BE62" i="37"/>
  <c r="AS62" i="37"/>
  <c r="AN61" i="37"/>
  <c r="AR61" i="37"/>
  <c r="BD61" i="37"/>
  <c r="BH61" i="37"/>
  <c r="BL61" i="37"/>
  <c r="BT61" i="37"/>
  <c r="BX61" i="37"/>
  <c r="CJ61" i="37"/>
  <c r="CN61" i="37"/>
  <c r="AL61" i="37"/>
  <c r="AP61" i="37"/>
  <c r="AT61" i="37"/>
  <c r="BB61" i="37"/>
  <c r="BF61" i="37"/>
  <c r="BJ61" i="37"/>
  <c r="BV61" i="37"/>
  <c r="BZ61" i="37"/>
  <c r="CH61" i="37"/>
  <c r="CL61" i="37"/>
  <c r="CP61" i="37"/>
  <c r="AM61" i="37"/>
  <c r="AQ61" i="37"/>
  <c r="BC61" i="37"/>
  <c r="BG61" i="37"/>
  <c r="BK61" i="37"/>
  <c r="BS61" i="37"/>
  <c r="BW61" i="37"/>
  <c r="CA61" i="37"/>
  <c r="CI61" i="37"/>
  <c r="CM61" i="37"/>
  <c r="CK108" i="37"/>
  <c r="BU108" i="37"/>
  <c r="BE108" i="37"/>
  <c r="AS108" i="37"/>
  <c r="AL96" i="37"/>
  <c r="AP96" i="37"/>
  <c r="AT96" i="37"/>
  <c r="BB96" i="37"/>
  <c r="BF96" i="37"/>
  <c r="BJ96" i="37"/>
  <c r="BV96" i="37"/>
  <c r="BZ96" i="37"/>
  <c r="CH96" i="37"/>
  <c r="CL96" i="37"/>
  <c r="CP96" i="37"/>
  <c r="AM96" i="37"/>
  <c r="AQ96" i="37"/>
  <c r="BC96" i="37"/>
  <c r="BG96" i="37"/>
  <c r="BK96" i="37"/>
  <c r="BS96" i="37"/>
  <c r="BW96" i="37"/>
  <c r="CA96" i="37"/>
  <c r="CI96" i="37"/>
  <c r="CM96" i="37"/>
  <c r="AN96" i="37"/>
  <c r="AR96" i="37"/>
  <c r="BD96" i="37"/>
  <c r="BH96" i="37"/>
  <c r="BL96" i="37"/>
  <c r="BT96" i="37"/>
  <c r="BX96" i="37"/>
  <c r="CJ96" i="37"/>
  <c r="CN96" i="37"/>
  <c r="BI96" i="37"/>
  <c r="BY96" i="37"/>
  <c r="CO96" i="37"/>
  <c r="AO96" i="37"/>
  <c r="BA96" i="37"/>
  <c r="AS96" i="37"/>
  <c r="BE96" i="37"/>
  <c r="BU96" i="37"/>
  <c r="CK96" i="37"/>
  <c r="CM63" i="37"/>
  <c r="CI63" i="37"/>
  <c r="CA63" i="37"/>
  <c r="BV63" i="37"/>
  <c r="BG63" i="37"/>
  <c r="BB63" i="37"/>
  <c r="AT63" i="37"/>
  <c r="AO63" i="37"/>
  <c r="CM62" i="37"/>
  <c r="CH62" i="37"/>
  <c r="BZ62" i="37"/>
  <c r="BU62" i="37"/>
  <c r="BK62" i="37"/>
  <c r="BA62" i="37"/>
  <c r="AO62" i="37"/>
  <c r="CO61" i="37"/>
  <c r="BY61" i="37"/>
  <c r="BI61" i="37"/>
  <c r="BA108" i="37"/>
  <c r="AO108" i="37"/>
  <c r="AL98" i="37"/>
  <c r="AP98" i="37"/>
  <c r="AT98" i="37"/>
  <c r="BB98" i="37"/>
  <c r="BF98" i="37"/>
  <c r="BJ98" i="37"/>
  <c r="BV98" i="37"/>
  <c r="BZ98" i="37"/>
  <c r="CH98" i="37"/>
  <c r="CL98" i="37"/>
  <c r="CP98" i="37"/>
  <c r="AM98" i="37"/>
  <c r="AQ98" i="37"/>
  <c r="BC98" i="37"/>
  <c r="BG98" i="37"/>
  <c r="BK98" i="37"/>
  <c r="BS98" i="37"/>
  <c r="BW98" i="37"/>
  <c r="CA98" i="37"/>
  <c r="CI98" i="37"/>
  <c r="CM98" i="37"/>
  <c r="AN98" i="37"/>
  <c r="AR98" i="37"/>
  <c r="BD98" i="37"/>
  <c r="BH98" i="37"/>
  <c r="BL98" i="37"/>
  <c r="BT98" i="37"/>
  <c r="BX98" i="37"/>
  <c r="CJ98" i="37"/>
  <c r="CN98" i="37"/>
  <c r="BI98" i="37"/>
  <c r="BY98" i="37"/>
  <c r="CO98" i="37"/>
  <c r="AO98" i="37"/>
  <c r="BA98" i="37"/>
  <c r="AS98" i="37"/>
  <c r="BE98" i="37"/>
  <c r="BU98" i="37"/>
  <c r="CK98" i="37"/>
  <c r="AL90" i="37"/>
  <c r="AP90" i="37"/>
  <c r="AT90" i="37"/>
  <c r="BB90" i="37"/>
  <c r="BF90" i="37"/>
  <c r="BJ90" i="37"/>
  <c r="BV90" i="37"/>
  <c r="BZ90" i="37"/>
  <c r="CH90" i="37"/>
  <c r="CL90" i="37"/>
  <c r="CP90" i="37"/>
  <c r="AM90" i="37"/>
  <c r="AQ90" i="37"/>
  <c r="BC90" i="37"/>
  <c r="BG90" i="37"/>
  <c r="BK90" i="37"/>
  <c r="BS90" i="37"/>
  <c r="BW90" i="37"/>
  <c r="CA90" i="37"/>
  <c r="CI90" i="37"/>
  <c r="CM90" i="37"/>
  <c r="AN90" i="37"/>
  <c r="AR90" i="37"/>
  <c r="BD90" i="37"/>
  <c r="BH90" i="37"/>
  <c r="BL90" i="37"/>
  <c r="BT90" i="37"/>
  <c r="BX90" i="37"/>
  <c r="CJ90" i="37"/>
  <c r="CN90" i="37"/>
  <c r="BI90" i="37"/>
  <c r="BY90" i="37"/>
  <c r="CO90" i="37"/>
  <c r="AO90" i="37"/>
  <c r="BA90" i="37"/>
  <c r="AS90" i="37"/>
  <c r="BE90" i="37"/>
  <c r="BU90" i="37"/>
  <c r="CK90" i="37"/>
  <c r="CL107" i="37"/>
  <c r="BY107" i="37"/>
  <c r="BS107" i="37"/>
  <c r="BJ107" i="37"/>
  <c r="BE107" i="37"/>
  <c r="AQ107" i="37"/>
  <c r="AN106" i="37"/>
  <c r="AR106" i="37"/>
  <c r="BD106" i="37"/>
  <c r="BH106" i="37"/>
  <c r="BL106" i="37"/>
  <c r="BT106" i="37"/>
  <c r="BX106" i="37"/>
  <c r="CJ106" i="37"/>
  <c r="CN106" i="37"/>
  <c r="CO105" i="37"/>
  <c r="CI105" i="37"/>
  <c r="CA105" i="37"/>
  <c r="BV105" i="37"/>
  <c r="BG105" i="37"/>
  <c r="BB105" i="37"/>
  <c r="AT105" i="37"/>
  <c r="CM104" i="37"/>
  <c r="CH104" i="37"/>
  <c r="BZ104" i="37"/>
  <c r="BU104" i="37"/>
  <c r="BJ104" i="37"/>
  <c r="BB104" i="37"/>
  <c r="AT104" i="37"/>
  <c r="AL103" i="37"/>
  <c r="AP103" i="37"/>
  <c r="AT103" i="37"/>
  <c r="BB103" i="37"/>
  <c r="BF103" i="37"/>
  <c r="BJ103" i="37"/>
  <c r="BV103" i="37"/>
  <c r="BZ103" i="37"/>
  <c r="CH103" i="37"/>
  <c r="CL103" i="37"/>
  <c r="AM103" i="37"/>
  <c r="AQ103" i="37"/>
  <c r="BC103" i="37"/>
  <c r="BG103" i="37"/>
  <c r="BK103" i="37"/>
  <c r="BS103" i="37"/>
  <c r="BW103" i="37"/>
  <c r="CA103" i="37"/>
  <c r="CI103" i="37"/>
  <c r="CM103" i="37"/>
  <c r="AN103" i="37"/>
  <c r="AR103" i="37"/>
  <c r="BD103" i="37"/>
  <c r="BH103" i="37"/>
  <c r="BL103" i="37"/>
  <c r="BT103" i="37"/>
  <c r="BX103" i="37"/>
  <c r="CJ103" i="37"/>
  <c r="CN103" i="37"/>
  <c r="AL101" i="37"/>
  <c r="AP101" i="37"/>
  <c r="AT101" i="37"/>
  <c r="BB101" i="37"/>
  <c r="BF101" i="37"/>
  <c r="BJ101" i="37"/>
  <c r="BV101" i="37"/>
  <c r="BZ101" i="37"/>
  <c r="CH101" i="37"/>
  <c r="CL101" i="37"/>
  <c r="CP101" i="37"/>
  <c r="AM101" i="37"/>
  <c r="AQ101" i="37"/>
  <c r="BC101" i="37"/>
  <c r="BG101" i="37"/>
  <c r="BK101" i="37"/>
  <c r="BS101" i="37"/>
  <c r="BW101" i="37"/>
  <c r="CA101" i="37"/>
  <c r="CI101" i="37"/>
  <c r="CM101" i="37"/>
  <c r="AN101" i="37"/>
  <c r="AR101" i="37"/>
  <c r="BD101" i="37"/>
  <c r="BH101" i="37"/>
  <c r="BL101" i="37"/>
  <c r="BT101" i="37"/>
  <c r="BX101" i="37"/>
  <c r="CJ101" i="37"/>
  <c r="CN101" i="37"/>
  <c r="AL99" i="37"/>
  <c r="AP99" i="37"/>
  <c r="AT99" i="37"/>
  <c r="BB99" i="37"/>
  <c r="BF99" i="37"/>
  <c r="BJ99" i="37"/>
  <c r="BV99" i="37"/>
  <c r="BZ99" i="37"/>
  <c r="CH99" i="37"/>
  <c r="CL99" i="37"/>
  <c r="CP99" i="37"/>
  <c r="AM99" i="37"/>
  <c r="AQ99" i="37"/>
  <c r="BC99" i="37"/>
  <c r="BG99" i="37"/>
  <c r="BK99" i="37"/>
  <c r="BS99" i="37"/>
  <c r="BW99" i="37"/>
  <c r="CA99" i="37"/>
  <c r="CI99" i="37"/>
  <c r="CM99" i="37"/>
  <c r="AN99" i="37"/>
  <c r="AR99" i="37"/>
  <c r="BD99" i="37"/>
  <c r="BH99" i="37"/>
  <c r="BL99" i="37"/>
  <c r="BT99" i="37"/>
  <c r="BX99" i="37"/>
  <c r="CJ99" i="37"/>
  <c r="CN99" i="37"/>
  <c r="AL97" i="37"/>
  <c r="AP97" i="37"/>
  <c r="AT97" i="37"/>
  <c r="BB97" i="37"/>
  <c r="BF97" i="37"/>
  <c r="BJ97" i="37"/>
  <c r="BV97" i="37"/>
  <c r="BZ97" i="37"/>
  <c r="CH97" i="37"/>
  <c r="CL97" i="37"/>
  <c r="CP97" i="37"/>
  <c r="AM97" i="37"/>
  <c r="AQ97" i="37"/>
  <c r="BC97" i="37"/>
  <c r="BG97" i="37"/>
  <c r="BK97" i="37"/>
  <c r="BS97" i="37"/>
  <c r="BW97" i="37"/>
  <c r="CA97" i="37"/>
  <c r="CI97" i="37"/>
  <c r="CM97" i="37"/>
  <c r="AN97" i="37"/>
  <c r="AR97" i="37"/>
  <c r="BD97" i="37"/>
  <c r="BH97" i="37"/>
  <c r="BL97" i="37"/>
  <c r="BT97" i="37"/>
  <c r="BX97" i="37"/>
  <c r="CJ97" i="37"/>
  <c r="CN97" i="37"/>
  <c r="AL95" i="37"/>
  <c r="AP95" i="37"/>
  <c r="AT95" i="37"/>
  <c r="BB95" i="37"/>
  <c r="BF95" i="37"/>
  <c r="BJ95" i="37"/>
  <c r="BV95" i="37"/>
  <c r="BZ95" i="37"/>
  <c r="CH95" i="37"/>
  <c r="CL95" i="37"/>
  <c r="CP95" i="37"/>
  <c r="AM95" i="37"/>
  <c r="AQ95" i="37"/>
  <c r="BC95" i="37"/>
  <c r="BG95" i="37"/>
  <c r="BK95" i="37"/>
  <c r="BS95" i="37"/>
  <c r="BW95" i="37"/>
  <c r="CA95" i="37"/>
  <c r="CI95" i="37"/>
  <c r="CM95" i="37"/>
  <c r="AN95" i="37"/>
  <c r="AR95" i="37"/>
  <c r="BD95" i="37"/>
  <c r="BH95" i="37"/>
  <c r="BL95" i="37"/>
  <c r="BT95" i="37"/>
  <c r="BX95" i="37"/>
  <c r="CJ95" i="37"/>
  <c r="CN95" i="37"/>
  <c r="AL93" i="37"/>
  <c r="AP93" i="37"/>
  <c r="AT93" i="37"/>
  <c r="BB93" i="37"/>
  <c r="BF93" i="37"/>
  <c r="BJ93" i="37"/>
  <c r="BV93" i="37"/>
  <c r="BZ93" i="37"/>
  <c r="CH93" i="37"/>
  <c r="CL93" i="37"/>
  <c r="CP93" i="37"/>
  <c r="AM93" i="37"/>
  <c r="AQ93" i="37"/>
  <c r="BC93" i="37"/>
  <c r="BG93" i="37"/>
  <c r="BK93" i="37"/>
  <c r="BS93" i="37"/>
  <c r="BW93" i="37"/>
  <c r="CA93" i="37"/>
  <c r="CI93" i="37"/>
  <c r="CM93" i="37"/>
  <c r="AN93" i="37"/>
  <c r="AR93" i="37"/>
  <c r="BD93" i="37"/>
  <c r="BH93" i="37"/>
  <c r="BL93" i="37"/>
  <c r="BT93" i="37"/>
  <c r="BX93" i="37"/>
  <c r="CJ93" i="37"/>
  <c r="CN93" i="37"/>
  <c r="AL91" i="37"/>
  <c r="AP91" i="37"/>
  <c r="AT91" i="37"/>
  <c r="BB91" i="37"/>
  <c r="BF91" i="37"/>
  <c r="BJ91" i="37"/>
  <c r="BV91" i="37"/>
  <c r="BZ91" i="37"/>
  <c r="CH91" i="37"/>
  <c r="CL91" i="37"/>
  <c r="CP91" i="37"/>
  <c r="AM91" i="37"/>
  <c r="AQ91" i="37"/>
  <c r="BC91" i="37"/>
  <c r="BG91" i="37"/>
  <c r="BK91" i="37"/>
  <c r="BS91" i="37"/>
  <c r="BW91" i="37"/>
  <c r="CA91" i="37"/>
  <c r="CI91" i="37"/>
  <c r="CM91" i="37"/>
  <c r="AN91" i="37"/>
  <c r="AR91" i="37"/>
  <c r="BD91" i="37"/>
  <c r="BH91" i="37"/>
  <c r="BL91" i="37"/>
  <c r="BT91" i="37"/>
  <c r="BX91" i="37"/>
  <c r="CJ91" i="37"/>
  <c r="CN91" i="37"/>
  <c r="AL89" i="37"/>
  <c r="AP89" i="37"/>
  <c r="AT89" i="37"/>
  <c r="BB89" i="37"/>
  <c r="BF89" i="37"/>
  <c r="BJ89" i="37"/>
  <c r="BV89" i="37"/>
  <c r="BZ89" i="37"/>
  <c r="CH89" i="37"/>
  <c r="CL89" i="37"/>
  <c r="CP89" i="37"/>
  <c r="AM89" i="37"/>
  <c r="AQ89" i="37"/>
  <c r="BC89" i="37"/>
  <c r="BG89" i="37"/>
  <c r="BK89" i="37"/>
  <c r="BS89" i="37"/>
  <c r="BW89" i="37"/>
  <c r="CA89" i="37"/>
  <c r="CI89" i="37"/>
  <c r="CM89" i="37"/>
  <c r="AN89" i="37"/>
  <c r="AR89" i="37"/>
  <c r="BD89" i="37"/>
  <c r="BH89" i="37"/>
  <c r="BL89" i="37"/>
  <c r="BT89" i="37"/>
  <c r="BX89" i="37"/>
  <c r="CJ89" i="37"/>
  <c r="CN89" i="37"/>
  <c r="CK88" i="37"/>
  <c r="BU88" i="37"/>
  <c r="BE88" i="37"/>
  <c r="AS88" i="37"/>
  <c r="CI125" i="37"/>
  <c r="BW125" i="37"/>
  <c r="AN107" i="37"/>
  <c r="AR107" i="37"/>
  <c r="BD107" i="37"/>
  <c r="BH107" i="37"/>
  <c r="BL107" i="37"/>
  <c r="BT107" i="37"/>
  <c r="BX107" i="37"/>
  <c r="CJ107" i="37"/>
  <c r="CN107" i="37"/>
  <c r="AM104" i="37"/>
  <c r="AQ104" i="37"/>
  <c r="BC104" i="37"/>
  <c r="BG104" i="37"/>
  <c r="BK104" i="37"/>
  <c r="AN104" i="37"/>
  <c r="AR104" i="37"/>
  <c r="BD104" i="37"/>
  <c r="BH104" i="37"/>
  <c r="BL104" i="37"/>
  <c r="BT104" i="37"/>
  <c r="BX104" i="37"/>
  <c r="CJ104" i="37"/>
  <c r="CN104" i="37"/>
  <c r="BA88" i="37"/>
  <c r="AL88" i="37"/>
  <c r="AP88" i="37"/>
  <c r="AT88" i="37"/>
  <c r="BB88" i="37"/>
  <c r="BF88" i="37"/>
  <c r="BJ88" i="37"/>
  <c r="BV88" i="37"/>
  <c r="BZ88" i="37"/>
  <c r="CH88" i="37"/>
  <c r="CL88" i="37"/>
  <c r="CP88" i="37"/>
  <c r="AM88" i="37"/>
  <c r="AQ88" i="37"/>
  <c r="BC88" i="37"/>
  <c r="BG88" i="37"/>
  <c r="BK88" i="37"/>
  <c r="BS88" i="37"/>
  <c r="BW88" i="37"/>
  <c r="CA88" i="37"/>
  <c r="CI88" i="37"/>
  <c r="CM88" i="37"/>
  <c r="AN88" i="37"/>
  <c r="AR88" i="37"/>
  <c r="BD88" i="37"/>
  <c r="BH88" i="37"/>
  <c r="BL88" i="37"/>
  <c r="BT88" i="37"/>
  <c r="BX88" i="37"/>
  <c r="CJ88" i="37"/>
  <c r="CN88" i="37"/>
  <c r="AL128" i="37"/>
  <c r="AS128" i="37"/>
  <c r="BE128" i="37"/>
  <c r="BU128" i="37"/>
  <c r="CK128" i="37"/>
  <c r="BI128" i="37"/>
  <c r="BY128" i="37"/>
  <c r="CO128" i="37"/>
  <c r="AL125" i="37"/>
  <c r="AR125" i="37"/>
  <c r="BD125" i="37"/>
  <c r="BH125" i="37"/>
  <c r="BL125" i="37"/>
  <c r="BT125" i="37"/>
  <c r="BX125" i="37"/>
  <c r="CJ125" i="37"/>
  <c r="CN125" i="37"/>
  <c r="AN125" i="37"/>
  <c r="AS125" i="37"/>
  <c r="BA125" i="37"/>
  <c r="BE125" i="37"/>
  <c r="BI125" i="37"/>
  <c r="BU125" i="37"/>
  <c r="BY125" i="37"/>
  <c r="CK125" i="37"/>
  <c r="CO125" i="37"/>
  <c r="AO125" i="37"/>
  <c r="AT125" i="37"/>
  <c r="BB125" i="37"/>
  <c r="BF125" i="37"/>
  <c r="BJ125" i="37"/>
  <c r="BV125" i="37"/>
  <c r="BZ125" i="37"/>
  <c r="CH125" i="37"/>
  <c r="CL125" i="37"/>
  <c r="CP125" i="37"/>
  <c r="CM107" i="37"/>
  <c r="CH107" i="37"/>
  <c r="BZ107" i="37"/>
  <c r="BU107" i="37"/>
  <c r="BK107" i="37"/>
  <c r="BF107" i="37"/>
  <c r="BA107" i="37"/>
  <c r="AS107" i="37"/>
  <c r="AM107" i="37"/>
  <c r="AN105" i="37"/>
  <c r="AR105" i="37"/>
  <c r="BD105" i="37"/>
  <c r="BH105" i="37"/>
  <c r="BL105" i="37"/>
  <c r="BT105" i="37"/>
  <c r="BX105" i="37"/>
  <c r="CJ105" i="37"/>
  <c r="CN105" i="37"/>
  <c r="CO104" i="37"/>
  <c r="CI104" i="37"/>
  <c r="CA104" i="37"/>
  <c r="BV104" i="37"/>
  <c r="BE104" i="37"/>
  <c r="AO104" i="37"/>
  <c r="CO88" i="37"/>
  <c r="BY88" i="37"/>
  <c r="BI88" i="37"/>
  <c r="BA128" i="37"/>
  <c r="BH149" i="37"/>
  <c r="BB149" i="37"/>
  <c r="AT149" i="37"/>
  <c r="AO149" i="37"/>
  <c r="CN148" i="37"/>
  <c r="CH148" i="37"/>
  <c r="BY148" i="37"/>
  <c r="BT148" i="37"/>
  <c r="BJ148" i="37"/>
  <c r="BE148" i="37"/>
  <c r="AR148" i="37"/>
  <c r="CP147" i="37"/>
  <c r="CK147" i="37"/>
  <c r="BV147" i="37"/>
  <c r="BH147" i="37"/>
  <c r="BB147" i="37"/>
  <c r="AT147" i="37"/>
  <c r="AO147" i="37"/>
  <c r="CN146" i="37"/>
  <c r="CH146" i="37"/>
  <c r="BY146" i="37"/>
  <c r="BT146" i="37"/>
  <c r="BJ146" i="37"/>
  <c r="BE146" i="37"/>
  <c r="AR146" i="37"/>
  <c r="CP145" i="37"/>
  <c r="CK145" i="37"/>
  <c r="BV145" i="37"/>
  <c r="BH145" i="37"/>
  <c r="BB145" i="37"/>
  <c r="AT145" i="37"/>
  <c r="AO145" i="37"/>
  <c r="CN144" i="37"/>
  <c r="CH144" i="37"/>
  <c r="BY144" i="37"/>
  <c r="BT144" i="37"/>
  <c r="BJ144" i="37"/>
  <c r="BE144" i="37"/>
  <c r="AR144" i="37"/>
  <c r="CJ142" i="37"/>
  <c r="BX142" i="37"/>
  <c r="BE142" i="37"/>
  <c r="AL141" i="37"/>
  <c r="AP141" i="37"/>
  <c r="AT141" i="37"/>
  <c r="BB141" i="37"/>
  <c r="BF141" i="37"/>
  <c r="BJ141" i="37"/>
  <c r="BV141" i="37"/>
  <c r="BZ141" i="37"/>
  <c r="CH141" i="37"/>
  <c r="CL141" i="37"/>
  <c r="CP141" i="37"/>
  <c r="AM141" i="37"/>
  <c r="AQ141" i="37"/>
  <c r="BC141" i="37"/>
  <c r="BG141" i="37"/>
  <c r="BK141" i="37"/>
  <c r="BS141" i="37"/>
  <c r="BW141" i="37"/>
  <c r="CA141" i="37"/>
  <c r="CI141" i="37"/>
  <c r="CM141" i="37"/>
  <c r="BI139" i="37"/>
  <c r="CO134" i="37"/>
  <c r="CN87" i="37"/>
  <c r="CJ87" i="37"/>
  <c r="BX87" i="37"/>
  <c r="BT87" i="37"/>
  <c r="BL87" i="37"/>
  <c r="BH87" i="37"/>
  <c r="BD87" i="37"/>
  <c r="AR87" i="37"/>
  <c r="AN87" i="37"/>
  <c r="CM86" i="37"/>
  <c r="CI86" i="37"/>
  <c r="CA86" i="37"/>
  <c r="BW86" i="37"/>
  <c r="BS86" i="37"/>
  <c r="BK86" i="37"/>
  <c r="BG86" i="37"/>
  <c r="BC86" i="37"/>
  <c r="AO86" i="37"/>
  <c r="CP121" i="37"/>
  <c r="CK121" i="37"/>
  <c r="BV121" i="37"/>
  <c r="BH121" i="37"/>
  <c r="BB121" i="37"/>
  <c r="AT121" i="37"/>
  <c r="AO121" i="37"/>
  <c r="BI120" i="37"/>
  <c r="CP118" i="37"/>
  <c r="CK118" i="37"/>
  <c r="BV118" i="37"/>
  <c r="BH118" i="37"/>
  <c r="BB118" i="37"/>
  <c r="AT118" i="37"/>
  <c r="AO118" i="37"/>
  <c r="CM117" i="37"/>
  <c r="BX117" i="37"/>
  <c r="BD117" i="37"/>
  <c r="AS117" i="37"/>
  <c r="CK116" i="37"/>
  <c r="BU116" i="37"/>
  <c r="BH116" i="37"/>
  <c r="AS116" i="37"/>
  <c r="CN113" i="37"/>
  <c r="BT113" i="37"/>
  <c r="BI113" i="37"/>
  <c r="BA113" i="37"/>
  <c r="AR113" i="37"/>
  <c r="CK112" i="37"/>
  <c r="BY112" i="37"/>
  <c r="BH112" i="37"/>
  <c r="AO112" i="37"/>
  <c r="CP110" i="37"/>
  <c r="CL110" i="37"/>
  <c r="CH110" i="37"/>
  <c r="BY110" i="37"/>
  <c r="BT110" i="37"/>
  <c r="BI110" i="37"/>
  <c r="BA110" i="37"/>
  <c r="AR110" i="37"/>
  <c r="CN109" i="37"/>
  <c r="CJ109" i="37"/>
  <c r="BX109" i="37"/>
  <c r="BT109" i="37"/>
  <c r="BL109" i="37"/>
  <c r="BH109" i="37"/>
  <c r="BD109" i="37"/>
  <c r="AR109" i="37"/>
  <c r="AM152" i="37"/>
  <c r="AQ152" i="37"/>
  <c r="BC152" i="37"/>
  <c r="CO151" i="37"/>
  <c r="CJ151" i="37"/>
  <c r="BZ151" i="37"/>
  <c r="BU151" i="37"/>
  <c r="BL151" i="37"/>
  <c r="BF151" i="37"/>
  <c r="BA151" i="37"/>
  <c r="AS151" i="37"/>
  <c r="AN151" i="37"/>
  <c r="AM150" i="37"/>
  <c r="AQ150" i="37"/>
  <c r="BC150" i="37"/>
  <c r="BG150" i="37"/>
  <c r="BK150" i="37"/>
  <c r="BS150" i="37"/>
  <c r="BW150" i="37"/>
  <c r="CA150" i="37"/>
  <c r="CI150" i="37"/>
  <c r="CM150" i="37"/>
  <c r="CO149" i="37"/>
  <c r="CJ149" i="37"/>
  <c r="BZ149" i="37"/>
  <c r="BU149" i="37"/>
  <c r="BL149" i="37"/>
  <c r="BF149" i="37"/>
  <c r="BA149" i="37"/>
  <c r="AS149" i="37"/>
  <c r="AN149" i="37"/>
  <c r="AM148" i="37"/>
  <c r="AQ148" i="37"/>
  <c r="BC148" i="37"/>
  <c r="BG148" i="37"/>
  <c r="BK148" i="37"/>
  <c r="BS148" i="37"/>
  <c r="BW148" i="37"/>
  <c r="CA148" i="37"/>
  <c r="CI148" i="37"/>
  <c r="CM148" i="37"/>
  <c r="CO147" i="37"/>
  <c r="CJ147" i="37"/>
  <c r="BZ147" i="37"/>
  <c r="BU147" i="37"/>
  <c r="BL147" i="37"/>
  <c r="BF147" i="37"/>
  <c r="BA147" i="37"/>
  <c r="AS147" i="37"/>
  <c r="AN147" i="37"/>
  <c r="AM146" i="37"/>
  <c r="AQ146" i="37"/>
  <c r="BC146" i="37"/>
  <c r="BG146" i="37"/>
  <c r="BK146" i="37"/>
  <c r="BS146" i="37"/>
  <c r="BW146" i="37"/>
  <c r="CA146" i="37"/>
  <c r="CI146" i="37"/>
  <c r="CM146" i="37"/>
  <c r="CO145" i="37"/>
  <c r="CJ145" i="37"/>
  <c r="BZ145" i="37"/>
  <c r="BU145" i="37"/>
  <c r="BL145" i="37"/>
  <c r="BF145" i="37"/>
  <c r="BA145" i="37"/>
  <c r="AS145" i="37"/>
  <c r="AN145" i="37"/>
  <c r="CL144" i="37"/>
  <c r="BX144" i="37"/>
  <c r="BI144" i="37"/>
  <c r="BD144" i="37"/>
  <c r="AO144" i="37"/>
  <c r="AL142" i="37"/>
  <c r="AP142" i="37"/>
  <c r="AT142" i="37"/>
  <c r="BB142" i="37"/>
  <c r="BF142" i="37"/>
  <c r="BJ142" i="37"/>
  <c r="BV142" i="37"/>
  <c r="BZ142" i="37"/>
  <c r="CH142" i="37"/>
  <c r="CL142" i="37"/>
  <c r="CP142" i="37"/>
  <c r="AM142" i="37"/>
  <c r="AQ142" i="37"/>
  <c r="BC142" i="37"/>
  <c r="BG142" i="37"/>
  <c r="BK142" i="37"/>
  <c r="BS142" i="37"/>
  <c r="BW142" i="37"/>
  <c r="CA142" i="37"/>
  <c r="CI142" i="37"/>
  <c r="CM142" i="37"/>
  <c r="AL139" i="37"/>
  <c r="AR139" i="37"/>
  <c r="BE139" i="37"/>
  <c r="BJ139" i="37"/>
  <c r="BT139" i="37"/>
  <c r="BY139" i="37"/>
  <c r="CH139" i="37"/>
  <c r="CL139" i="37"/>
  <c r="CP139" i="37"/>
  <c r="AN139" i="37"/>
  <c r="AS139" i="37"/>
  <c r="BA139" i="37"/>
  <c r="BF139" i="37"/>
  <c r="BL139" i="37"/>
  <c r="BU139" i="37"/>
  <c r="BZ139" i="37"/>
  <c r="CI139" i="37"/>
  <c r="CM139" i="37"/>
  <c r="AO139" i="37"/>
  <c r="AT139" i="37"/>
  <c r="BB139" i="37"/>
  <c r="BH139" i="37"/>
  <c r="BV139" i="37"/>
  <c r="CJ139" i="37"/>
  <c r="CN139" i="37"/>
  <c r="AN138" i="37"/>
  <c r="AR138" i="37"/>
  <c r="BA138" i="37"/>
  <c r="CP138" i="37"/>
  <c r="AS138" i="37"/>
  <c r="BD138" i="37"/>
  <c r="BI138" i="37"/>
  <c r="BT138" i="37"/>
  <c r="CK138" i="37"/>
  <c r="CM87" i="37"/>
  <c r="CI87" i="37"/>
  <c r="CA87" i="37"/>
  <c r="BW87" i="37"/>
  <c r="BS87" i="37"/>
  <c r="BK87" i="37"/>
  <c r="BG87" i="37"/>
  <c r="BC87" i="37"/>
  <c r="AQ87" i="37"/>
  <c r="AL87" i="37"/>
  <c r="CP86" i="37"/>
  <c r="CL86" i="37"/>
  <c r="CH86" i="37"/>
  <c r="BZ86" i="37"/>
  <c r="BV86" i="37"/>
  <c r="BJ86" i="37"/>
  <c r="BF86" i="37"/>
  <c r="BB86" i="37"/>
  <c r="AT86" i="37"/>
  <c r="AN86" i="37"/>
  <c r="CO129" i="37"/>
  <c r="BY129" i="37"/>
  <c r="BI129" i="37"/>
  <c r="BX124" i="37"/>
  <c r="CP123" i="37"/>
  <c r="CK123" i="37"/>
  <c r="BV123" i="37"/>
  <c r="BH123" i="37"/>
  <c r="BB123" i="37"/>
  <c r="AT123" i="37"/>
  <c r="CO121" i="37"/>
  <c r="CJ121" i="37"/>
  <c r="BZ121" i="37"/>
  <c r="BU121" i="37"/>
  <c r="BL121" i="37"/>
  <c r="BF121" i="37"/>
  <c r="BA121" i="37"/>
  <c r="AS121" i="37"/>
  <c r="AN121" i="37"/>
  <c r="BX120" i="37"/>
  <c r="CO118" i="37"/>
  <c r="CJ118" i="37"/>
  <c r="BZ118" i="37"/>
  <c r="BU118" i="37"/>
  <c r="BL118" i="37"/>
  <c r="BF118" i="37"/>
  <c r="BA118" i="37"/>
  <c r="AS118" i="37"/>
  <c r="AN118" i="37"/>
  <c r="CJ117" i="37"/>
  <c r="BU117" i="37"/>
  <c r="BL117" i="37"/>
  <c r="BA117" i="37"/>
  <c r="AR117" i="37"/>
  <c r="BD116" i="37"/>
  <c r="AO116" i="37"/>
  <c r="BD114" i="37"/>
  <c r="CK113" i="37"/>
  <c r="BY113" i="37"/>
  <c r="BH113" i="37"/>
  <c r="AO113" i="37"/>
  <c r="CJ112" i="37"/>
  <c r="BX112" i="37"/>
  <c r="BE112" i="37"/>
  <c r="AN112" i="37"/>
  <c r="CO110" i="37"/>
  <c r="CK110" i="37"/>
  <c r="BX110" i="37"/>
  <c r="BH110" i="37"/>
  <c r="AO110" i="37"/>
  <c r="CM109" i="37"/>
  <c r="CI109" i="37"/>
  <c r="CA109" i="37"/>
  <c r="BW109" i="37"/>
  <c r="BS109" i="37"/>
  <c r="BK109" i="37"/>
  <c r="BG109" i="37"/>
  <c r="BC109" i="37"/>
  <c r="AO109" i="37"/>
  <c r="CM152" i="37"/>
  <c r="CI152" i="37"/>
  <c r="CA152" i="37"/>
  <c r="BW152" i="37"/>
  <c r="BS152" i="37"/>
  <c r="BK152" i="37"/>
  <c r="BG152" i="37"/>
  <c r="BB152" i="37"/>
  <c r="AT152" i="37"/>
  <c r="AO152" i="37"/>
  <c r="CN151" i="37"/>
  <c r="CH151" i="37"/>
  <c r="BY151" i="37"/>
  <c r="BT151" i="37"/>
  <c r="BJ151" i="37"/>
  <c r="BE151" i="37"/>
  <c r="AR151" i="37"/>
  <c r="CP150" i="37"/>
  <c r="CK150" i="37"/>
  <c r="BV150" i="37"/>
  <c r="BH150" i="37"/>
  <c r="BB150" i="37"/>
  <c r="AT150" i="37"/>
  <c r="AO150" i="37"/>
  <c r="CN149" i="37"/>
  <c r="CH149" i="37"/>
  <c r="BY149" i="37"/>
  <c r="BT149" i="37"/>
  <c r="BJ149" i="37"/>
  <c r="BE149" i="37"/>
  <c r="AR149" i="37"/>
  <c r="CP148" i="37"/>
  <c r="CK148" i="37"/>
  <c r="BV148" i="37"/>
  <c r="BH148" i="37"/>
  <c r="BB148" i="37"/>
  <c r="AT148" i="37"/>
  <c r="AO148" i="37"/>
  <c r="CN147" i="37"/>
  <c r="CH147" i="37"/>
  <c r="BY147" i="37"/>
  <c r="BT147" i="37"/>
  <c r="BJ147" i="37"/>
  <c r="BE147" i="37"/>
  <c r="AR147" i="37"/>
  <c r="CP146" i="37"/>
  <c r="CK146" i="37"/>
  <c r="BV146" i="37"/>
  <c r="BH146" i="37"/>
  <c r="BB146" i="37"/>
  <c r="AT146" i="37"/>
  <c r="AO146" i="37"/>
  <c r="CN145" i="37"/>
  <c r="CH145" i="37"/>
  <c r="BY145" i="37"/>
  <c r="BT145" i="37"/>
  <c r="BJ145" i="37"/>
  <c r="BE145" i="37"/>
  <c r="AR145" i="37"/>
  <c r="CP144" i="37"/>
  <c r="CK144" i="37"/>
  <c r="BV144" i="37"/>
  <c r="BH144" i="37"/>
  <c r="BB144" i="37"/>
  <c r="AT144" i="37"/>
  <c r="AL143" i="37"/>
  <c r="AP143" i="37"/>
  <c r="AT143" i="37"/>
  <c r="BB143" i="37"/>
  <c r="BF143" i="37"/>
  <c r="BJ143" i="37"/>
  <c r="BV143" i="37"/>
  <c r="BZ143" i="37"/>
  <c r="CH143" i="37"/>
  <c r="CL143" i="37"/>
  <c r="CP143" i="37"/>
  <c r="AM143" i="37"/>
  <c r="AQ143" i="37"/>
  <c r="BC143" i="37"/>
  <c r="BG143" i="37"/>
  <c r="BK143" i="37"/>
  <c r="BS143" i="37"/>
  <c r="BW143" i="37"/>
  <c r="CA143" i="37"/>
  <c r="CI143" i="37"/>
  <c r="CM143" i="37"/>
  <c r="CN142" i="37"/>
  <c r="BT142" i="37"/>
  <c r="BI142" i="37"/>
  <c r="BA142" i="37"/>
  <c r="AR142" i="37"/>
  <c r="CK141" i="37"/>
  <c r="BY141" i="37"/>
  <c r="BH141" i="37"/>
  <c r="AO141" i="37"/>
  <c r="AL140" i="37"/>
  <c r="AP140" i="37"/>
  <c r="AT140" i="37"/>
  <c r="BB140" i="37"/>
  <c r="BF140" i="37"/>
  <c r="BJ140" i="37"/>
  <c r="BV140" i="37"/>
  <c r="BZ140" i="37"/>
  <c r="CH140" i="37"/>
  <c r="CL140" i="37"/>
  <c r="CP140" i="37"/>
  <c r="AM140" i="37"/>
  <c r="AQ140" i="37"/>
  <c r="BC140" i="37"/>
  <c r="BG140" i="37"/>
  <c r="BK140" i="37"/>
  <c r="BS140" i="37"/>
  <c r="BW140" i="37"/>
  <c r="CA140" i="37"/>
  <c r="CI140" i="37"/>
  <c r="CM140" i="37"/>
  <c r="AN140" i="37"/>
  <c r="AR140" i="37"/>
  <c r="BD140" i="37"/>
  <c r="BH140" i="37"/>
  <c r="BL140" i="37"/>
  <c r="BT140" i="37"/>
  <c r="BX140" i="37"/>
  <c r="CJ140" i="37"/>
  <c r="CN140" i="37"/>
  <c r="CK139" i="37"/>
  <c r="BL138" i="37"/>
  <c r="BL134" i="37"/>
  <c r="CN121" i="37"/>
  <c r="CH121" i="37"/>
  <c r="BY121" i="37"/>
  <c r="BT121" i="37"/>
  <c r="BJ121" i="37"/>
  <c r="BE121" i="37"/>
  <c r="AR121" i="37"/>
  <c r="CL120" i="37"/>
  <c r="CN118" i="37"/>
  <c r="CH118" i="37"/>
  <c r="BY118" i="37"/>
  <c r="BT118" i="37"/>
  <c r="BJ118" i="37"/>
  <c r="BE118" i="37"/>
  <c r="AR118" i="37"/>
  <c r="AL118" i="37"/>
  <c r="CO117" i="37"/>
  <c r="BT117" i="37"/>
  <c r="BI117" i="37"/>
  <c r="AN117" i="37"/>
  <c r="CJ113" i="37"/>
  <c r="BX113" i="37"/>
  <c r="BE113" i="37"/>
  <c r="AN113" i="37"/>
  <c r="CN110" i="37"/>
  <c r="CJ110" i="37"/>
  <c r="BV110" i="37"/>
  <c r="BE110" i="37"/>
  <c r="AN110" i="37"/>
  <c r="CP109" i="37"/>
  <c r="CL109" i="37"/>
  <c r="CH109" i="37"/>
  <c r="BZ109" i="37"/>
  <c r="BV109" i="37"/>
  <c r="BJ109" i="37"/>
  <c r="BF109" i="37"/>
  <c r="BB109" i="37"/>
  <c r="AT109" i="37"/>
  <c r="AN109" i="37"/>
  <c r="AM151" i="37"/>
  <c r="AQ151" i="37"/>
  <c r="BC151" i="37"/>
  <c r="BG151" i="37"/>
  <c r="BK151" i="37"/>
  <c r="BS151" i="37"/>
  <c r="BW151" i="37"/>
  <c r="CA151" i="37"/>
  <c r="CI151" i="37"/>
  <c r="CM151" i="37"/>
  <c r="AM149" i="37"/>
  <c r="AQ149" i="37"/>
  <c r="BC149" i="37"/>
  <c r="BG149" i="37"/>
  <c r="BK149" i="37"/>
  <c r="BS149" i="37"/>
  <c r="BW149" i="37"/>
  <c r="CA149" i="37"/>
  <c r="CI149" i="37"/>
  <c r="CM149" i="37"/>
  <c r="AM147" i="37"/>
  <c r="AQ147" i="37"/>
  <c r="BC147" i="37"/>
  <c r="BG147" i="37"/>
  <c r="BK147" i="37"/>
  <c r="BS147" i="37"/>
  <c r="BW147" i="37"/>
  <c r="CA147" i="37"/>
  <c r="CI147" i="37"/>
  <c r="CM147" i="37"/>
  <c r="AM145" i="37"/>
  <c r="AQ145" i="37"/>
  <c r="BC145" i="37"/>
  <c r="BG145" i="37"/>
  <c r="BK145" i="37"/>
  <c r="BS145" i="37"/>
  <c r="BW145" i="37"/>
  <c r="CA145" i="37"/>
  <c r="CI145" i="37"/>
  <c r="CM145" i="37"/>
  <c r="AL144" i="37"/>
  <c r="AP144" i="37"/>
  <c r="AM144" i="37"/>
  <c r="AQ144" i="37"/>
  <c r="BC144" i="37"/>
  <c r="BG144" i="37"/>
  <c r="BK144" i="37"/>
  <c r="BS144" i="37"/>
  <c r="BW144" i="37"/>
  <c r="CA144" i="37"/>
  <c r="CI144" i="37"/>
  <c r="CM144" i="37"/>
  <c r="AL134" i="37"/>
  <c r="AN134" i="37"/>
  <c r="BE134" i="37"/>
  <c r="BX134" i="37"/>
  <c r="CJ134" i="37"/>
  <c r="AO134" i="37"/>
  <c r="BH134" i="37"/>
  <c r="BY134" i="37"/>
  <c r="CK134" i="37"/>
  <c r="AR134" i="37"/>
  <c r="BA134" i="37"/>
  <c r="BI134" i="37"/>
  <c r="BT134" i="37"/>
  <c r="CN134" i="37"/>
  <c r="AO160" i="37"/>
  <c r="CL160" i="37"/>
  <c r="BD160" i="37"/>
  <c r="BX160" i="37"/>
  <c r="CK137" i="37"/>
  <c r="BU137" i="37"/>
  <c r="BL137" i="37"/>
  <c r="BA137" i="37"/>
  <c r="AR137" i="37"/>
  <c r="CK133" i="37"/>
  <c r="BY133" i="37"/>
  <c r="BH133" i="37"/>
  <c r="AO133" i="37"/>
  <c r="CO130" i="37"/>
  <c r="CI130" i="37"/>
  <c r="BY130" i="37"/>
  <c r="BH130" i="37"/>
  <c r="BA130" i="37"/>
  <c r="AR130" i="37"/>
  <c r="BI160" i="37"/>
  <c r="BT137" i="37"/>
  <c r="BI137" i="37"/>
  <c r="AO137" i="37"/>
  <c r="CN135" i="37"/>
  <c r="BT135" i="37"/>
  <c r="BI135" i="37"/>
  <c r="BA135" i="37"/>
  <c r="AR135" i="37"/>
  <c r="CJ133" i="37"/>
  <c r="BX133" i="37"/>
  <c r="BE133" i="37"/>
  <c r="AN133" i="37"/>
  <c r="AL132" i="37"/>
  <c r="AN132" i="37"/>
  <c r="AL131" i="37"/>
  <c r="AN131" i="37"/>
  <c r="BD131" i="37"/>
  <c r="BI131" i="37"/>
  <c r="BV131" i="37"/>
  <c r="BZ131" i="37"/>
  <c r="CH131" i="37"/>
  <c r="CL131" i="37"/>
  <c r="CP131" i="37"/>
  <c r="AS131" i="37"/>
  <c r="BB131" i="37"/>
  <c r="BJ131" i="37"/>
  <c r="BS131" i="37"/>
  <c r="CN130" i="37"/>
  <c r="BW130" i="37"/>
  <c r="BG130" i="37"/>
  <c r="AL130" i="37"/>
  <c r="AO130" i="37"/>
  <c r="AT130" i="37"/>
  <c r="BB130" i="37"/>
  <c r="BF130" i="37"/>
  <c r="BJ130" i="37"/>
  <c r="BV130" i="37"/>
  <c r="BZ130" i="37"/>
  <c r="CH130" i="37"/>
  <c r="CL130" i="37"/>
  <c r="CP130" i="37"/>
  <c r="AP130" i="37"/>
  <c r="BE130" i="37"/>
  <c r="BK130" i="37"/>
  <c r="BS130" i="37"/>
  <c r="BX130" i="37"/>
  <c r="CM130" i="37"/>
  <c r="AN159" i="37"/>
  <c r="AR159" i="37"/>
  <c r="BA159" i="37"/>
  <c r="BL159" i="37"/>
  <c r="BU159" i="37"/>
  <c r="CJ159" i="37"/>
  <c r="CP159" i="37"/>
  <c r="AL155" i="37"/>
  <c r="AN155" i="37"/>
  <c r="BD155" i="37"/>
  <c r="BI155" i="37"/>
  <c r="BX155" i="37"/>
  <c r="CL155" i="37"/>
  <c r="AR155" i="37"/>
  <c r="BA155" i="37"/>
  <c r="BF155" i="37"/>
  <c r="BL155" i="37"/>
  <c r="BU155" i="37"/>
  <c r="BZ155" i="37"/>
  <c r="CJ155" i="37"/>
  <c r="CO155" i="37"/>
  <c r="CK159" i="37"/>
  <c r="BT159" i="37"/>
  <c r="BH159" i="37"/>
  <c r="AS159" i="37"/>
  <c r="BT158" i="37"/>
  <c r="BI158" i="37"/>
  <c r="CN155" i="37"/>
  <c r="BE155" i="37"/>
  <c r="AS155" i="37"/>
  <c r="CJ153" i="37"/>
  <c r="BZ153" i="37"/>
  <c r="BH153" i="37"/>
  <c r="BD159" i="37"/>
  <c r="AO159" i="37"/>
  <c r="AN158" i="37"/>
  <c r="BE158" i="37"/>
  <c r="BX158" i="37"/>
  <c r="CJ158" i="37"/>
  <c r="CK155" i="37"/>
  <c r="BY155" i="37"/>
  <c r="BB155" i="37"/>
  <c r="AO155" i="37"/>
  <c r="AL153" i="37"/>
  <c r="AN153" i="37"/>
  <c r="AS153" i="37"/>
  <c r="BA153" i="37"/>
  <c r="BE153" i="37"/>
  <c r="BI153" i="37"/>
  <c r="BU153" i="37"/>
  <c r="BY153" i="37"/>
  <c r="CK153" i="37"/>
  <c r="CO153" i="37"/>
  <c r="AP153" i="37"/>
  <c r="BC153" i="37"/>
  <c r="BG153" i="37"/>
  <c r="BK153" i="37"/>
  <c r="BS153" i="37"/>
  <c r="BW153" i="37"/>
  <c r="CA153" i="37"/>
  <c r="CI153" i="37"/>
  <c r="CM153" i="37"/>
  <c r="CN154" i="37"/>
  <c r="CJ154" i="37"/>
  <c r="BV154" i="37"/>
  <c r="BH154" i="37"/>
  <c r="BB154" i="37"/>
  <c r="AT154" i="37"/>
  <c r="AO154" i="37"/>
  <c r="CP160" i="37"/>
  <c r="CK160" i="37"/>
  <c r="BV160" i="37"/>
  <c r="BH160" i="37"/>
  <c r="BB160" i="37"/>
  <c r="AT160" i="37"/>
  <c r="CN159" i="37"/>
  <c r="CH159" i="37"/>
  <c r="BX159" i="37"/>
  <c r="BE159" i="37"/>
  <c r="AL158" i="37"/>
  <c r="AP158" i="37"/>
  <c r="AT158" i="37"/>
  <c r="BB158" i="37"/>
  <c r="BF158" i="37"/>
  <c r="BJ158" i="37"/>
  <c r="BV158" i="37"/>
  <c r="BZ158" i="37"/>
  <c r="CH158" i="37"/>
  <c r="CL158" i="37"/>
  <c r="CP158" i="37"/>
  <c r="AM158" i="37"/>
  <c r="AQ158" i="37"/>
  <c r="BC158" i="37"/>
  <c r="BG158" i="37"/>
  <c r="BK158" i="37"/>
  <c r="BS158" i="37"/>
  <c r="BW158" i="37"/>
  <c r="CA158" i="37"/>
  <c r="CI158" i="37"/>
  <c r="CM158" i="37"/>
  <c r="AM160" i="37"/>
  <c r="AQ160" i="37"/>
  <c r="BC160" i="37"/>
  <c r="BG160" i="37"/>
  <c r="BK160" i="37"/>
  <c r="BS160" i="37"/>
  <c r="BW160" i="37"/>
  <c r="CA160" i="37"/>
  <c r="CI160" i="37"/>
  <c r="CM160" i="37"/>
  <c r="CO160" i="37"/>
  <c r="CJ160" i="37"/>
  <c r="BZ160" i="37"/>
  <c r="BU160" i="37"/>
  <c r="BL160" i="37"/>
  <c r="BF160" i="37"/>
  <c r="BA160" i="37"/>
  <c r="AS160" i="37"/>
  <c r="AN160" i="37"/>
  <c r="AL159" i="37"/>
  <c r="AP159" i="37"/>
  <c r="AT159" i="37"/>
  <c r="BB159" i="37"/>
  <c r="BF159" i="37"/>
  <c r="BJ159" i="37"/>
  <c r="BV159" i="37"/>
  <c r="BZ159" i="37"/>
  <c r="AM159" i="37"/>
  <c r="AQ159" i="37"/>
  <c r="BC159" i="37"/>
  <c r="BG159" i="37"/>
  <c r="BK159" i="37"/>
  <c r="BS159" i="37"/>
  <c r="BW159" i="37"/>
  <c r="CA159" i="37"/>
  <c r="CI159" i="37"/>
  <c r="CM159" i="37"/>
  <c r="AP160" i="37"/>
  <c r="CN160" i="37"/>
  <c r="CH160" i="37"/>
  <c r="BY160" i="37"/>
  <c r="BT160" i="37"/>
  <c r="BJ160" i="37"/>
  <c r="BE160" i="37"/>
  <c r="AR160" i="37"/>
  <c r="AL160" i="37"/>
  <c r="CM157" i="37"/>
  <c r="CI157" i="37"/>
  <c r="CA157" i="37"/>
  <c r="BW157" i="37"/>
  <c r="BS157" i="37"/>
  <c r="BK157" i="37"/>
  <c r="BG157" i="37"/>
  <c r="BC157" i="37"/>
  <c r="AQ157" i="37"/>
  <c r="AM157" i="37"/>
  <c r="CM156" i="37"/>
  <c r="CI156" i="37"/>
  <c r="CA156" i="37"/>
  <c r="BW156" i="37"/>
  <c r="BS156" i="37"/>
  <c r="BK156" i="37"/>
  <c r="BG156" i="37"/>
  <c r="BC156" i="37"/>
  <c r="AQ156" i="37"/>
  <c r="AM156" i="37"/>
  <c r="CM155" i="37"/>
  <c r="CI155" i="37"/>
  <c r="CA155" i="37"/>
  <c r="BW155" i="37"/>
  <c r="BS155" i="37"/>
  <c r="BK155" i="37"/>
  <c r="BG155" i="37"/>
  <c r="BC155" i="37"/>
  <c r="AQ155" i="37"/>
  <c r="AM155" i="37"/>
  <c r="CA154" i="37"/>
  <c r="BW154" i="37"/>
  <c r="BS154" i="37"/>
  <c r="BK154" i="37"/>
  <c r="BG154" i="37"/>
  <c r="BC154" i="37"/>
  <c r="AQ154" i="37"/>
  <c r="AM154" i="37"/>
  <c r="AQ153" i="37"/>
  <c r="AM153" i="37"/>
  <c r="CP157" i="37"/>
  <c r="CL157" i="37"/>
  <c r="CH157" i="37"/>
  <c r="BZ157" i="37"/>
  <c r="BV157" i="37"/>
  <c r="BJ157" i="37"/>
  <c r="BF157" i="37"/>
  <c r="BB157" i="37"/>
  <c r="AT157" i="37"/>
  <c r="AP157" i="37"/>
  <c r="BJ156" i="37"/>
  <c r="BF156" i="37"/>
  <c r="BB156" i="37"/>
  <c r="AT156" i="37"/>
  <c r="AP156" i="37"/>
  <c r="AT155" i="37"/>
  <c r="AP155" i="37"/>
  <c r="AM139" i="37"/>
  <c r="AQ139" i="37"/>
  <c r="BC139" i="37"/>
  <c r="BG139" i="37"/>
  <c r="BK139" i="37"/>
  <c r="BS139" i="37"/>
  <c r="BW139" i="37"/>
  <c r="CA139" i="37"/>
  <c r="CO138" i="37"/>
  <c r="CJ138" i="37"/>
  <c r="BY138" i="37"/>
  <c r="BH138" i="37"/>
  <c r="AO138" i="37"/>
  <c r="CJ137" i="37"/>
  <c r="BX137" i="37"/>
  <c r="BE137" i="37"/>
  <c r="AL136" i="37"/>
  <c r="AP136" i="37"/>
  <c r="AT136" i="37"/>
  <c r="BB136" i="37"/>
  <c r="BF136" i="37"/>
  <c r="BJ136" i="37"/>
  <c r="BV136" i="37"/>
  <c r="BZ136" i="37"/>
  <c r="CH136" i="37"/>
  <c r="CL136" i="37"/>
  <c r="CP136" i="37"/>
  <c r="AM136" i="37"/>
  <c r="AQ136" i="37"/>
  <c r="BC136" i="37"/>
  <c r="BG136" i="37"/>
  <c r="BK136" i="37"/>
  <c r="BS136" i="37"/>
  <c r="BW136" i="37"/>
  <c r="CA136" i="37"/>
  <c r="CI136" i="37"/>
  <c r="CM136" i="37"/>
  <c r="CN138" i="37"/>
  <c r="CH138" i="37"/>
  <c r="BX138" i="37"/>
  <c r="BE138" i="37"/>
  <c r="AL137" i="37"/>
  <c r="AP137" i="37"/>
  <c r="AT137" i="37"/>
  <c r="BB137" i="37"/>
  <c r="BF137" i="37"/>
  <c r="BJ137" i="37"/>
  <c r="BV137" i="37"/>
  <c r="BZ137" i="37"/>
  <c r="CH137" i="37"/>
  <c r="CL137" i="37"/>
  <c r="CP137" i="37"/>
  <c r="AM137" i="37"/>
  <c r="AQ137" i="37"/>
  <c r="BC137" i="37"/>
  <c r="BG137" i="37"/>
  <c r="BK137" i="37"/>
  <c r="BS137" i="37"/>
  <c r="BW137" i="37"/>
  <c r="CA137" i="37"/>
  <c r="CI137" i="37"/>
  <c r="CM137" i="37"/>
  <c r="AL138" i="37"/>
  <c r="AP138" i="37"/>
  <c r="AT138" i="37"/>
  <c r="BB138" i="37"/>
  <c r="BF138" i="37"/>
  <c r="BJ138" i="37"/>
  <c r="BV138" i="37"/>
  <c r="BZ138" i="37"/>
  <c r="AM138" i="37"/>
  <c r="AQ138" i="37"/>
  <c r="BC138" i="37"/>
  <c r="BG138" i="37"/>
  <c r="BK138" i="37"/>
  <c r="BS138" i="37"/>
  <c r="BW138" i="37"/>
  <c r="CA138" i="37"/>
  <c r="CI138" i="37"/>
  <c r="CM138" i="37"/>
  <c r="CM135" i="37"/>
  <c r="CI135" i="37"/>
  <c r="CA135" i="37"/>
  <c r="BW135" i="37"/>
  <c r="BS135" i="37"/>
  <c r="BK135" i="37"/>
  <c r="BG135" i="37"/>
  <c r="BC135" i="37"/>
  <c r="AQ135" i="37"/>
  <c r="AM135" i="37"/>
  <c r="CM134" i="37"/>
  <c r="CI134" i="37"/>
  <c r="CA134" i="37"/>
  <c r="BW134" i="37"/>
  <c r="BS134" i="37"/>
  <c r="BK134" i="37"/>
  <c r="BG134" i="37"/>
  <c r="BC134" i="37"/>
  <c r="AQ134" i="37"/>
  <c r="AM134" i="37"/>
  <c r="CM133" i="37"/>
  <c r="CI133" i="37"/>
  <c r="CA133" i="37"/>
  <c r="BW133" i="37"/>
  <c r="BS133" i="37"/>
  <c r="BK133" i="37"/>
  <c r="BG133" i="37"/>
  <c r="BC133" i="37"/>
  <c r="AQ133" i="37"/>
  <c r="AM133" i="37"/>
  <c r="CM132" i="37"/>
  <c r="CI132" i="37"/>
  <c r="CA132" i="37"/>
  <c r="BW132" i="37"/>
  <c r="BS132" i="37"/>
  <c r="BK132" i="37"/>
  <c r="BG132" i="37"/>
  <c r="BC132" i="37"/>
  <c r="AQ132" i="37"/>
  <c r="AM132" i="37"/>
  <c r="BK131" i="37"/>
  <c r="BG131" i="37"/>
  <c r="BC131" i="37"/>
  <c r="AQ131" i="37"/>
  <c r="AM131" i="37"/>
  <c r="AQ130" i="37"/>
  <c r="AM130" i="37"/>
  <c r="CP135" i="37"/>
  <c r="CL135" i="37"/>
  <c r="CH135" i="37"/>
  <c r="BZ135" i="37"/>
  <c r="BV135" i="37"/>
  <c r="BJ135" i="37"/>
  <c r="BF135" i="37"/>
  <c r="BB135" i="37"/>
  <c r="AT135" i="37"/>
  <c r="AP135" i="37"/>
  <c r="CP134" i="37"/>
  <c r="CL134" i="37"/>
  <c r="CH134" i="37"/>
  <c r="BZ134" i="37"/>
  <c r="BV134" i="37"/>
  <c r="BJ134" i="37"/>
  <c r="BF134" i="37"/>
  <c r="BB134" i="37"/>
  <c r="AT134" i="37"/>
  <c r="AP134" i="37"/>
  <c r="CP133" i="37"/>
  <c r="CL133" i="37"/>
  <c r="CH133" i="37"/>
  <c r="BZ133" i="37"/>
  <c r="BV133" i="37"/>
  <c r="BJ133" i="37"/>
  <c r="BF133" i="37"/>
  <c r="BB133" i="37"/>
  <c r="AT133" i="37"/>
  <c r="AP133" i="37"/>
  <c r="BJ132" i="37"/>
  <c r="BF132" i="37"/>
  <c r="BB132" i="37"/>
  <c r="AT132" i="37"/>
  <c r="AP132" i="37"/>
  <c r="AT131" i="37"/>
  <c r="AP131" i="37"/>
  <c r="AO129" i="37"/>
  <c r="AO127" i="37"/>
  <c r="BD124" i="37"/>
  <c r="AP122" i="37"/>
  <c r="AP120" i="37"/>
  <c r="CN129" i="37"/>
  <c r="CJ129" i="37"/>
  <c r="BX129" i="37"/>
  <c r="BT129" i="37"/>
  <c r="BL129" i="37"/>
  <c r="BH129" i="37"/>
  <c r="BD129" i="37"/>
  <c r="AR129" i="37"/>
  <c r="AN129" i="37"/>
  <c r="CN128" i="37"/>
  <c r="CJ128" i="37"/>
  <c r="BX128" i="37"/>
  <c r="BT128" i="37"/>
  <c r="BL128" i="37"/>
  <c r="BH128" i="37"/>
  <c r="BD128" i="37"/>
  <c r="AR128" i="37"/>
  <c r="AN128" i="37"/>
  <c r="CN127" i="37"/>
  <c r="CJ127" i="37"/>
  <c r="BX127" i="37"/>
  <c r="BT127" i="37"/>
  <c r="BL127" i="37"/>
  <c r="BH127" i="37"/>
  <c r="BD127" i="37"/>
  <c r="AR127" i="37"/>
  <c r="AN127" i="37"/>
  <c r="CN126" i="37"/>
  <c r="CJ126" i="37"/>
  <c r="BX126" i="37"/>
  <c r="BT126" i="37"/>
  <c r="BL126" i="37"/>
  <c r="BH126" i="37"/>
  <c r="BD126" i="37"/>
  <c r="AR126" i="37"/>
  <c r="AN126" i="37"/>
  <c r="CP124" i="37"/>
  <c r="CK124" i="37"/>
  <c r="BV124" i="37"/>
  <c r="BH124" i="37"/>
  <c r="BB124" i="37"/>
  <c r="AT124" i="37"/>
  <c r="AO124" i="37"/>
  <c r="CP122" i="37"/>
  <c r="CK122" i="37"/>
  <c r="BV122" i="37"/>
  <c r="BH122" i="37"/>
  <c r="BB122" i="37"/>
  <c r="AT122" i="37"/>
  <c r="AO122" i="37"/>
  <c r="CP120" i="37"/>
  <c r="CK120" i="37"/>
  <c r="BV120" i="37"/>
  <c r="BH120" i="37"/>
  <c r="BB120" i="37"/>
  <c r="AT120" i="37"/>
  <c r="AO120" i="37"/>
  <c r="AS129" i="37"/>
  <c r="BI124" i="37"/>
  <c r="AP124" i="37"/>
  <c r="BD120" i="37"/>
  <c r="AL114" i="37"/>
  <c r="AP114" i="37"/>
  <c r="AT114" i="37"/>
  <c r="BB114" i="37"/>
  <c r="BF114" i="37"/>
  <c r="BJ114" i="37"/>
  <c r="BV114" i="37"/>
  <c r="BZ114" i="37"/>
  <c r="CH114" i="37"/>
  <c r="CL114" i="37"/>
  <c r="CP114" i="37"/>
  <c r="AM114" i="37"/>
  <c r="AQ114" i="37"/>
  <c r="BC114" i="37"/>
  <c r="BG114" i="37"/>
  <c r="BK114" i="37"/>
  <c r="BS114" i="37"/>
  <c r="BW114" i="37"/>
  <c r="CA114" i="37"/>
  <c r="CI114" i="37"/>
  <c r="CM114" i="37"/>
  <c r="AN114" i="37"/>
  <c r="BE114" i="37"/>
  <c r="BX114" i="37"/>
  <c r="CJ114" i="37"/>
  <c r="AO114" i="37"/>
  <c r="BH114" i="37"/>
  <c r="BY114" i="37"/>
  <c r="CK114" i="37"/>
  <c r="AR114" i="37"/>
  <c r="BA114" i="37"/>
  <c r="BI114" i="37"/>
  <c r="BT114" i="37"/>
  <c r="CN114" i="37"/>
  <c r="CM129" i="37"/>
  <c r="CI129" i="37"/>
  <c r="CA129" i="37"/>
  <c r="BW129" i="37"/>
  <c r="BS129" i="37"/>
  <c r="BK129" i="37"/>
  <c r="BG129" i="37"/>
  <c r="BC129" i="37"/>
  <c r="AQ129" i="37"/>
  <c r="AM129" i="37"/>
  <c r="CM128" i="37"/>
  <c r="CI128" i="37"/>
  <c r="CA128" i="37"/>
  <c r="BW128" i="37"/>
  <c r="BS128" i="37"/>
  <c r="BK128" i="37"/>
  <c r="BG128" i="37"/>
  <c r="BC128" i="37"/>
  <c r="AQ128" i="37"/>
  <c r="AM128" i="37"/>
  <c r="CM127" i="37"/>
  <c r="CI127" i="37"/>
  <c r="CA127" i="37"/>
  <c r="BW127" i="37"/>
  <c r="BS127" i="37"/>
  <c r="BK127" i="37"/>
  <c r="BG127" i="37"/>
  <c r="BC127" i="37"/>
  <c r="AQ127" i="37"/>
  <c r="AM127" i="37"/>
  <c r="CM126" i="37"/>
  <c r="CI126" i="37"/>
  <c r="CA126" i="37"/>
  <c r="BW126" i="37"/>
  <c r="BS126" i="37"/>
  <c r="BK126" i="37"/>
  <c r="BG126" i="37"/>
  <c r="BC126" i="37"/>
  <c r="AQ126" i="37"/>
  <c r="AM126" i="37"/>
  <c r="AM125" i="37"/>
  <c r="AQ125" i="37"/>
  <c r="CO124" i="37"/>
  <c r="CJ124" i="37"/>
  <c r="BZ124" i="37"/>
  <c r="BU124" i="37"/>
  <c r="BL124" i="37"/>
  <c r="BF124" i="37"/>
  <c r="BA124" i="37"/>
  <c r="AS124" i="37"/>
  <c r="AM123" i="37"/>
  <c r="AQ123" i="37"/>
  <c r="BC123" i="37"/>
  <c r="BG123" i="37"/>
  <c r="BK123" i="37"/>
  <c r="BS123" i="37"/>
  <c r="BW123" i="37"/>
  <c r="CA123" i="37"/>
  <c r="CI123" i="37"/>
  <c r="CM123" i="37"/>
  <c r="CO122" i="37"/>
  <c r="CJ122" i="37"/>
  <c r="BZ122" i="37"/>
  <c r="BU122" i="37"/>
  <c r="BL122" i="37"/>
  <c r="BF122" i="37"/>
  <c r="BA122" i="37"/>
  <c r="AS122" i="37"/>
  <c r="AM121" i="37"/>
  <c r="AQ121" i="37"/>
  <c r="BC121" i="37"/>
  <c r="BG121" i="37"/>
  <c r="BK121" i="37"/>
  <c r="BS121" i="37"/>
  <c r="BW121" i="37"/>
  <c r="CA121" i="37"/>
  <c r="CI121" i="37"/>
  <c r="CM121" i="37"/>
  <c r="CO120" i="37"/>
  <c r="CJ120" i="37"/>
  <c r="BZ120" i="37"/>
  <c r="BU120" i="37"/>
  <c r="BL120" i="37"/>
  <c r="BF120" i="37"/>
  <c r="BA120" i="37"/>
  <c r="AS120" i="37"/>
  <c r="AM119" i="37"/>
  <c r="AQ119" i="37"/>
  <c r="BC119" i="37"/>
  <c r="BG119" i="37"/>
  <c r="BK119" i="37"/>
  <c r="BS119" i="37"/>
  <c r="BW119" i="37"/>
  <c r="CA119" i="37"/>
  <c r="CI119" i="37"/>
  <c r="CM119" i="37"/>
  <c r="AO128" i="37"/>
  <c r="AO126" i="37"/>
  <c r="AM124" i="37"/>
  <c r="AQ124" i="37"/>
  <c r="BC124" i="37"/>
  <c r="BG124" i="37"/>
  <c r="BK124" i="37"/>
  <c r="BS124" i="37"/>
  <c r="BW124" i="37"/>
  <c r="CA124" i="37"/>
  <c r="CI124" i="37"/>
  <c r="CM124" i="37"/>
  <c r="AM122" i="37"/>
  <c r="AQ122" i="37"/>
  <c r="BC122" i="37"/>
  <c r="BG122" i="37"/>
  <c r="BK122" i="37"/>
  <c r="BS122" i="37"/>
  <c r="BW122" i="37"/>
  <c r="CA122" i="37"/>
  <c r="CI122" i="37"/>
  <c r="CM122" i="37"/>
  <c r="AM120" i="37"/>
  <c r="AQ120" i="37"/>
  <c r="BC120" i="37"/>
  <c r="BG120" i="37"/>
  <c r="BK120" i="37"/>
  <c r="BS120" i="37"/>
  <c r="BW120" i="37"/>
  <c r="CA120" i="37"/>
  <c r="CI120" i="37"/>
  <c r="CM120" i="37"/>
  <c r="CP129" i="37"/>
  <c r="CL129" i="37"/>
  <c r="CH129" i="37"/>
  <c r="BZ129" i="37"/>
  <c r="BV129" i="37"/>
  <c r="BJ129" i="37"/>
  <c r="BF129" i="37"/>
  <c r="BB129" i="37"/>
  <c r="AT129" i="37"/>
  <c r="AP129" i="37"/>
  <c r="CP128" i="37"/>
  <c r="CL128" i="37"/>
  <c r="CH128" i="37"/>
  <c r="BZ128" i="37"/>
  <c r="BV128" i="37"/>
  <c r="BJ128" i="37"/>
  <c r="BF128" i="37"/>
  <c r="BB128" i="37"/>
  <c r="AT128" i="37"/>
  <c r="AP128" i="37"/>
  <c r="CP127" i="37"/>
  <c r="CL127" i="37"/>
  <c r="CH127" i="37"/>
  <c r="BZ127" i="37"/>
  <c r="BV127" i="37"/>
  <c r="BJ127" i="37"/>
  <c r="BF127" i="37"/>
  <c r="BB127" i="37"/>
  <c r="AT127" i="37"/>
  <c r="AP127" i="37"/>
  <c r="CP126" i="37"/>
  <c r="CL126" i="37"/>
  <c r="CH126" i="37"/>
  <c r="BZ126" i="37"/>
  <c r="BV126" i="37"/>
  <c r="BJ126" i="37"/>
  <c r="BF126" i="37"/>
  <c r="BB126" i="37"/>
  <c r="AT126" i="37"/>
  <c r="AP126" i="37"/>
  <c r="CN124" i="37"/>
  <c r="CH124" i="37"/>
  <c r="BY124" i="37"/>
  <c r="BT124" i="37"/>
  <c r="BJ124" i="37"/>
  <c r="BE124" i="37"/>
  <c r="AR124" i="37"/>
  <c r="AL124" i="37"/>
  <c r="CN122" i="37"/>
  <c r="CH122" i="37"/>
  <c r="BY122" i="37"/>
  <c r="BT122" i="37"/>
  <c r="BJ122" i="37"/>
  <c r="BE122" i="37"/>
  <c r="AR122" i="37"/>
  <c r="AL122" i="37"/>
  <c r="CN120" i="37"/>
  <c r="CH120" i="37"/>
  <c r="BY120" i="37"/>
  <c r="BT120" i="37"/>
  <c r="BJ120" i="37"/>
  <c r="BE120" i="37"/>
  <c r="AR120" i="37"/>
  <c r="AL120" i="37"/>
  <c r="BL114" i="37"/>
  <c r="AS114" i="37"/>
  <c r="CM118" i="37"/>
  <c r="CI118" i="37"/>
  <c r="CA118" i="37"/>
  <c r="BW118" i="37"/>
  <c r="BS118" i="37"/>
  <c r="BK118" i="37"/>
  <c r="BG118" i="37"/>
  <c r="BC118" i="37"/>
  <c r="AQ118" i="37"/>
  <c r="CK117" i="37"/>
  <c r="BY117" i="37"/>
  <c r="BH117" i="37"/>
  <c r="CJ116" i="37"/>
  <c r="BX116" i="37"/>
  <c r="BE116" i="37"/>
  <c r="AL115" i="37"/>
  <c r="AP115" i="37"/>
  <c r="AT115" i="37"/>
  <c r="BB115" i="37"/>
  <c r="BF115" i="37"/>
  <c r="BJ115" i="37"/>
  <c r="BV115" i="37"/>
  <c r="BZ115" i="37"/>
  <c r="CH115" i="37"/>
  <c r="CL115" i="37"/>
  <c r="CP115" i="37"/>
  <c r="AM115" i="37"/>
  <c r="AQ115" i="37"/>
  <c r="BC115" i="37"/>
  <c r="BG115" i="37"/>
  <c r="BK115" i="37"/>
  <c r="BS115" i="37"/>
  <c r="BW115" i="37"/>
  <c r="CA115" i="37"/>
  <c r="CI115" i="37"/>
  <c r="CM115" i="37"/>
  <c r="AL116" i="37"/>
  <c r="AP116" i="37"/>
  <c r="AT116" i="37"/>
  <c r="BB116" i="37"/>
  <c r="BF116" i="37"/>
  <c r="BJ116" i="37"/>
  <c r="BV116" i="37"/>
  <c r="BZ116" i="37"/>
  <c r="CH116" i="37"/>
  <c r="CL116" i="37"/>
  <c r="CP116" i="37"/>
  <c r="AM116" i="37"/>
  <c r="AQ116" i="37"/>
  <c r="BC116" i="37"/>
  <c r="BG116" i="37"/>
  <c r="BK116" i="37"/>
  <c r="BS116" i="37"/>
  <c r="BW116" i="37"/>
  <c r="CA116" i="37"/>
  <c r="CI116" i="37"/>
  <c r="CM116" i="37"/>
  <c r="AL117" i="37"/>
  <c r="AP117" i="37"/>
  <c r="AT117" i="37"/>
  <c r="BB117" i="37"/>
  <c r="BF117" i="37"/>
  <c r="BJ117" i="37"/>
  <c r="BV117" i="37"/>
  <c r="BZ117" i="37"/>
  <c r="CH117" i="37"/>
  <c r="CL117" i="37"/>
  <c r="CP117" i="37"/>
  <c r="AM117" i="37"/>
  <c r="AQ117" i="37"/>
  <c r="BC117" i="37"/>
  <c r="BG117" i="37"/>
  <c r="BK117" i="37"/>
  <c r="BS117" i="37"/>
  <c r="BW117" i="37"/>
  <c r="CA117" i="37"/>
  <c r="CI117" i="37"/>
  <c r="BT116" i="37"/>
  <c r="BI116" i="37"/>
  <c r="BA116" i="37"/>
  <c r="AR116" i="37"/>
  <c r="CM113" i="37"/>
  <c r="CI113" i="37"/>
  <c r="CA113" i="37"/>
  <c r="BW113" i="37"/>
  <c r="BS113" i="37"/>
  <c r="BK113" i="37"/>
  <c r="BG113" i="37"/>
  <c r="BC113" i="37"/>
  <c r="AQ113" i="37"/>
  <c r="AM113" i="37"/>
  <c r="CM112" i="37"/>
  <c r="CI112" i="37"/>
  <c r="CA112" i="37"/>
  <c r="BW112" i="37"/>
  <c r="BS112" i="37"/>
  <c r="BK112" i="37"/>
  <c r="BG112" i="37"/>
  <c r="BC112" i="37"/>
  <c r="AQ112" i="37"/>
  <c r="AM112" i="37"/>
  <c r="CM111" i="37"/>
  <c r="CI111" i="37"/>
  <c r="CA111" i="37"/>
  <c r="BW111" i="37"/>
  <c r="BS111" i="37"/>
  <c r="BK111" i="37"/>
  <c r="BG111" i="37"/>
  <c r="BC111" i="37"/>
  <c r="AQ111" i="37"/>
  <c r="AM111" i="37"/>
  <c r="CA110" i="37"/>
  <c r="BW110" i="37"/>
  <c r="BS110" i="37"/>
  <c r="BK110" i="37"/>
  <c r="BG110" i="37"/>
  <c r="BC110" i="37"/>
  <c r="AQ110" i="37"/>
  <c r="AM110" i="37"/>
  <c r="AQ109" i="37"/>
  <c r="AM109" i="37"/>
  <c r="CP113" i="37"/>
  <c r="CL113" i="37"/>
  <c r="CH113" i="37"/>
  <c r="BZ113" i="37"/>
  <c r="BV113" i="37"/>
  <c r="BJ113" i="37"/>
  <c r="BF113" i="37"/>
  <c r="BB113" i="37"/>
  <c r="AT113" i="37"/>
  <c r="AP113" i="37"/>
  <c r="CP112" i="37"/>
  <c r="CL112" i="37"/>
  <c r="CH112" i="37"/>
  <c r="BZ112" i="37"/>
  <c r="BV112" i="37"/>
  <c r="BJ112" i="37"/>
  <c r="BF112" i="37"/>
  <c r="BB112" i="37"/>
  <c r="AT112" i="37"/>
  <c r="AP112" i="37"/>
  <c r="CP111" i="37"/>
  <c r="CL111" i="37"/>
  <c r="CH111" i="37"/>
  <c r="BZ111" i="37"/>
  <c r="BV111" i="37"/>
  <c r="BJ111" i="37"/>
  <c r="BF111" i="37"/>
  <c r="BB111" i="37"/>
  <c r="AT111" i="37"/>
  <c r="AP111" i="37"/>
  <c r="BJ110" i="37"/>
  <c r="BF110" i="37"/>
  <c r="BB110" i="37"/>
  <c r="AT110" i="37"/>
  <c r="AP110" i="37"/>
  <c r="AP109" i="37"/>
  <c r="AQ86" i="37"/>
  <c r="AM86" i="37"/>
  <c r="AP86" i="37"/>
  <c r="AN54" i="37"/>
  <c r="AR54" i="37"/>
  <c r="BD54" i="37"/>
  <c r="BH54" i="37"/>
  <c r="BL54" i="37"/>
  <c r="BT54" i="37"/>
  <c r="BX54" i="37"/>
  <c r="CJ54" i="37"/>
  <c r="CN54" i="37"/>
  <c r="AS53" i="37"/>
  <c r="AL42" i="37"/>
  <c r="AP42" i="37"/>
  <c r="AT42" i="37"/>
  <c r="BB42" i="37"/>
  <c r="BF42" i="37"/>
  <c r="BJ42" i="37"/>
  <c r="BV42" i="37"/>
  <c r="BZ42" i="37"/>
  <c r="CH42" i="37"/>
  <c r="CL42" i="37"/>
  <c r="CP42" i="37"/>
  <c r="AM42" i="37"/>
  <c r="AQ42" i="37"/>
  <c r="BC42" i="37"/>
  <c r="BG42" i="37"/>
  <c r="BK42" i="37"/>
  <c r="BS42" i="37"/>
  <c r="BW42" i="37"/>
  <c r="CA42" i="37"/>
  <c r="CI42" i="37"/>
  <c r="CM42" i="37"/>
  <c r="AN42" i="37"/>
  <c r="BE42" i="37"/>
  <c r="BX42" i="37"/>
  <c r="CJ42" i="37"/>
  <c r="AR42" i="37"/>
  <c r="BA42" i="37"/>
  <c r="BI42" i="37"/>
  <c r="BT42" i="37"/>
  <c r="CN42" i="37"/>
  <c r="AO42" i="37"/>
  <c r="BD42" i="37"/>
  <c r="AS42" i="37"/>
  <c r="BH42" i="37"/>
  <c r="BU42" i="37"/>
  <c r="CK42" i="37"/>
  <c r="BL42" i="37"/>
  <c r="BY42" i="37"/>
  <c r="CO42" i="37"/>
  <c r="CP60" i="37"/>
  <c r="CL60" i="37"/>
  <c r="CH60" i="37"/>
  <c r="BZ60" i="37"/>
  <c r="BV60" i="37"/>
  <c r="BJ60" i="37"/>
  <c r="BF60" i="37"/>
  <c r="BB60" i="37"/>
  <c r="AT60" i="37"/>
  <c r="AP60" i="37"/>
  <c r="AL60" i="37"/>
  <c r="CP59" i="37"/>
  <c r="CL59" i="37"/>
  <c r="CH59" i="37"/>
  <c r="BZ59" i="37"/>
  <c r="BV59" i="37"/>
  <c r="BJ59" i="37"/>
  <c r="BF59" i="37"/>
  <c r="BB59" i="37"/>
  <c r="AT59" i="37"/>
  <c r="AP59" i="37"/>
  <c r="AL59" i="37"/>
  <c r="CP58" i="37"/>
  <c r="CL58" i="37"/>
  <c r="CH58" i="37"/>
  <c r="BZ58" i="37"/>
  <c r="BV58" i="37"/>
  <c r="BJ58" i="37"/>
  <c r="BF58" i="37"/>
  <c r="BB58" i="37"/>
  <c r="AT58" i="37"/>
  <c r="AP58" i="37"/>
  <c r="AL58" i="37"/>
  <c r="CP57" i="37"/>
  <c r="CL57" i="37"/>
  <c r="CH57" i="37"/>
  <c r="BZ57" i="37"/>
  <c r="BV57" i="37"/>
  <c r="BJ57" i="37"/>
  <c r="BF57" i="37"/>
  <c r="BB57" i="37"/>
  <c r="AT57" i="37"/>
  <c r="AP57" i="37"/>
  <c r="AL57" i="37"/>
  <c r="CP56" i="37"/>
  <c r="CL56" i="37"/>
  <c r="CH56" i="37"/>
  <c r="BZ56" i="37"/>
  <c r="BV56" i="37"/>
  <c r="BJ56" i="37"/>
  <c r="BE56" i="37"/>
  <c r="AQ56" i="37"/>
  <c r="AN55" i="37"/>
  <c r="AR55" i="37"/>
  <c r="BD55" i="37"/>
  <c r="BH55" i="37"/>
  <c r="BL55" i="37"/>
  <c r="BT55" i="37"/>
  <c r="BX55" i="37"/>
  <c r="CJ55" i="37"/>
  <c r="CN55" i="37"/>
  <c r="CO54" i="37"/>
  <c r="CI54" i="37"/>
  <c r="CA54" i="37"/>
  <c r="BV54" i="37"/>
  <c r="BG54" i="37"/>
  <c r="BB54" i="37"/>
  <c r="AT54" i="37"/>
  <c r="AO54" i="37"/>
  <c r="CM53" i="37"/>
  <c r="CH53" i="37"/>
  <c r="BZ53" i="37"/>
  <c r="BU53" i="37"/>
  <c r="BK53" i="37"/>
  <c r="BF53" i="37"/>
  <c r="BA53" i="37"/>
  <c r="CK52" i="37"/>
  <c r="CA52" i="37"/>
  <c r="BS52" i="37"/>
  <c r="BI52" i="37"/>
  <c r="BA52" i="37"/>
  <c r="AQ52" i="37"/>
  <c r="BX49" i="37"/>
  <c r="BK49" i="37"/>
  <c r="AP54" i="37"/>
  <c r="AN53" i="37"/>
  <c r="AR53" i="37"/>
  <c r="BD53" i="37"/>
  <c r="BH53" i="37"/>
  <c r="BL53" i="37"/>
  <c r="BT53" i="37"/>
  <c r="BX53" i="37"/>
  <c r="CJ53" i="37"/>
  <c r="CN53" i="37"/>
  <c r="AL53" i="37"/>
  <c r="AP53" i="37"/>
  <c r="AT53" i="37"/>
  <c r="AS52" i="37"/>
  <c r="AN56" i="37"/>
  <c r="AR56" i="37"/>
  <c r="BD56" i="37"/>
  <c r="BH56" i="37"/>
  <c r="CM54" i="37"/>
  <c r="CH54" i="37"/>
  <c r="BZ54" i="37"/>
  <c r="BU54" i="37"/>
  <c r="BK54" i="37"/>
  <c r="BF54" i="37"/>
  <c r="BA54" i="37"/>
  <c r="AS54" i="37"/>
  <c r="AM54" i="37"/>
  <c r="CL53" i="37"/>
  <c r="BY53" i="37"/>
  <c r="BS53" i="37"/>
  <c r="BJ53" i="37"/>
  <c r="BE53" i="37"/>
  <c r="AO53" i="37"/>
  <c r="CI52" i="37"/>
  <c r="BY52" i="37"/>
  <c r="BG52" i="37"/>
  <c r="AL49" i="37"/>
  <c r="AP49" i="37"/>
  <c r="AT49" i="37"/>
  <c r="BB49" i="37"/>
  <c r="BF49" i="37"/>
  <c r="BJ49" i="37"/>
  <c r="BV49" i="37"/>
  <c r="BZ49" i="37"/>
  <c r="CH49" i="37"/>
  <c r="CL49" i="37"/>
  <c r="CP49" i="37"/>
  <c r="AM49" i="37"/>
  <c r="AR49" i="37"/>
  <c r="BA49" i="37"/>
  <c r="BG49" i="37"/>
  <c r="BL49" i="37"/>
  <c r="BT49" i="37"/>
  <c r="BY49" i="37"/>
  <c r="CI49" i="37"/>
  <c r="CN49" i="37"/>
  <c r="AN49" i="37"/>
  <c r="AS49" i="37"/>
  <c r="BC49" i="37"/>
  <c r="BH49" i="37"/>
  <c r="BU49" i="37"/>
  <c r="CA49" i="37"/>
  <c r="CJ49" i="37"/>
  <c r="CO49" i="37"/>
  <c r="AO49" i="37"/>
  <c r="BD49" i="37"/>
  <c r="BI49" i="37"/>
  <c r="BW49" i="37"/>
  <c r="CK49" i="37"/>
  <c r="AN52" i="37"/>
  <c r="AR52" i="37"/>
  <c r="BD52" i="37"/>
  <c r="BH52" i="37"/>
  <c r="BL52" i="37"/>
  <c r="BT52" i="37"/>
  <c r="BX52" i="37"/>
  <c r="CJ52" i="37"/>
  <c r="CN52" i="37"/>
  <c r="AL52" i="37"/>
  <c r="AP52" i="37"/>
  <c r="AT52" i="37"/>
  <c r="BB52" i="37"/>
  <c r="BF52" i="37"/>
  <c r="BJ52" i="37"/>
  <c r="BV52" i="37"/>
  <c r="BZ52" i="37"/>
  <c r="CH52" i="37"/>
  <c r="CL52" i="37"/>
  <c r="CP52" i="37"/>
  <c r="CN60" i="37"/>
  <c r="CJ60" i="37"/>
  <c r="BX60" i="37"/>
  <c r="BT60" i="37"/>
  <c r="BL60" i="37"/>
  <c r="BH60" i="37"/>
  <c r="BD60" i="37"/>
  <c r="AR60" i="37"/>
  <c r="CN59" i="37"/>
  <c r="CJ59" i="37"/>
  <c r="BX59" i="37"/>
  <c r="BT59" i="37"/>
  <c r="BL59" i="37"/>
  <c r="BH59" i="37"/>
  <c r="BD59" i="37"/>
  <c r="AR59" i="37"/>
  <c r="CN58" i="37"/>
  <c r="CJ58" i="37"/>
  <c r="BX58" i="37"/>
  <c r="BT58" i="37"/>
  <c r="BL58" i="37"/>
  <c r="BH58" i="37"/>
  <c r="BD58" i="37"/>
  <c r="AR58" i="37"/>
  <c r="CN57" i="37"/>
  <c r="CJ57" i="37"/>
  <c r="BX57" i="37"/>
  <c r="BT57" i="37"/>
  <c r="BL57" i="37"/>
  <c r="BH57" i="37"/>
  <c r="BD57" i="37"/>
  <c r="AR57" i="37"/>
  <c r="CN56" i="37"/>
  <c r="CJ56" i="37"/>
  <c r="BX56" i="37"/>
  <c r="BT56" i="37"/>
  <c r="BL56" i="37"/>
  <c r="BG56" i="37"/>
  <c r="BB56" i="37"/>
  <c r="AT56" i="37"/>
  <c r="AO56" i="37"/>
  <c r="BF55" i="37"/>
  <c r="BA55" i="37"/>
  <c r="AS55" i="37"/>
  <c r="AM55" i="37"/>
  <c r="CL54" i="37"/>
  <c r="BY54" i="37"/>
  <c r="BS54" i="37"/>
  <c r="BJ54" i="37"/>
  <c r="BE54" i="37"/>
  <c r="AQ54" i="37"/>
  <c r="AL54" i="37"/>
  <c r="CP53" i="37"/>
  <c r="CK53" i="37"/>
  <c r="BW53" i="37"/>
  <c r="BI53" i="37"/>
  <c r="BC53" i="37"/>
  <c r="AM53" i="37"/>
  <c r="CO52" i="37"/>
  <c r="BW52" i="37"/>
  <c r="BE52" i="37"/>
  <c r="AM52" i="37"/>
  <c r="CP51" i="37"/>
  <c r="CL51" i="37"/>
  <c r="CH51" i="37"/>
  <c r="BZ51" i="37"/>
  <c r="BV51" i="37"/>
  <c r="BJ51" i="37"/>
  <c r="BF51" i="37"/>
  <c r="BA51" i="37"/>
  <c r="AR51" i="37"/>
  <c r="AL48" i="37"/>
  <c r="AP48" i="37"/>
  <c r="AT48" i="37"/>
  <c r="BB48" i="37"/>
  <c r="BF48" i="37"/>
  <c r="BJ48" i="37"/>
  <c r="BV48" i="37"/>
  <c r="BZ48" i="37"/>
  <c r="CH48" i="37"/>
  <c r="CL48" i="37"/>
  <c r="CP48" i="37"/>
  <c r="CN47" i="37"/>
  <c r="CI47" i="37"/>
  <c r="BY47" i="37"/>
  <c r="BT47" i="37"/>
  <c r="BL47" i="37"/>
  <c r="BG47" i="37"/>
  <c r="BA47" i="37"/>
  <c r="AR47" i="37"/>
  <c r="BI45" i="37"/>
  <c r="BD45" i="37"/>
  <c r="AL44" i="37"/>
  <c r="AP44" i="37"/>
  <c r="AT44" i="37"/>
  <c r="BB44" i="37"/>
  <c r="BF44" i="37"/>
  <c r="BJ44" i="37"/>
  <c r="BV44" i="37"/>
  <c r="BZ44" i="37"/>
  <c r="CH44" i="37"/>
  <c r="CL44" i="37"/>
  <c r="AM44" i="37"/>
  <c r="AR44" i="37"/>
  <c r="BA44" i="37"/>
  <c r="BG44" i="37"/>
  <c r="BL44" i="37"/>
  <c r="BT44" i="37"/>
  <c r="BY44" i="37"/>
  <c r="CI44" i="37"/>
  <c r="CN44" i="37"/>
  <c r="AO44" i="37"/>
  <c r="BD44" i="37"/>
  <c r="BI44" i="37"/>
  <c r="BW44" i="37"/>
  <c r="CK44" i="37"/>
  <c r="CP44" i="37"/>
  <c r="AL51" i="37"/>
  <c r="AP51" i="37"/>
  <c r="AT51" i="37"/>
  <c r="BB51" i="37"/>
  <c r="AL47" i="37"/>
  <c r="AP47" i="37"/>
  <c r="AT47" i="37"/>
  <c r="BB47" i="37"/>
  <c r="BF47" i="37"/>
  <c r="BJ47" i="37"/>
  <c r="BV47" i="37"/>
  <c r="BZ47" i="37"/>
  <c r="CH47" i="37"/>
  <c r="CL47" i="37"/>
  <c r="CP47" i="37"/>
  <c r="AN45" i="37"/>
  <c r="AR45" i="37"/>
  <c r="AL45" i="37"/>
  <c r="AP45" i="37"/>
  <c r="AT45" i="37"/>
  <c r="BB45" i="37"/>
  <c r="BF45" i="37"/>
  <c r="BJ45" i="37"/>
  <c r="BV45" i="37"/>
  <c r="BZ45" i="37"/>
  <c r="CH45" i="37"/>
  <c r="CL45" i="37"/>
  <c r="CP45" i="37"/>
  <c r="CN51" i="37"/>
  <c r="CJ51" i="37"/>
  <c r="BX51" i="37"/>
  <c r="BT51" i="37"/>
  <c r="BL51" i="37"/>
  <c r="BH51" i="37"/>
  <c r="BD51" i="37"/>
  <c r="AO51" i="37"/>
  <c r="AL50" i="37"/>
  <c r="AP50" i="37"/>
  <c r="AT50" i="37"/>
  <c r="BB50" i="37"/>
  <c r="BF50" i="37"/>
  <c r="BJ50" i="37"/>
  <c r="BV50" i="37"/>
  <c r="BZ50" i="37"/>
  <c r="CH50" i="37"/>
  <c r="CL50" i="37"/>
  <c r="CP50" i="37"/>
  <c r="CO48" i="37"/>
  <c r="CJ48" i="37"/>
  <c r="CA48" i="37"/>
  <c r="BU48" i="37"/>
  <c r="BH48" i="37"/>
  <c r="BC48" i="37"/>
  <c r="AS48" i="37"/>
  <c r="AN48" i="37"/>
  <c r="CK47" i="37"/>
  <c r="BW47" i="37"/>
  <c r="BI47" i="37"/>
  <c r="BD47" i="37"/>
  <c r="AO47" i="37"/>
  <c r="AL46" i="37"/>
  <c r="AP46" i="37"/>
  <c r="AT46" i="37"/>
  <c r="BB46" i="37"/>
  <c r="BF46" i="37"/>
  <c r="BJ46" i="37"/>
  <c r="BV46" i="37"/>
  <c r="BZ46" i="37"/>
  <c r="CH46" i="37"/>
  <c r="CL46" i="37"/>
  <c r="CP46" i="37"/>
  <c r="CN45" i="37"/>
  <c r="CI45" i="37"/>
  <c r="BY45" i="37"/>
  <c r="BT45" i="37"/>
  <c r="BL45" i="37"/>
  <c r="BG45" i="37"/>
  <c r="BA45" i="37"/>
  <c r="AQ45" i="37"/>
  <c r="CJ44" i="37"/>
  <c r="BX44" i="37"/>
  <c r="BC44" i="37"/>
  <c r="AQ44" i="37"/>
  <c r="AL43" i="37"/>
  <c r="AP43" i="37"/>
  <c r="AT43" i="37"/>
  <c r="BB43" i="37"/>
  <c r="BF43" i="37"/>
  <c r="BJ43" i="37"/>
  <c r="BV43" i="37"/>
  <c r="BZ43" i="37"/>
  <c r="CH43" i="37"/>
  <c r="CL43" i="37"/>
  <c r="CP43" i="37"/>
  <c r="AM43" i="37"/>
  <c r="AQ43" i="37"/>
  <c r="BC43" i="37"/>
  <c r="BG43" i="37"/>
  <c r="BK43" i="37"/>
  <c r="BS43" i="37"/>
  <c r="BW43" i="37"/>
  <c r="CA43" i="37"/>
  <c r="CK41" i="37"/>
  <c r="BY41" i="37"/>
  <c r="BH41" i="37"/>
  <c r="AL41" i="37"/>
  <c r="AP41" i="37"/>
  <c r="AT41" i="37"/>
  <c r="BB41" i="37"/>
  <c r="BF41" i="37"/>
  <c r="BJ41" i="37"/>
  <c r="BV41" i="37"/>
  <c r="BZ41" i="37"/>
  <c r="CH41" i="37"/>
  <c r="CL41" i="37"/>
  <c r="CP41" i="37"/>
  <c r="AM41" i="37"/>
  <c r="AQ41" i="37"/>
  <c r="BC41" i="37"/>
  <c r="BG41" i="37"/>
  <c r="BK41" i="37"/>
  <c r="BS41" i="37"/>
  <c r="BW41" i="37"/>
  <c r="CA41" i="37"/>
  <c r="CI41" i="37"/>
  <c r="CM41" i="37"/>
  <c r="CM40" i="37"/>
  <c r="CI40" i="37"/>
  <c r="CA40" i="37"/>
  <c r="BW40" i="37"/>
  <c r="BS40" i="37"/>
  <c r="BK40" i="37"/>
  <c r="BG40" i="37"/>
  <c r="BC40" i="37"/>
  <c r="AQ40" i="37"/>
  <c r="AM40" i="37"/>
  <c r="CM39" i="37"/>
  <c r="CI39" i="37"/>
  <c r="CA39" i="37"/>
  <c r="BW39" i="37"/>
  <c r="BS39" i="37"/>
  <c r="BK39" i="37"/>
  <c r="BG39" i="37"/>
  <c r="BC39" i="37"/>
  <c r="AQ39" i="37"/>
  <c r="AM39" i="37"/>
  <c r="BK38" i="37"/>
  <c r="BG38" i="37"/>
  <c r="BC38" i="37"/>
  <c r="AQ38" i="37"/>
  <c r="AM38" i="37"/>
  <c r="AQ37" i="37"/>
  <c r="AM37" i="37"/>
  <c r="AQ36" i="37"/>
  <c r="AM36" i="37"/>
  <c r="AM35" i="37"/>
  <c r="CP40" i="37"/>
  <c r="CL40" i="37"/>
  <c r="CH40" i="37"/>
  <c r="BZ40" i="37"/>
  <c r="BV40" i="37"/>
  <c r="BJ40" i="37"/>
  <c r="BF40" i="37"/>
  <c r="BB40" i="37"/>
  <c r="AT40" i="37"/>
  <c r="AP40" i="37"/>
  <c r="CP39" i="37"/>
  <c r="CL39" i="37"/>
  <c r="CH39" i="37"/>
  <c r="BZ39" i="37"/>
  <c r="BV39" i="37"/>
  <c r="BJ39" i="37"/>
  <c r="BF39" i="37"/>
  <c r="BB39" i="37"/>
  <c r="AT39" i="37"/>
  <c r="AP39" i="37"/>
  <c r="CP38" i="37"/>
  <c r="CL38" i="37"/>
  <c r="CH38" i="37"/>
  <c r="BZ38" i="37"/>
  <c r="BV38" i="37"/>
  <c r="BJ38" i="37"/>
  <c r="BF38" i="37"/>
  <c r="BB38" i="37"/>
  <c r="AT38" i="37"/>
  <c r="AP38" i="37"/>
  <c r="BJ37" i="37"/>
  <c r="BF37" i="37"/>
  <c r="BB37" i="37"/>
  <c r="AT37" i="37"/>
  <c r="AP37" i="37"/>
  <c r="AP36" i="37"/>
  <c r="AQ15" i="37"/>
  <c r="AQ14" i="37"/>
  <c r="AQ13" i="37"/>
  <c r="AQ12" i="37"/>
  <c r="AM12" i="37"/>
  <c r="X126" i="28"/>
  <c r="U126" i="28"/>
  <c r="L247" i="28" l="1"/>
  <c r="O161" i="28"/>
  <c r="O203" i="28"/>
  <c r="O307" i="28"/>
  <c r="O201" i="28"/>
  <c r="O205" i="28"/>
  <c r="O202" i="28"/>
  <c r="O206" i="28"/>
  <c r="O204" i="28"/>
  <c r="R112" i="28"/>
  <c r="R116" i="28"/>
  <c r="M197" i="28"/>
  <c r="F101" i="28" l="1"/>
  <c r="O378" i="28" l="1"/>
  <c r="CV11" i="37" l="1"/>
  <c r="CU11" i="37"/>
  <c r="CT11" i="37"/>
  <c r="CS11" i="37"/>
  <c r="CR11" i="37"/>
  <c r="CQ11" i="37"/>
  <c r="CF11" i="37"/>
  <c r="CG11" i="37"/>
  <c r="CE11" i="37"/>
  <c r="CD11" i="37"/>
  <c r="CC11" i="37"/>
  <c r="CB11" i="37"/>
  <c r="M377" i="28" l="1"/>
  <c r="M194" i="28"/>
  <c r="M191" i="28"/>
  <c r="M188" i="28"/>
  <c r="M185" i="28"/>
  <c r="O194" i="28"/>
  <c r="O191" i="28"/>
  <c r="O176" i="28"/>
  <c r="O172" i="28"/>
  <c r="M370" i="28" l="1"/>
  <c r="M369" i="28"/>
  <c r="M203" i="28" l="1"/>
  <c r="M202" i="28"/>
  <c r="N70" i="28" l="1"/>
  <c r="N57" i="28"/>
  <c r="N55" i="28" l="1"/>
  <c r="O343" i="28"/>
  <c r="O339" i="28"/>
  <c r="M196" i="28" l="1"/>
  <c r="M195" i="28"/>
  <c r="S483" i="28" l="1"/>
  <c r="Q483" i="28"/>
  <c r="O483" i="28"/>
  <c r="S482" i="28"/>
  <c r="Q482" i="28"/>
  <c r="S481" i="28"/>
  <c r="Q481" i="28"/>
  <c r="O481" i="28"/>
  <c r="S480" i="28"/>
  <c r="Q480" i="28"/>
  <c r="Y477" i="28"/>
  <c r="W477" i="28"/>
  <c r="U477" i="28"/>
  <c r="S477" i="28"/>
  <c r="Q477" i="28"/>
  <c r="O477" i="28"/>
  <c r="Y476" i="28"/>
  <c r="W476" i="28"/>
  <c r="U476" i="28"/>
  <c r="S476" i="28"/>
  <c r="Q476" i="28"/>
  <c r="Y475" i="28"/>
  <c r="W475" i="28"/>
  <c r="U475" i="28"/>
  <c r="S475" i="28"/>
  <c r="Q475" i="28"/>
  <c r="O475" i="28"/>
  <c r="Y474" i="28"/>
  <c r="W474" i="28"/>
  <c r="U474" i="28"/>
  <c r="S474" i="28"/>
  <c r="Q474" i="28"/>
  <c r="O482" i="28"/>
  <c r="O480" i="28"/>
  <c r="O476" i="28"/>
  <c r="O474" i="28"/>
  <c r="S471" i="28"/>
  <c r="Q471" i="28"/>
  <c r="O471" i="28"/>
  <c r="S470" i="28"/>
  <c r="Q470" i="28"/>
  <c r="S469" i="28"/>
  <c r="Q469" i="28"/>
  <c r="O469" i="28"/>
  <c r="S468" i="28"/>
  <c r="Q468" i="28"/>
  <c r="Y465" i="28"/>
  <c r="W465" i="28"/>
  <c r="U465" i="28"/>
  <c r="S465" i="28"/>
  <c r="Q465" i="28"/>
  <c r="O465" i="28"/>
  <c r="Y464" i="28"/>
  <c r="W464" i="28"/>
  <c r="U464" i="28"/>
  <c r="S464" i="28"/>
  <c r="Q464" i="28"/>
  <c r="Y463" i="28"/>
  <c r="W463" i="28"/>
  <c r="U463" i="28"/>
  <c r="S463" i="28"/>
  <c r="Q463" i="28"/>
  <c r="O463" i="28"/>
  <c r="Y462" i="28"/>
  <c r="W462" i="28"/>
  <c r="U462" i="28"/>
  <c r="S462" i="28"/>
  <c r="Q462" i="28"/>
  <c r="O470" i="28"/>
  <c r="O468" i="28"/>
  <c r="O464" i="28"/>
  <c r="O462" i="28"/>
  <c r="S445" i="28"/>
  <c r="Q445" i="28"/>
  <c r="O445" i="28"/>
  <c r="S444" i="28"/>
  <c r="Q444" i="28"/>
  <c r="S443" i="28"/>
  <c r="Q443" i="28"/>
  <c r="O443" i="28"/>
  <c r="S442" i="28"/>
  <c r="Q442" i="28"/>
  <c r="O444" i="28"/>
  <c r="O442" i="28"/>
  <c r="Y439" i="28"/>
  <c r="W439" i="28"/>
  <c r="U439" i="28"/>
  <c r="S439" i="28"/>
  <c r="Q439" i="28"/>
  <c r="O439" i="28"/>
  <c r="Y438" i="28"/>
  <c r="W438" i="28"/>
  <c r="U438" i="28"/>
  <c r="S438" i="28"/>
  <c r="Q438" i="28"/>
  <c r="Y437" i="28"/>
  <c r="W437" i="28"/>
  <c r="U437" i="28"/>
  <c r="S437" i="28"/>
  <c r="Q437" i="28"/>
  <c r="O437" i="28"/>
  <c r="Y436" i="28"/>
  <c r="W436" i="28"/>
  <c r="U436" i="28"/>
  <c r="S436" i="28"/>
  <c r="Q436" i="28"/>
  <c r="O438" i="28"/>
  <c r="O436" i="28"/>
  <c r="S433" i="28"/>
  <c r="Q433" i="28"/>
  <c r="O433" i="28"/>
  <c r="S432" i="28"/>
  <c r="Q432" i="28"/>
  <c r="S431" i="28"/>
  <c r="Q431" i="28"/>
  <c r="O431" i="28"/>
  <c r="S430" i="28"/>
  <c r="Q430" i="28"/>
  <c r="O432" i="28"/>
  <c r="O430" i="28"/>
  <c r="Y427" i="28"/>
  <c r="W427" i="28"/>
  <c r="U427" i="28"/>
  <c r="S427" i="28"/>
  <c r="Q427" i="28"/>
  <c r="O427" i="28"/>
  <c r="Y426" i="28"/>
  <c r="W426" i="28"/>
  <c r="U426" i="28"/>
  <c r="S426" i="28"/>
  <c r="Q426" i="28"/>
  <c r="O426" i="28"/>
  <c r="Y425" i="28"/>
  <c r="W425" i="28"/>
  <c r="U425" i="28"/>
  <c r="S425" i="28"/>
  <c r="Q425" i="28"/>
  <c r="O425" i="28"/>
  <c r="Y424" i="28"/>
  <c r="W424" i="28"/>
  <c r="U424" i="28"/>
  <c r="S424" i="28"/>
  <c r="Q424" i="28"/>
  <c r="O424" i="28"/>
  <c r="X239" i="28"/>
  <c r="U239" i="28"/>
  <c r="R239" i="28"/>
  <c r="O239" i="28"/>
  <c r="X238" i="28"/>
  <c r="U238" i="28"/>
  <c r="R238" i="28"/>
  <c r="O238" i="28"/>
  <c r="X235" i="28"/>
  <c r="U235" i="28"/>
  <c r="R235" i="28"/>
  <c r="O235" i="28"/>
  <c r="X234" i="28"/>
  <c r="U234" i="28"/>
  <c r="R234" i="28"/>
  <c r="O234" i="28"/>
  <c r="X231" i="28"/>
  <c r="U231" i="28"/>
  <c r="R231" i="28"/>
  <c r="O231" i="28"/>
  <c r="X230" i="28"/>
  <c r="U230" i="28"/>
  <c r="R230" i="28"/>
  <c r="O230" i="28"/>
  <c r="X227" i="28"/>
  <c r="U227" i="28"/>
  <c r="R227" i="28"/>
  <c r="O227" i="28"/>
  <c r="X226" i="28"/>
  <c r="U226" i="28"/>
  <c r="R226" i="28"/>
  <c r="O226" i="28"/>
  <c r="F2" i="37" l="1"/>
  <c r="F2" i="36"/>
  <c r="BR11" i="37"/>
  <c r="BQ11" i="37"/>
  <c r="BP11" i="37"/>
  <c r="BO11" i="37"/>
  <c r="BN11" i="37"/>
  <c r="BM11" i="37"/>
  <c r="AZ11" i="37"/>
  <c r="AY11" i="37"/>
  <c r="AX11" i="37"/>
  <c r="AW11" i="37"/>
  <c r="AV11" i="37"/>
  <c r="AU11" i="37"/>
  <c r="AK11" i="37"/>
  <c r="AJ11" i="37"/>
  <c r="AI11" i="37"/>
  <c r="AH11" i="37"/>
  <c r="AG11" i="37"/>
  <c r="CP11" i="37" l="1"/>
  <c r="CN11" i="37"/>
  <c r="CL11" i="37"/>
  <c r="CJ11" i="37"/>
  <c r="CH11" i="37"/>
  <c r="BZ11" i="37"/>
  <c r="BX11" i="37"/>
  <c r="BV11" i="37"/>
  <c r="Q204" i="37" s="1"/>
  <c r="BT11" i="37"/>
  <c r="CO11" i="37"/>
  <c r="CM11" i="37"/>
  <c r="CK11" i="37"/>
  <c r="CI11" i="37"/>
  <c r="CA11" i="37"/>
  <c r="BY11" i="37"/>
  <c r="BW11" i="37"/>
  <c r="BU11" i="37"/>
  <c r="BS11" i="37"/>
  <c r="U204" i="37"/>
  <c r="AA204" i="37"/>
  <c r="W204" i="37"/>
  <c r="Y204" i="37"/>
  <c r="AL11" i="37"/>
  <c r="AT11" i="37"/>
  <c r="S167" i="37"/>
  <c r="BH11" i="37"/>
  <c r="S185" i="37" s="1"/>
  <c r="W185" i="37"/>
  <c r="S204" i="37"/>
  <c r="AP11" i="37"/>
  <c r="BD11" i="37"/>
  <c r="BL11" i="37"/>
  <c r="AA185" i="37" s="1"/>
  <c r="AA167" i="37"/>
  <c r="BK11" i="37"/>
  <c r="Y185" i="37" s="1"/>
  <c r="BI11" i="37"/>
  <c r="BG11" i="37"/>
  <c r="BE11" i="37"/>
  <c r="BC11" i="37"/>
  <c r="BA11" i="37"/>
  <c r="AS11" i="37"/>
  <c r="Y167" i="37" s="1"/>
  <c r="AQ11" i="37"/>
  <c r="AO11" i="37"/>
  <c r="AM11" i="37"/>
  <c r="AN11" i="37"/>
  <c r="AR11" i="37"/>
  <c r="W167" i="37" s="1"/>
  <c r="BB11" i="37"/>
  <c r="BF11" i="37"/>
  <c r="BJ11" i="37"/>
  <c r="Q167" i="37"/>
  <c r="U185" i="37"/>
  <c r="U167" i="37"/>
  <c r="Q185" i="37"/>
  <c r="AA163" i="37" l="1"/>
  <c r="Y391" i="28" s="1"/>
  <c r="Q163" i="37"/>
  <c r="O391" i="28" s="1"/>
  <c r="Y163" i="37"/>
  <c r="W391" i="28" s="1"/>
  <c r="U165" i="37"/>
  <c r="S393" i="28" s="1"/>
  <c r="W181" i="37"/>
  <c r="U392" i="28" s="1"/>
  <c r="S183" i="37"/>
  <c r="Q394" i="28" s="1"/>
  <c r="W200" i="37"/>
  <c r="U405" i="28" s="1"/>
  <c r="S202" i="37"/>
  <c r="Q407" i="28" s="1"/>
  <c r="AA200" i="37"/>
  <c r="Y405" i="28" s="1"/>
  <c r="W183" i="37"/>
  <c r="S181" i="37"/>
  <c r="Q392" i="28" s="1"/>
  <c r="Q165" i="37"/>
  <c r="O393" i="28" s="1"/>
  <c r="S163" i="37"/>
  <c r="Q391" i="28" s="1"/>
  <c r="Q181" i="37"/>
  <c r="O392" i="28" s="1"/>
  <c r="Y181" i="37"/>
  <c r="W392" i="28" s="1"/>
  <c r="U183" i="37"/>
  <c r="S394" i="28" s="1"/>
  <c r="Q200" i="37"/>
  <c r="O405" i="28" s="1"/>
  <c r="Y200" i="37"/>
  <c r="W405" i="28" s="1"/>
  <c r="U202" i="37"/>
  <c r="S407" i="28" s="1"/>
  <c r="S200" i="37"/>
  <c r="Q405" i="28" s="1"/>
  <c r="AA181" i="37"/>
  <c r="Y392" i="28" s="1"/>
  <c r="Y222" i="37"/>
  <c r="U222" i="37"/>
  <c r="Q222" i="37"/>
  <c r="S220" i="37"/>
  <c r="Q408" i="28" s="1"/>
  <c r="AA218" i="37"/>
  <c r="Y406" i="28" s="1"/>
  <c r="W218" i="37"/>
  <c r="U406" i="28" s="1"/>
  <c r="S218" i="37"/>
  <c r="Q406" i="28" s="1"/>
  <c r="W222" i="37"/>
  <c r="U220" i="37"/>
  <c r="S408" i="28" s="1"/>
  <c r="Y218" i="37"/>
  <c r="W406" i="28" s="1"/>
  <c r="Q218" i="37"/>
  <c r="O406" i="28" s="1"/>
  <c r="S222" i="37"/>
  <c r="Q220" i="37"/>
  <c r="O408" i="28" s="1"/>
  <c r="U218" i="37"/>
  <c r="S406" i="28" s="1"/>
  <c r="AA222" i="37"/>
  <c r="U163" i="37"/>
  <c r="S391" i="28" s="1"/>
  <c r="W163" i="37"/>
  <c r="U391" i="28" s="1"/>
  <c r="S165" i="37"/>
  <c r="Q393" i="28" s="1"/>
  <c r="U181" i="37"/>
  <c r="S392" i="28" s="1"/>
  <c r="Q183" i="37"/>
  <c r="O394" i="28" s="1"/>
  <c r="U200" i="37"/>
  <c r="S405" i="28" s="1"/>
  <c r="Q202" i="37"/>
  <c r="O407" i="28" s="1"/>
  <c r="AE130" i="36" l="1"/>
  <c r="AD130" i="36"/>
  <c r="AC130" i="36"/>
  <c r="AB130" i="36"/>
  <c r="AA130" i="36"/>
  <c r="AE129" i="36"/>
  <c r="AD129" i="36"/>
  <c r="AC129" i="36"/>
  <c r="AB129" i="36"/>
  <c r="AA129" i="36"/>
  <c r="AE128" i="36"/>
  <c r="AD128" i="36"/>
  <c r="AC128" i="36"/>
  <c r="AB128" i="36"/>
  <c r="AA128" i="36"/>
  <c r="AE127" i="36"/>
  <c r="AD127" i="36"/>
  <c r="AC127" i="36"/>
  <c r="AB127" i="36"/>
  <c r="AA127" i="36"/>
  <c r="AE126" i="36"/>
  <c r="AD126" i="36"/>
  <c r="AC126" i="36"/>
  <c r="AB126" i="36"/>
  <c r="AA126" i="36"/>
  <c r="AE125" i="36"/>
  <c r="AD125" i="36"/>
  <c r="AC125" i="36"/>
  <c r="AB125" i="36"/>
  <c r="AA125" i="36"/>
  <c r="AE124" i="36"/>
  <c r="AD124" i="36"/>
  <c r="AC124" i="36"/>
  <c r="AB124" i="36"/>
  <c r="AA124" i="36"/>
  <c r="AE123" i="36"/>
  <c r="AD123" i="36"/>
  <c r="AC123" i="36"/>
  <c r="AB123" i="36"/>
  <c r="AA123" i="36"/>
  <c r="AE122" i="36"/>
  <c r="AD122" i="36"/>
  <c r="AC122" i="36"/>
  <c r="AB122" i="36"/>
  <c r="AA122" i="36"/>
  <c r="AE121" i="36"/>
  <c r="AD121" i="36"/>
  <c r="AC121" i="36"/>
  <c r="AB121" i="36"/>
  <c r="AA121" i="36"/>
  <c r="AE120" i="36"/>
  <c r="AD120" i="36"/>
  <c r="AC120" i="36"/>
  <c r="AB120" i="36"/>
  <c r="AA120" i="36"/>
  <c r="AE119" i="36"/>
  <c r="AD119" i="36"/>
  <c r="AC119" i="36"/>
  <c r="AB119" i="36"/>
  <c r="AA119" i="36"/>
  <c r="AE118" i="36"/>
  <c r="AD118" i="36"/>
  <c r="AC118" i="36"/>
  <c r="AB118" i="36"/>
  <c r="AA118" i="36"/>
  <c r="AE117" i="36"/>
  <c r="AD117" i="36"/>
  <c r="AC117" i="36"/>
  <c r="AB117" i="36"/>
  <c r="AA117" i="36"/>
  <c r="AE116" i="36"/>
  <c r="AD116" i="36"/>
  <c r="AC116" i="36"/>
  <c r="AB116" i="36"/>
  <c r="AA116" i="36"/>
  <c r="AE115" i="36"/>
  <c r="AD115" i="36"/>
  <c r="AC115" i="36"/>
  <c r="AB115" i="36"/>
  <c r="AA115" i="36"/>
  <c r="AE114" i="36"/>
  <c r="AD114" i="36"/>
  <c r="AC114" i="36"/>
  <c r="AB114" i="36"/>
  <c r="AA114" i="36"/>
  <c r="AE113" i="36"/>
  <c r="AD113" i="36"/>
  <c r="AC113" i="36"/>
  <c r="AB113" i="36"/>
  <c r="AA113" i="36"/>
  <c r="AE112" i="36"/>
  <c r="AD112" i="36"/>
  <c r="AC112" i="36"/>
  <c r="AB112" i="36"/>
  <c r="AA112" i="36"/>
  <c r="AE111" i="36"/>
  <c r="AD111" i="36"/>
  <c r="AC111" i="36"/>
  <c r="AB111" i="36"/>
  <c r="AA111" i="36"/>
  <c r="AE110" i="36"/>
  <c r="AD110" i="36"/>
  <c r="AC110" i="36"/>
  <c r="AB110" i="36"/>
  <c r="AA110" i="36"/>
  <c r="AE109" i="36"/>
  <c r="AD109" i="36"/>
  <c r="AC109" i="36"/>
  <c r="AB109" i="36"/>
  <c r="AA109" i="36"/>
  <c r="AE108" i="36"/>
  <c r="AD108" i="36"/>
  <c r="AC108" i="36"/>
  <c r="AB108" i="36"/>
  <c r="AA108" i="36"/>
  <c r="AE107" i="36"/>
  <c r="AD107" i="36"/>
  <c r="AC107" i="36"/>
  <c r="AB107" i="36"/>
  <c r="AA107" i="36"/>
  <c r="AE106" i="36"/>
  <c r="AD106" i="36"/>
  <c r="AC106" i="36"/>
  <c r="AB106" i="36"/>
  <c r="AA106" i="36"/>
  <c r="AE105" i="36"/>
  <c r="AD105" i="36"/>
  <c r="AC105" i="36"/>
  <c r="AB105" i="36"/>
  <c r="AA105" i="36"/>
  <c r="AE104" i="36"/>
  <c r="AD104" i="36"/>
  <c r="AC104" i="36"/>
  <c r="AB104" i="36"/>
  <c r="AA104" i="36"/>
  <c r="AE103" i="36"/>
  <c r="AD103" i="36"/>
  <c r="AC103" i="36"/>
  <c r="AB103" i="36"/>
  <c r="AA103" i="36"/>
  <c r="AE102" i="36"/>
  <c r="AD102" i="36"/>
  <c r="AC102" i="36"/>
  <c r="AB102" i="36"/>
  <c r="AA102" i="36"/>
  <c r="AE101" i="36"/>
  <c r="AD101" i="36"/>
  <c r="AC101" i="36"/>
  <c r="AB101" i="36"/>
  <c r="AA101" i="36"/>
  <c r="AE100" i="36"/>
  <c r="AD100" i="36"/>
  <c r="AC100" i="36"/>
  <c r="AB100" i="36"/>
  <c r="AA100" i="36"/>
  <c r="AE99" i="36"/>
  <c r="AD99" i="36"/>
  <c r="AC99" i="36"/>
  <c r="AB99" i="36"/>
  <c r="AA99" i="36"/>
  <c r="AE98" i="36"/>
  <c r="AD98" i="36"/>
  <c r="AC98" i="36"/>
  <c r="AB98" i="36"/>
  <c r="AA98" i="36"/>
  <c r="AE97" i="36"/>
  <c r="AD97" i="36"/>
  <c r="AC97" i="36"/>
  <c r="AB97" i="36"/>
  <c r="AA97" i="36"/>
  <c r="AE96" i="36"/>
  <c r="AD96" i="36"/>
  <c r="AC96" i="36"/>
  <c r="AB96" i="36"/>
  <c r="AA96" i="36"/>
  <c r="AE95" i="36"/>
  <c r="AD95" i="36"/>
  <c r="AC95" i="36"/>
  <c r="AB95" i="36"/>
  <c r="AA95" i="36"/>
  <c r="AE94" i="36"/>
  <c r="AD94" i="36"/>
  <c r="AC94" i="36"/>
  <c r="AB94" i="36"/>
  <c r="AA94" i="36"/>
  <c r="AE93" i="36"/>
  <c r="AD93" i="36"/>
  <c r="AC93" i="36"/>
  <c r="AB93" i="36"/>
  <c r="AA93" i="36"/>
  <c r="AE92" i="36"/>
  <c r="AD92" i="36"/>
  <c r="AC92" i="36"/>
  <c r="AB92" i="36"/>
  <c r="AA92" i="36"/>
  <c r="AE91" i="36"/>
  <c r="AD91" i="36"/>
  <c r="AC91" i="36"/>
  <c r="AB91" i="36"/>
  <c r="AA91" i="36"/>
  <c r="AE90" i="36"/>
  <c r="AD90" i="36"/>
  <c r="AC90" i="36"/>
  <c r="AB90" i="36"/>
  <c r="AA90" i="36"/>
  <c r="AE89" i="36"/>
  <c r="AD89" i="36"/>
  <c r="AC89" i="36"/>
  <c r="AB89" i="36"/>
  <c r="AA89" i="36"/>
  <c r="AE88" i="36"/>
  <c r="AD88" i="36"/>
  <c r="AC88" i="36"/>
  <c r="AB88" i="36"/>
  <c r="AA88" i="36"/>
  <c r="AE87" i="36"/>
  <c r="AD87" i="36"/>
  <c r="AC87" i="36"/>
  <c r="AB87" i="36"/>
  <c r="AA87" i="36"/>
  <c r="AE86" i="36"/>
  <c r="AD86" i="36"/>
  <c r="AC86" i="36"/>
  <c r="AB86" i="36"/>
  <c r="AA86" i="36"/>
  <c r="AE85" i="36"/>
  <c r="AD85" i="36"/>
  <c r="AC85" i="36"/>
  <c r="AB85" i="36"/>
  <c r="AA85" i="36"/>
  <c r="AE84" i="36"/>
  <c r="AD84" i="36"/>
  <c r="AC84" i="36"/>
  <c r="AB84" i="36"/>
  <c r="AA84" i="36"/>
  <c r="AE83" i="36"/>
  <c r="AD83" i="36"/>
  <c r="AC83" i="36"/>
  <c r="AB83" i="36"/>
  <c r="AA83" i="36"/>
  <c r="AE82" i="36"/>
  <c r="AD82" i="36"/>
  <c r="AC82" i="36"/>
  <c r="AB82" i="36"/>
  <c r="AA82" i="36"/>
  <c r="AE81" i="36"/>
  <c r="AD81" i="36"/>
  <c r="AC81" i="36"/>
  <c r="AB81" i="36"/>
  <c r="AA81" i="36"/>
  <c r="AE80" i="36"/>
  <c r="AD80" i="36"/>
  <c r="AC80" i="36"/>
  <c r="AB80" i="36"/>
  <c r="AA80" i="36"/>
  <c r="AE79" i="36"/>
  <c r="AD79" i="36"/>
  <c r="AC79" i="36"/>
  <c r="AB79" i="36"/>
  <c r="AA79" i="36"/>
  <c r="AE78" i="36"/>
  <c r="AD78" i="36"/>
  <c r="AC78" i="36"/>
  <c r="AB78" i="36"/>
  <c r="AA78" i="36"/>
  <c r="AE77" i="36"/>
  <c r="AD77" i="36"/>
  <c r="AC77" i="36"/>
  <c r="AB77" i="36"/>
  <c r="AA77" i="36"/>
  <c r="AE76" i="36"/>
  <c r="AD76" i="36"/>
  <c r="AC76" i="36"/>
  <c r="AB76" i="36"/>
  <c r="AA76" i="36"/>
  <c r="AE75" i="36"/>
  <c r="AD75" i="36"/>
  <c r="AC75" i="36"/>
  <c r="AB75" i="36"/>
  <c r="AA75" i="36"/>
  <c r="AE74" i="36"/>
  <c r="AD74" i="36"/>
  <c r="AC74" i="36"/>
  <c r="AB74" i="36"/>
  <c r="AA74" i="36"/>
  <c r="AE73" i="36"/>
  <c r="AD73" i="36"/>
  <c r="AC73" i="36"/>
  <c r="AB73" i="36"/>
  <c r="AA73" i="36"/>
  <c r="AE72" i="36"/>
  <c r="AD72" i="36"/>
  <c r="AC72" i="36"/>
  <c r="AB72" i="36"/>
  <c r="AA72" i="36"/>
  <c r="AE71" i="36"/>
  <c r="AD71" i="36"/>
  <c r="AC71" i="36"/>
  <c r="AB71" i="36"/>
  <c r="AA71" i="36"/>
  <c r="AE70" i="36"/>
  <c r="AD70" i="36"/>
  <c r="AC70" i="36"/>
  <c r="AB70" i="36"/>
  <c r="AA70" i="36"/>
  <c r="AE69" i="36"/>
  <c r="AD69" i="36"/>
  <c r="AC69" i="36"/>
  <c r="AB69" i="36"/>
  <c r="AA69" i="36"/>
  <c r="AE68" i="36"/>
  <c r="AD68" i="36"/>
  <c r="AC68" i="36"/>
  <c r="AB68" i="36"/>
  <c r="AA68" i="36"/>
  <c r="AE67" i="36"/>
  <c r="AD67" i="36"/>
  <c r="AC67" i="36"/>
  <c r="AB67" i="36"/>
  <c r="AA67" i="36"/>
  <c r="AE66" i="36"/>
  <c r="AD66" i="36"/>
  <c r="AC66" i="36"/>
  <c r="AB66" i="36"/>
  <c r="AA66" i="36"/>
  <c r="AE65" i="36"/>
  <c r="AD65" i="36"/>
  <c r="AC65" i="36"/>
  <c r="AB65" i="36"/>
  <c r="AA65" i="36"/>
  <c r="AE64" i="36"/>
  <c r="AD64" i="36"/>
  <c r="AC64" i="36"/>
  <c r="AB64" i="36"/>
  <c r="AA64" i="36"/>
  <c r="AE63" i="36"/>
  <c r="AD63" i="36"/>
  <c r="AC63" i="36"/>
  <c r="AB63" i="36"/>
  <c r="AA63" i="36"/>
  <c r="AE62" i="36"/>
  <c r="AD62" i="36"/>
  <c r="AC62" i="36"/>
  <c r="AB62" i="36"/>
  <c r="AA62" i="36"/>
  <c r="AE61" i="36"/>
  <c r="AD61" i="36"/>
  <c r="AC61" i="36"/>
  <c r="AB61" i="36"/>
  <c r="AA61" i="36"/>
  <c r="AE60" i="36"/>
  <c r="AD60" i="36"/>
  <c r="AC60" i="36"/>
  <c r="AB60" i="36"/>
  <c r="AA60" i="36"/>
  <c r="AE59" i="36"/>
  <c r="AD59" i="36"/>
  <c r="AC59" i="36"/>
  <c r="AB59" i="36"/>
  <c r="AA59" i="36"/>
  <c r="AE58" i="36"/>
  <c r="AD58" i="36"/>
  <c r="AC58" i="36"/>
  <c r="AB58" i="36"/>
  <c r="AA58" i="36"/>
  <c r="AE57" i="36"/>
  <c r="AD57" i="36"/>
  <c r="AC57" i="36"/>
  <c r="AB57" i="36"/>
  <c r="AA57" i="36"/>
  <c r="AE56" i="36"/>
  <c r="AD56" i="36"/>
  <c r="AC56" i="36"/>
  <c r="AB56" i="36"/>
  <c r="AA56" i="36"/>
  <c r="AE55" i="36"/>
  <c r="AD55" i="36"/>
  <c r="AC55" i="36"/>
  <c r="AB55" i="36"/>
  <c r="AA55" i="36"/>
  <c r="AE54" i="36"/>
  <c r="AD54" i="36"/>
  <c r="AC54" i="36"/>
  <c r="AB54" i="36"/>
  <c r="AA54" i="36"/>
  <c r="AE53" i="36"/>
  <c r="AD53" i="36"/>
  <c r="AC53" i="36"/>
  <c r="AB53" i="36"/>
  <c r="AA53" i="36"/>
  <c r="AE52" i="36"/>
  <c r="AD52" i="36"/>
  <c r="AC52" i="36"/>
  <c r="AB52" i="36"/>
  <c r="AA52" i="36"/>
  <c r="AE51" i="36"/>
  <c r="AD51" i="36"/>
  <c r="AC51" i="36"/>
  <c r="AB51" i="36"/>
  <c r="AA51" i="36"/>
  <c r="AE50" i="36"/>
  <c r="AD50" i="36"/>
  <c r="AC50" i="36"/>
  <c r="AB50" i="36"/>
  <c r="AA50" i="36"/>
  <c r="AE49" i="36"/>
  <c r="AD49" i="36"/>
  <c r="AC49" i="36"/>
  <c r="AB49" i="36"/>
  <c r="AA49" i="36"/>
  <c r="AE48" i="36"/>
  <c r="AD48" i="36"/>
  <c r="AC48" i="36"/>
  <c r="AB48" i="36"/>
  <c r="AA48" i="36"/>
  <c r="AE47" i="36"/>
  <c r="AD47" i="36"/>
  <c r="AC47" i="36"/>
  <c r="AB47" i="36"/>
  <c r="AA47" i="36"/>
  <c r="AE46" i="36"/>
  <c r="AD46" i="36"/>
  <c r="AC46" i="36"/>
  <c r="AB46" i="36"/>
  <c r="AA46" i="36"/>
  <c r="AE45" i="36"/>
  <c r="AD45" i="36"/>
  <c r="AC45" i="36"/>
  <c r="AB45" i="36"/>
  <c r="AA45" i="36"/>
  <c r="AE44" i="36"/>
  <c r="AD44" i="36"/>
  <c r="AC44" i="36"/>
  <c r="AB44" i="36"/>
  <c r="AA44" i="36"/>
  <c r="AE43" i="36"/>
  <c r="AD43" i="36"/>
  <c r="AC43" i="36"/>
  <c r="AB43" i="36"/>
  <c r="AA43" i="36"/>
  <c r="AE42" i="36"/>
  <c r="AD42" i="36"/>
  <c r="AC42" i="36"/>
  <c r="AB42" i="36"/>
  <c r="AA42" i="36"/>
  <c r="AE41" i="36"/>
  <c r="AD41" i="36"/>
  <c r="AC41" i="36"/>
  <c r="AB41" i="36"/>
  <c r="AA41" i="36"/>
  <c r="AE40" i="36"/>
  <c r="AD40" i="36"/>
  <c r="AC40" i="36"/>
  <c r="AB40" i="36"/>
  <c r="AA40" i="36"/>
  <c r="AE39" i="36"/>
  <c r="AD39" i="36"/>
  <c r="AC39" i="36"/>
  <c r="AB39" i="36"/>
  <c r="AA39" i="36"/>
  <c r="AE38" i="36"/>
  <c r="AD38" i="36"/>
  <c r="AC38" i="36"/>
  <c r="AB38" i="36"/>
  <c r="AA38" i="36"/>
  <c r="AE37" i="36"/>
  <c r="AD37" i="36"/>
  <c r="AC37" i="36"/>
  <c r="AB37" i="36"/>
  <c r="AA37" i="36"/>
  <c r="AE36" i="36"/>
  <c r="AD36" i="36"/>
  <c r="AC36" i="36"/>
  <c r="AB36" i="36"/>
  <c r="AA36" i="36"/>
  <c r="AE35" i="36"/>
  <c r="AD35" i="36"/>
  <c r="AC35" i="36"/>
  <c r="AB35" i="36"/>
  <c r="AA35" i="36"/>
  <c r="AE34" i="36"/>
  <c r="AD34" i="36"/>
  <c r="AC34" i="36"/>
  <c r="AB34" i="36"/>
  <c r="AA34" i="36"/>
  <c r="AE33" i="36"/>
  <c r="AD33" i="36"/>
  <c r="AC33" i="36"/>
  <c r="AB33" i="36"/>
  <c r="AA33" i="36"/>
  <c r="AE32" i="36"/>
  <c r="AD32" i="36"/>
  <c r="AC32" i="36"/>
  <c r="AB32" i="36"/>
  <c r="AA32" i="36"/>
  <c r="AE31" i="36"/>
  <c r="AD31" i="36"/>
  <c r="AC31" i="36"/>
  <c r="AB31" i="36"/>
  <c r="AA31" i="36"/>
  <c r="AE30" i="36"/>
  <c r="AD30" i="36"/>
  <c r="AC30" i="36"/>
  <c r="AB30" i="36"/>
  <c r="AA30" i="36"/>
  <c r="AE29" i="36"/>
  <c r="AD29" i="36"/>
  <c r="AC29" i="36"/>
  <c r="AB29" i="36"/>
  <c r="AA29" i="36"/>
  <c r="AE28" i="36"/>
  <c r="AD28" i="36"/>
  <c r="AC28" i="36"/>
  <c r="AB28" i="36"/>
  <c r="AA28" i="36"/>
  <c r="AE27" i="36"/>
  <c r="AD27" i="36"/>
  <c r="AC27" i="36"/>
  <c r="AB27" i="36"/>
  <c r="AA27" i="36"/>
  <c r="AE26" i="36"/>
  <c r="AD26" i="36"/>
  <c r="AC26" i="36"/>
  <c r="AB26" i="36"/>
  <c r="AA26" i="36"/>
  <c r="AE25" i="36"/>
  <c r="AD25" i="36"/>
  <c r="AC25" i="36"/>
  <c r="AB25" i="36"/>
  <c r="AA25" i="36"/>
  <c r="AE24" i="36"/>
  <c r="AD24" i="36"/>
  <c r="AC24" i="36"/>
  <c r="AB24" i="36"/>
  <c r="AA24" i="36"/>
  <c r="AE23" i="36"/>
  <c r="AD23" i="36"/>
  <c r="AC23" i="36"/>
  <c r="AB23" i="36"/>
  <c r="AA23" i="36"/>
  <c r="AE22" i="36"/>
  <c r="AD22" i="36"/>
  <c r="AC22" i="36"/>
  <c r="AB22" i="36"/>
  <c r="AA22" i="36"/>
  <c r="AE21" i="36"/>
  <c r="AD21" i="36"/>
  <c r="AC21" i="36"/>
  <c r="AB21" i="36"/>
  <c r="AA21" i="36"/>
  <c r="AE20" i="36"/>
  <c r="AD20" i="36"/>
  <c r="AC20" i="36"/>
  <c r="AB20" i="36"/>
  <c r="AA20" i="36"/>
  <c r="AE19" i="36"/>
  <c r="AD19" i="36"/>
  <c r="AC19" i="36"/>
  <c r="AB19" i="36"/>
  <c r="AA19" i="36"/>
  <c r="AE18" i="36"/>
  <c r="AD18" i="36"/>
  <c r="AC18" i="36"/>
  <c r="AB18" i="36"/>
  <c r="AA18" i="36"/>
  <c r="AE17" i="36"/>
  <c r="AD17" i="36"/>
  <c r="AC17" i="36"/>
  <c r="AB17" i="36"/>
  <c r="AA17" i="36"/>
  <c r="AE16" i="36"/>
  <c r="AD16" i="36"/>
  <c r="AC16" i="36"/>
  <c r="AB16" i="36"/>
  <c r="AA16" i="36"/>
  <c r="AE15" i="36"/>
  <c r="AD15" i="36"/>
  <c r="AC15" i="36"/>
  <c r="AB15" i="36"/>
  <c r="AA15" i="36"/>
  <c r="AE14" i="36"/>
  <c r="AD14" i="36"/>
  <c r="AC14" i="36"/>
  <c r="AB14" i="36"/>
  <c r="AA14" i="36"/>
  <c r="AE13" i="36"/>
  <c r="AD13" i="36"/>
  <c r="AC13" i="36"/>
  <c r="AB13" i="36"/>
  <c r="AA13" i="36"/>
  <c r="AE12" i="36"/>
  <c r="AD12" i="36"/>
  <c r="AC12" i="36"/>
  <c r="AB12" i="36"/>
  <c r="AA12" i="36"/>
  <c r="AE11" i="36"/>
  <c r="AA11" i="36"/>
  <c r="AJ85" i="36" l="1"/>
  <c r="AK85" i="36"/>
  <c r="AI85" i="36"/>
  <c r="AL85" i="36"/>
  <c r="AM85" i="36"/>
  <c r="AF85" i="36"/>
  <c r="AG85" i="36"/>
  <c r="AH85" i="36"/>
  <c r="AJ89" i="36"/>
  <c r="AK89" i="36"/>
  <c r="AI89" i="36"/>
  <c r="AL89" i="36"/>
  <c r="AM89" i="36"/>
  <c r="AF89" i="36"/>
  <c r="AG89" i="36"/>
  <c r="AH89" i="36"/>
  <c r="AJ97" i="36"/>
  <c r="AK97" i="36"/>
  <c r="AI97" i="36"/>
  <c r="AL97" i="36"/>
  <c r="AM97" i="36"/>
  <c r="AF97" i="36"/>
  <c r="AG97" i="36"/>
  <c r="AH97" i="36"/>
  <c r="AJ101" i="36"/>
  <c r="AK101" i="36"/>
  <c r="AI101" i="36"/>
  <c r="AL101" i="36"/>
  <c r="AM101" i="36"/>
  <c r="AF101" i="36"/>
  <c r="AG101" i="36"/>
  <c r="AH101" i="36"/>
  <c r="AJ109" i="36"/>
  <c r="AK109" i="36"/>
  <c r="AL109" i="36"/>
  <c r="AM109" i="36"/>
  <c r="AI109" i="36"/>
  <c r="AF109" i="36"/>
  <c r="AG109" i="36"/>
  <c r="AH109" i="36"/>
  <c r="AJ117" i="36"/>
  <c r="AK117" i="36"/>
  <c r="AL117" i="36"/>
  <c r="AM117" i="36"/>
  <c r="AI117" i="36"/>
  <c r="AF117" i="36"/>
  <c r="AG117" i="36"/>
  <c r="AH117" i="36"/>
  <c r="AJ74" i="36"/>
  <c r="AK74" i="36"/>
  <c r="AL74" i="36"/>
  <c r="AI74" i="36"/>
  <c r="AH74" i="36"/>
  <c r="AM74" i="36"/>
  <c r="AF74" i="36"/>
  <c r="AG74" i="36"/>
  <c r="AJ94" i="36"/>
  <c r="AK94" i="36"/>
  <c r="AL94" i="36"/>
  <c r="AI94" i="36"/>
  <c r="AH94" i="36"/>
  <c r="AM94" i="36"/>
  <c r="AF94" i="36"/>
  <c r="AG94" i="36"/>
  <c r="AJ63" i="36"/>
  <c r="AK63" i="36"/>
  <c r="AL63" i="36"/>
  <c r="AG63" i="36"/>
  <c r="AH63" i="36"/>
  <c r="AM63" i="36"/>
  <c r="AF63" i="36"/>
  <c r="AI63" i="36"/>
  <c r="AJ67" i="36"/>
  <c r="AK67" i="36"/>
  <c r="AL67" i="36"/>
  <c r="AI67" i="36"/>
  <c r="AH67" i="36"/>
  <c r="AM67" i="36"/>
  <c r="AF67" i="36"/>
  <c r="AG67" i="36"/>
  <c r="AJ71" i="36"/>
  <c r="AK71" i="36"/>
  <c r="AL71" i="36"/>
  <c r="AG71" i="36"/>
  <c r="AI71" i="36"/>
  <c r="AH71" i="36"/>
  <c r="AM71" i="36"/>
  <c r="AF71" i="36"/>
  <c r="AJ75" i="36"/>
  <c r="AK75" i="36"/>
  <c r="AL75" i="36"/>
  <c r="AH75" i="36"/>
  <c r="AM75" i="36"/>
  <c r="AI75" i="36"/>
  <c r="AF75" i="36"/>
  <c r="AG75" i="36"/>
  <c r="AJ79" i="36"/>
  <c r="AK79" i="36"/>
  <c r="AL79" i="36"/>
  <c r="AG79" i="36"/>
  <c r="AH79" i="36"/>
  <c r="AM79" i="36"/>
  <c r="AF79" i="36"/>
  <c r="AI79" i="36"/>
  <c r="AJ83" i="36"/>
  <c r="AK83" i="36"/>
  <c r="AL83" i="36"/>
  <c r="AI83" i="36"/>
  <c r="AH83" i="36"/>
  <c r="AM83" i="36"/>
  <c r="AF83" i="36"/>
  <c r="AG83" i="36"/>
  <c r="AJ87" i="36"/>
  <c r="AK87" i="36"/>
  <c r="AL87" i="36"/>
  <c r="AG87" i="36"/>
  <c r="AI87" i="36"/>
  <c r="AH87" i="36"/>
  <c r="AM87" i="36"/>
  <c r="AF87" i="36"/>
  <c r="AJ91" i="36"/>
  <c r="AK91" i="36"/>
  <c r="AL91" i="36"/>
  <c r="AH91" i="36"/>
  <c r="AM91" i="36"/>
  <c r="AI91" i="36"/>
  <c r="AF91" i="36"/>
  <c r="AG91" i="36"/>
  <c r="AJ95" i="36"/>
  <c r="AK95" i="36"/>
  <c r="AL95" i="36"/>
  <c r="AH95" i="36"/>
  <c r="AM95" i="36"/>
  <c r="AF95" i="36"/>
  <c r="AI95" i="36"/>
  <c r="AG95" i="36"/>
  <c r="AJ99" i="36"/>
  <c r="AK99" i="36"/>
  <c r="AL99" i="36"/>
  <c r="AI99" i="36"/>
  <c r="AH99" i="36"/>
  <c r="AM99" i="36"/>
  <c r="AF99" i="36"/>
  <c r="AG99" i="36"/>
  <c r="AJ103" i="36"/>
  <c r="AK103" i="36"/>
  <c r="AL103" i="36"/>
  <c r="AI103" i="36"/>
  <c r="AH103" i="36"/>
  <c r="AM103" i="36"/>
  <c r="AF103" i="36"/>
  <c r="AG103" i="36"/>
  <c r="AJ107" i="36"/>
  <c r="AK107" i="36"/>
  <c r="AL107" i="36"/>
  <c r="AH107" i="36"/>
  <c r="AM107" i="36"/>
  <c r="AF107" i="36"/>
  <c r="AI107" i="36"/>
  <c r="AG107" i="36"/>
  <c r="AJ111" i="36"/>
  <c r="AK111" i="36"/>
  <c r="AL111" i="36"/>
  <c r="AI111" i="36"/>
  <c r="AH111" i="36"/>
  <c r="AM111" i="36"/>
  <c r="AF111" i="36"/>
  <c r="AG111" i="36"/>
  <c r="AJ115" i="36"/>
  <c r="AK115" i="36"/>
  <c r="AL115" i="36"/>
  <c r="AI115" i="36"/>
  <c r="AH115" i="36"/>
  <c r="AM115" i="36"/>
  <c r="AF115" i="36"/>
  <c r="AG115" i="36"/>
  <c r="AJ119" i="36"/>
  <c r="AK119" i="36"/>
  <c r="AL119" i="36"/>
  <c r="AI119" i="36"/>
  <c r="AH119" i="36"/>
  <c r="AM119" i="36"/>
  <c r="AF119" i="36"/>
  <c r="AG119" i="36"/>
  <c r="AJ123" i="36"/>
  <c r="AK123" i="36"/>
  <c r="AL123" i="36"/>
  <c r="AI123" i="36"/>
  <c r="AH123" i="36"/>
  <c r="AM123" i="36"/>
  <c r="AF123" i="36"/>
  <c r="AG123" i="36"/>
  <c r="AJ127" i="36"/>
  <c r="AK127" i="36"/>
  <c r="AL127" i="36"/>
  <c r="AI127" i="36"/>
  <c r="AH127" i="36"/>
  <c r="AM127" i="36"/>
  <c r="AF127" i="36"/>
  <c r="AG127" i="36"/>
  <c r="AJ65" i="36"/>
  <c r="AK65" i="36"/>
  <c r="AI65" i="36"/>
  <c r="AL65" i="36"/>
  <c r="AM65" i="36"/>
  <c r="AF65" i="36"/>
  <c r="AG65" i="36"/>
  <c r="AH65" i="36"/>
  <c r="AJ77" i="36"/>
  <c r="AK77" i="36"/>
  <c r="AI77" i="36"/>
  <c r="AL77" i="36"/>
  <c r="AM77" i="36"/>
  <c r="AF77" i="36"/>
  <c r="AG77" i="36"/>
  <c r="AH77" i="36"/>
  <c r="AJ121" i="36"/>
  <c r="AK121" i="36"/>
  <c r="AL121" i="36"/>
  <c r="AM121" i="36"/>
  <c r="AF121" i="36"/>
  <c r="AG121" i="36"/>
  <c r="AI121" i="36"/>
  <c r="AH121" i="36"/>
  <c r="AJ125" i="36"/>
  <c r="AK125" i="36"/>
  <c r="AL125" i="36"/>
  <c r="AM125" i="36"/>
  <c r="AF125" i="36"/>
  <c r="AG125" i="36"/>
  <c r="AI125" i="36"/>
  <c r="AH125" i="36"/>
  <c r="AJ129" i="36"/>
  <c r="AK129" i="36"/>
  <c r="AL129" i="36"/>
  <c r="AM129" i="36"/>
  <c r="AF129" i="36"/>
  <c r="AG129" i="36"/>
  <c r="AI129" i="36"/>
  <c r="AH129" i="36"/>
  <c r="AJ62" i="36"/>
  <c r="AK62" i="36"/>
  <c r="AL62" i="36"/>
  <c r="AI62" i="36"/>
  <c r="AH62" i="36"/>
  <c r="AM62" i="36"/>
  <c r="AF62" i="36"/>
  <c r="AG62" i="36"/>
  <c r="AJ70" i="36"/>
  <c r="AK70" i="36"/>
  <c r="AL70" i="36"/>
  <c r="AI70" i="36"/>
  <c r="AH70" i="36"/>
  <c r="AM70" i="36"/>
  <c r="AF70" i="36"/>
  <c r="AG70" i="36"/>
  <c r="AJ78" i="36"/>
  <c r="AK78" i="36"/>
  <c r="AL78" i="36"/>
  <c r="AI78" i="36"/>
  <c r="AH78" i="36"/>
  <c r="AM78" i="36"/>
  <c r="AF78" i="36"/>
  <c r="AG78" i="36"/>
  <c r="AJ90" i="36"/>
  <c r="AK90" i="36"/>
  <c r="AL90" i="36"/>
  <c r="AI90" i="36"/>
  <c r="AH90" i="36"/>
  <c r="AM90" i="36"/>
  <c r="AF90" i="36"/>
  <c r="AG90" i="36"/>
  <c r="AJ64" i="36"/>
  <c r="AI64" i="36"/>
  <c r="AK64" i="36"/>
  <c r="AL64" i="36"/>
  <c r="AG64" i="36"/>
  <c r="AH64" i="36"/>
  <c r="AM64" i="36"/>
  <c r="AF64" i="36"/>
  <c r="AJ68" i="36"/>
  <c r="AI68" i="36"/>
  <c r="AK68" i="36"/>
  <c r="AL68" i="36"/>
  <c r="AG68" i="36"/>
  <c r="AH68" i="36"/>
  <c r="AM68" i="36"/>
  <c r="AF68" i="36"/>
  <c r="AJ72" i="36"/>
  <c r="AI72" i="36"/>
  <c r="AK72" i="36"/>
  <c r="AL72" i="36"/>
  <c r="AG72" i="36"/>
  <c r="AH72" i="36"/>
  <c r="AM72" i="36"/>
  <c r="AF72" i="36"/>
  <c r="AJ76" i="36"/>
  <c r="AI76" i="36"/>
  <c r="AK76" i="36"/>
  <c r="AL76" i="36"/>
  <c r="AG76" i="36"/>
  <c r="AH76" i="36"/>
  <c r="AM76" i="36"/>
  <c r="AF76" i="36"/>
  <c r="AJ80" i="36"/>
  <c r="AI80" i="36"/>
  <c r="AK80" i="36"/>
  <c r="AL80" i="36"/>
  <c r="AG80" i="36"/>
  <c r="AH80" i="36"/>
  <c r="AM80" i="36"/>
  <c r="AF80" i="36"/>
  <c r="AJ84" i="36"/>
  <c r="AI84" i="36"/>
  <c r="AK84" i="36"/>
  <c r="AL84" i="36"/>
  <c r="AG84" i="36"/>
  <c r="AH84" i="36"/>
  <c r="AM84" i="36"/>
  <c r="AF84" i="36"/>
  <c r="AJ88" i="36"/>
  <c r="AI88" i="36"/>
  <c r="AK88" i="36"/>
  <c r="AL88" i="36"/>
  <c r="AG88" i="36"/>
  <c r="AH88" i="36"/>
  <c r="AM88" i="36"/>
  <c r="AF88" i="36"/>
  <c r="AJ92" i="36"/>
  <c r="AI92" i="36"/>
  <c r="AK92" i="36"/>
  <c r="AL92" i="36"/>
  <c r="AG92" i="36"/>
  <c r="AH92" i="36"/>
  <c r="AM92" i="36"/>
  <c r="AF92" i="36"/>
  <c r="AJ96" i="36"/>
  <c r="AI96" i="36"/>
  <c r="AK96" i="36"/>
  <c r="AL96" i="36"/>
  <c r="AG96" i="36"/>
  <c r="AH96" i="36"/>
  <c r="AM96" i="36"/>
  <c r="AF96" i="36"/>
  <c r="AJ100" i="36"/>
  <c r="AI100" i="36"/>
  <c r="AK100" i="36"/>
  <c r="AL100" i="36"/>
  <c r="AG100" i="36"/>
  <c r="AH100" i="36"/>
  <c r="AM100" i="36"/>
  <c r="AF100" i="36"/>
  <c r="AJ104" i="36"/>
  <c r="AI104" i="36"/>
  <c r="AK104" i="36"/>
  <c r="AL104" i="36"/>
  <c r="AG104" i="36"/>
  <c r="AH104" i="36"/>
  <c r="AM104" i="36"/>
  <c r="AF104" i="36"/>
  <c r="AJ108" i="36"/>
  <c r="AI108" i="36"/>
  <c r="AK108" i="36"/>
  <c r="AL108" i="36"/>
  <c r="AG108" i="36"/>
  <c r="AH108" i="36"/>
  <c r="AM108" i="36"/>
  <c r="AF108" i="36"/>
  <c r="AJ112" i="36"/>
  <c r="AI112" i="36"/>
  <c r="AK112" i="36"/>
  <c r="AL112" i="36"/>
  <c r="AG112" i="36"/>
  <c r="AM112" i="36"/>
  <c r="AH112" i="36"/>
  <c r="AF112" i="36"/>
  <c r="AJ116" i="36"/>
  <c r="AI116" i="36"/>
  <c r="AK116" i="36"/>
  <c r="AL116" i="36"/>
  <c r="AG116" i="36"/>
  <c r="AH116" i="36"/>
  <c r="AM116" i="36"/>
  <c r="AF116" i="36"/>
  <c r="AJ120" i="36"/>
  <c r="AI120" i="36"/>
  <c r="AK120" i="36"/>
  <c r="AL120" i="36"/>
  <c r="AG120" i="36"/>
  <c r="AH120" i="36"/>
  <c r="AM120" i="36"/>
  <c r="AF120" i="36"/>
  <c r="AJ124" i="36"/>
  <c r="AK124" i="36"/>
  <c r="AL124" i="36"/>
  <c r="AG124" i="36"/>
  <c r="AI124" i="36"/>
  <c r="AH124" i="36"/>
  <c r="AM124" i="36"/>
  <c r="AF124" i="36"/>
  <c r="AJ128" i="36"/>
  <c r="AK128" i="36"/>
  <c r="AL128" i="36"/>
  <c r="AG128" i="36"/>
  <c r="AI128" i="36"/>
  <c r="AH128" i="36"/>
  <c r="AM128" i="36"/>
  <c r="AF128" i="36"/>
  <c r="AJ61" i="36"/>
  <c r="AK61" i="36"/>
  <c r="AI61" i="36"/>
  <c r="AL61" i="36"/>
  <c r="AM61" i="36"/>
  <c r="AF61" i="36"/>
  <c r="AG61" i="36"/>
  <c r="AH61" i="36"/>
  <c r="AJ69" i="36"/>
  <c r="AK69" i="36"/>
  <c r="AI69" i="36"/>
  <c r="AL69" i="36"/>
  <c r="AM69" i="36"/>
  <c r="AF69" i="36"/>
  <c r="AG69" i="36"/>
  <c r="AH69" i="36"/>
  <c r="AJ73" i="36"/>
  <c r="AK73" i="36"/>
  <c r="AI73" i="36"/>
  <c r="AL73" i="36"/>
  <c r="AM73" i="36"/>
  <c r="AF73" i="36"/>
  <c r="AG73" i="36"/>
  <c r="AH73" i="36"/>
  <c r="AJ81" i="36"/>
  <c r="AK81" i="36"/>
  <c r="AI81" i="36"/>
  <c r="AL81" i="36"/>
  <c r="AM81" i="36"/>
  <c r="AF81" i="36"/>
  <c r="AG81" i="36"/>
  <c r="AH81" i="36"/>
  <c r="AJ93" i="36"/>
  <c r="AK93" i="36"/>
  <c r="AI93" i="36"/>
  <c r="AL93" i="36"/>
  <c r="AM93" i="36"/>
  <c r="AF93" i="36"/>
  <c r="AG93" i="36"/>
  <c r="AH93" i="36"/>
  <c r="AJ105" i="36"/>
  <c r="AK105" i="36"/>
  <c r="AL105" i="36"/>
  <c r="AM105" i="36"/>
  <c r="AF105" i="36"/>
  <c r="AG105" i="36"/>
  <c r="AI105" i="36"/>
  <c r="AH105" i="36"/>
  <c r="AJ113" i="36"/>
  <c r="AK113" i="36"/>
  <c r="AL113" i="36"/>
  <c r="AM113" i="36"/>
  <c r="AF113" i="36"/>
  <c r="AG113" i="36"/>
  <c r="AI113" i="36"/>
  <c r="AH113" i="36"/>
  <c r="AJ66" i="36"/>
  <c r="AK66" i="36"/>
  <c r="AL66" i="36"/>
  <c r="AI66" i="36"/>
  <c r="AH66" i="36"/>
  <c r="AM66" i="36"/>
  <c r="AF66" i="36"/>
  <c r="AG66" i="36"/>
  <c r="AJ82" i="36"/>
  <c r="AK82" i="36"/>
  <c r="AL82" i="36"/>
  <c r="AI82" i="36"/>
  <c r="AH82" i="36"/>
  <c r="AM82" i="36"/>
  <c r="AF82" i="36"/>
  <c r="AG82" i="36"/>
  <c r="AJ86" i="36"/>
  <c r="AK86" i="36"/>
  <c r="AL86" i="36"/>
  <c r="AI86" i="36"/>
  <c r="AH86" i="36"/>
  <c r="AM86" i="36"/>
  <c r="AF86" i="36"/>
  <c r="AG86" i="36"/>
  <c r="AJ98" i="36"/>
  <c r="AK98" i="36"/>
  <c r="AL98" i="36"/>
  <c r="AI98" i="36"/>
  <c r="AH98" i="36"/>
  <c r="AM98" i="36"/>
  <c r="AF98" i="36"/>
  <c r="AG98" i="36"/>
  <c r="AJ102" i="36"/>
  <c r="AK102" i="36"/>
  <c r="AL102" i="36"/>
  <c r="AI102" i="36"/>
  <c r="AH102" i="36"/>
  <c r="AM102" i="36"/>
  <c r="AF102" i="36"/>
  <c r="AG102" i="36"/>
  <c r="AJ106" i="36"/>
  <c r="AK106" i="36"/>
  <c r="AL106" i="36"/>
  <c r="AI106" i="36"/>
  <c r="AH106" i="36"/>
  <c r="AM106" i="36"/>
  <c r="AF106" i="36"/>
  <c r="AG106" i="36"/>
  <c r="AJ110" i="36"/>
  <c r="AK110" i="36"/>
  <c r="AL110" i="36"/>
  <c r="AI110" i="36"/>
  <c r="AH110" i="36"/>
  <c r="AM110" i="36"/>
  <c r="AF110" i="36"/>
  <c r="AG110" i="36"/>
  <c r="AJ114" i="36"/>
  <c r="AK114" i="36"/>
  <c r="AL114" i="36"/>
  <c r="AI114" i="36"/>
  <c r="AH114" i="36"/>
  <c r="AM114" i="36"/>
  <c r="AF114" i="36"/>
  <c r="AG114" i="36"/>
  <c r="AJ118" i="36"/>
  <c r="AK118" i="36"/>
  <c r="AL118" i="36"/>
  <c r="AI118" i="36"/>
  <c r="AH118" i="36"/>
  <c r="AM118" i="36"/>
  <c r="AF118" i="36"/>
  <c r="AG118" i="36"/>
  <c r="AJ122" i="36"/>
  <c r="AK122" i="36"/>
  <c r="AL122" i="36"/>
  <c r="AH122" i="36"/>
  <c r="AM122" i="36"/>
  <c r="AF122" i="36"/>
  <c r="AG122" i="36"/>
  <c r="AI122" i="36"/>
  <c r="AJ126" i="36"/>
  <c r="AK126" i="36"/>
  <c r="AL126" i="36"/>
  <c r="AH126" i="36"/>
  <c r="AI126" i="36"/>
  <c r="AM126" i="36"/>
  <c r="AF126" i="36"/>
  <c r="AG126" i="36"/>
  <c r="AJ130" i="36"/>
  <c r="AK130" i="36"/>
  <c r="AL130" i="36"/>
  <c r="AH130" i="36"/>
  <c r="AM130" i="36"/>
  <c r="AF130" i="36"/>
  <c r="AG130" i="36"/>
  <c r="AI130" i="36"/>
  <c r="AJ15" i="36"/>
  <c r="AK15" i="36"/>
  <c r="AF15" i="36"/>
  <c r="AL15" i="36"/>
  <c r="AG15" i="36"/>
  <c r="AI15" i="36"/>
  <c r="AH15" i="36"/>
  <c r="AM15" i="36"/>
  <c r="AJ12" i="36"/>
  <c r="AI12" i="36"/>
  <c r="AK12" i="36"/>
  <c r="AH12" i="36"/>
  <c r="AL12" i="36"/>
  <c r="AF12" i="36"/>
  <c r="AM12" i="36"/>
  <c r="AG12" i="36"/>
  <c r="AJ16" i="36"/>
  <c r="AI16" i="36"/>
  <c r="AK16" i="36"/>
  <c r="AL16" i="36"/>
  <c r="AF16" i="36"/>
  <c r="AM16" i="36"/>
  <c r="AG16" i="36"/>
  <c r="AH16" i="36"/>
  <c r="AJ20" i="36"/>
  <c r="AI20" i="36"/>
  <c r="AK20" i="36"/>
  <c r="AL20" i="36"/>
  <c r="AF20" i="36"/>
  <c r="AM20" i="36"/>
  <c r="AG20" i="36"/>
  <c r="AH20" i="36"/>
  <c r="AJ24" i="36"/>
  <c r="AI24" i="36"/>
  <c r="AK24" i="36"/>
  <c r="AL24" i="36"/>
  <c r="AF24" i="36"/>
  <c r="AM24" i="36"/>
  <c r="AG24" i="36"/>
  <c r="AH24" i="36"/>
  <c r="AJ28" i="36"/>
  <c r="AI28" i="36"/>
  <c r="AK28" i="36"/>
  <c r="AL28" i="36"/>
  <c r="AF28" i="36"/>
  <c r="AM28" i="36"/>
  <c r="AH28" i="36"/>
  <c r="AG28" i="36"/>
  <c r="AJ32" i="36"/>
  <c r="AI32" i="36"/>
  <c r="AK32" i="36"/>
  <c r="AL32" i="36"/>
  <c r="AF32" i="36"/>
  <c r="AM32" i="36"/>
  <c r="AG32" i="36"/>
  <c r="AH32" i="36"/>
  <c r="AJ36" i="36"/>
  <c r="AI36" i="36"/>
  <c r="AK36" i="36"/>
  <c r="AL36" i="36"/>
  <c r="AF36" i="36"/>
  <c r="AM36" i="36"/>
  <c r="AG36" i="36"/>
  <c r="AH36" i="36"/>
  <c r="AJ40" i="36"/>
  <c r="AI40" i="36"/>
  <c r="AK40" i="36"/>
  <c r="AL40" i="36"/>
  <c r="AF40" i="36"/>
  <c r="AM40" i="36"/>
  <c r="AG40" i="36"/>
  <c r="AH40" i="36"/>
  <c r="AJ44" i="36"/>
  <c r="AI44" i="36"/>
  <c r="AK44" i="36"/>
  <c r="AL44" i="36"/>
  <c r="AF44" i="36"/>
  <c r="AM44" i="36"/>
  <c r="AH44" i="36"/>
  <c r="AG44" i="36"/>
  <c r="AJ48" i="36"/>
  <c r="AI48" i="36"/>
  <c r="AK48" i="36"/>
  <c r="AL48" i="36"/>
  <c r="AF48" i="36"/>
  <c r="AM48" i="36"/>
  <c r="AG48" i="36"/>
  <c r="AH48" i="36"/>
  <c r="AJ52" i="36"/>
  <c r="AI52" i="36"/>
  <c r="AK52" i="36"/>
  <c r="AL52" i="36"/>
  <c r="AF52" i="36"/>
  <c r="AM52" i="36"/>
  <c r="AG52" i="36"/>
  <c r="AH52" i="36"/>
  <c r="AJ56" i="36"/>
  <c r="AI56" i="36"/>
  <c r="AK56" i="36"/>
  <c r="AL56" i="36"/>
  <c r="AF56" i="36"/>
  <c r="AM56" i="36"/>
  <c r="AG56" i="36"/>
  <c r="AH56" i="36"/>
  <c r="AJ27" i="36"/>
  <c r="AK27" i="36"/>
  <c r="AF27" i="36"/>
  <c r="AL27" i="36"/>
  <c r="AG27" i="36"/>
  <c r="AH27" i="36"/>
  <c r="AM27" i="36"/>
  <c r="AI27" i="36"/>
  <c r="AJ31" i="36"/>
  <c r="AK31" i="36"/>
  <c r="AF31" i="36"/>
  <c r="AL31" i="36"/>
  <c r="AG31" i="36"/>
  <c r="AI31" i="36"/>
  <c r="AH31" i="36"/>
  <c r="AM31" i="36"/>
  <c r="AJ35" i="36"/>
  <c r="AK35" i="36"/>
  <c r="AF35" i="36"/>
  <c r="AL35" i="36"/>
  <c r="AG35" i="36"/>
  <c r="AI35" i="36"/>
  <c r="AH35" i="36"/>
  <c r="AM35" i="36"/>
  <c r="AJ43" i="36"/>
  <c r="AK43" i="36"/>
  <c r="AF43" i="36"/>
  <c r="AL43" i="36"/>
  <c r="AG43" i="36"/>
  <c r="AH43" i="36"/>
  <c r="AM43" i="36"/>
  <c r="AI43" i="36"/>
  <c r="AJ47" i="36"/>
  <c r="AK47" i="36"/>
  <c r="AF47" i="36"/>
  <c r="AL47" i="36"/>
  <c r="AG47" i="36"/>
  <c r="AI47" i="36"/>
  <c r="AH47" i="36"/>
  <c r="AM47" i="36"/>
  <c r="AJ51" i="36"/>
  <c r="AK51" i="36"/>
  <c r="AF51" i="36"/>
  <c r="AL51" i="36"/>
  <c r="AG51" i="36"/>
  <c r="AI51" i="36"/>
  <c r="AH51" i="36"/>
  <c r="AM51" i="36"/>
  <c r="AJ59" i="36"/>
  <c r="AK59" i="36"/>
  <c r="AF59" i="36"/>
  <c r="AL59" i="36"/>
  <c r="AG59" i="36"/>
  <c r="AH59" i="36"/>
  <c r="AM59" i="36"/>
  <c r="AI59" i="36"/>
  <c r="AJ13" i="36"/>
  <c r="AG13" i="36"/>
  <c r="AK13" i="36"/>
  <c r="AI13" i="36"/>
  <c r="AL13" i="36"/>
  <c r="AM13" i="36"/>
  <c r="AF13" i="36"/>
  <c r="AH13" i="36"/>
  <c r="AJ17" i="36"/>
  <c r="AG17" i="36"/>
  <c r="AK17" i="36"/>
  <c r="AI17" i="36"/>
  <c r="AL17" i="36"/>
  <c r="AM17" i="36"/>
  <c r="AF17" i="36"/>
  <c r="AH17" i="36"/>
  <c r="AJ21" i="36"/>
  <c r="AG21" i="36"/>
  <c r="AK21" i="36"/>
  <c r="AI21" i="36"/>
  <c r="AL21" i="36"/>
  <c r="AF21" i="36"/>
  <c r="AM21" i="36"/>
  <c r="AH21" i="36"/>
  <c r="AJ25" i="36"/>
  <c r="AG25" i="36"/>
  <c r="AK25" i="36"/>
  <c r="AI25" i="36"/>
  <c r="AL25" i="36"/>
  <c r="AM25" i="36"/>
  <c r="AF25" i="36"/>
  <c r="AH25" i="36"/>
  <c r="AJ29" i="36"/>
  <c r="AG29" i="36"/>
  <c r="AK29" i="36"/>
  <c r="AI29" i="36"/>
  <c r="AL29" i="36"/>
  <c r="AM29" i="36"/>
  <c r="AF29" i="36"/>
  <c r="AH29" i="36"/>
  <c r="AJ33" i="36"/>
  <c r="AG33" i="36"/>
  <c r="AK33" i="36"/>
  <c r="AI33" i="36"/>
  <c r="AL33" i="36"/>
  <c r="AM33" i="36"/>
  <c r="AF33" i="36"/>
  <c r="AH33" i="36"/>
  <c r="AJ37" i="36"/>
  <c r="AG37" i="36"/>
  <c r="AK37" i="36"/>
  <c r="AI37" i="36"/>
  <c r="AL37" i="36"/>
  <c r="AF37" i="36"/>
  <c r="AM37" i="36"/>
  <c r="AH37" i="36"/>
  <c r="AJ41" i="36"/>
  <c r="AG41" i="36"/>
  <c r="AK41" i="36"/>
  <c r="AI41" i="36"/>
  <c r="AL41" i="36"/>
  <c r="AM41" i="36"/>
  <c r="AF41" i="36"/>
  <c r="AH41" i="36"/>
  <c r="AJ45" i="36"/>
  <c r="AG45" i="36"/>
  <c r="AK45" i="36"/>
  <c r="AI45" i="36"/>
  <c r="AL45" i="36"/>
  <c r="AM45" i="36"/>
  <c r="AF45" i="36"/>
  <c r="AH45" i="36"/>
  <c r="AJ49" i="36"/>
  <c r="AG49" i="36"/>
  <c r="AK49" i="36"/>
  <c r="AI49" i="36"/>
  <c r="AL49" i="36"/>
  <c r="AM49" i="36"/>
  <c r="AF49" i="36"/>
  <c r="AH49" i="36"/>
  <c r="AJ53" i="36"/>
  <c r="AG53" i="36"/>
  <c r="AK53" i="36"/>
  <c r="AI53" i="36"/>
  <c r="AL53" i="36"/>
  <c r="AF53" i="36"/>
  <c r="AM53" i="36"/>
  <c r="AH53" i="36"/>
  <c r="AJ57" i="36"/>
  <c r="AG57" i="36"/>
  <c r="AK57" i="36"/>
  <c r="AI57" i="36"/>
  <c r="AL57" i="36"/>
  <c r="AM57" i="36"/>
  <c r="AF57" i="36"/>
  <c r="AH57" i="36"/>
  <c r="AJ19" i="36"/>
  <c r="AK19" i="36"/>
  <c r="AF19" i="36"/>
  <c r="AL19" i="36"/>
  <c r="AG19" i="36"/>
  <c r="AI19" i="36"/>
  <c r="AH19" i="36"/>
  <c r="AM19" i="36"/>
  <c r="AJ23" i="36"/>
  <c r="AK23" i="36"/>
  <c r="AF23" i="36"/>
  <c r="AL23" i="36"/>
  <c r="AG23" i="36"/>
  <c r="AH23" i="36"/>
  <c r="AI23" i="36"/>
  <c r="AM23" i="36"/>
  <c r="AJ39" i="36"/>
  <c r="AK39" i="36"/>
  <c r="AF39" i="36"/>
  <c r="AL39" i="36"/>
  <c r="AG39" i="36"/>
  <c r="AH39" i="36"/>
  <c r="AI39" i="36"/>
  <c r="AM39" i="36"/>
  <c r="AJ55" i="36"/>
  <c r="AK55" i="36"/>
  <c r="AF55" i="36"/>
  <c r="AL55" i="36"/>
  <c r="AG55" i="36"/>
  <c r="AH55" i="36"/>
  <c r="AI55" i="36"/>
  <c r="AM55" i="36"/>
  <c r="AJ14" i="36"/>
  <c r="AF14" i="36"/>
  <c r="AK14" i="36"/>
  <c r="AG14" i="36"/>
  <c r="AL14" i="36"/>
  <c r="AI14" i="36"/>
  <c r="AH14" i="36"/>
  <c r="AM14" i="36"/>
  <c r="AJ18" i="36"/>
  <c r="AF18" i="36"/>
  <c r="AK18" i="36"/>
  <c r="AG18" i="36"/>
  <c r="AL18" i="36"/>
  <c r="AI18" i="36"/>
  <c r="AM18" i="36"/>
  <c r="AH18" i="36"/>
  <c r="AJ22" i="36"/>
  <c r="AF22" i="36"/>
  <c r="AK22" i="36"/>
  <c r="AG22" i="36"/>
  <c r="AL22" i="36"/>
  <c r="AI22" i="36"/>
  <c r="AH22" i="36"/>
  <c r="AM22" i="36"/>
  <c r="AJ26" i="36"/>
  <c r="AF26" i="36"/>
  <c r="AK26" i="36"/>
  <c r="AG26" i="36"/>
  <c r="AL26" i="36"/>
  <c r="AI26" i="36"/>
  <c r="AH26" i="36"/>
  <c r="AM26" i="36"/>
  <c r="AJ30" i="36"/>
  <c r="AF30" i="36"/>
  <c r="AK30" i="36"/>
  <c r="AG30" i="36"/>
  <c r="AL30" i="36"/>
  <c r="AI30" i="36"/>
  <c r="AH30" i="36"/>
  <c r="AM30" i="36"/>
  <c r="AJ34" i="36"/>
  <c r="AF34" i="36"/>
  <c r="AK34" i="36"/>
  <c r="AG34" i="36"/>
  <c r="AL34" i="36"/>
  <c r="AI34" i="36"/>
  <c r="AM34" i="36"/>
  <c r="AH34" i="36"/>
  <c r="AJ38" i="36"/>
  <c r="AF38" i="36"/>
  <c r="AK38" i="36"/>
  <c r="AG38" i="36"/>
  <c r="AL38" i="36"/>
  <c r="AI38" i="36"/>
  <c r="AH38" i="36"/>
  <c r="AM38" i="36"/>
  <c r="AJ42" i="36"/>
  <c r="AF42" i="36"/>
  <c r="AK42" i="36"/>
  <c r="AG42" i="36"/>
  <c r="AL42" i="36"/>
  <c r="AI42" i="36"/>
  <c r="AM42" i="36"/>
  <c r="AH42" i="36"/>
  <c r="AJ46" i="36"/>
  <c r="AF46" i="36"/>
  <c r="AK46" i="36"/>
  <c r="AG46" i="36"/>
  <c r="AL46" i="36"/>
  <c r="AI46" i="36"/>
  <c r="AH46" i="36"/>
  <c r="AM46" i="36"/>
  <c r="AJ50" i="36"/>
  <c r="AF50" i="36"/>
  <c r="AK50" i="36"/>
  <c r="AG50" i="36"/>
  <c r="AL50" i="36"/>
  <c r="AI50" i="36"/>
  <c r="AM50" i="36"/>
  <c r="AH50" i="36"/>
  <c r="AJ54" i="36"/>
  <c r="AK54" i="36"/>
  <c r="AG54" i="36"/>
  <c r="AL54" i="36"/>
  <c r="AI54" i="36"/>
  <c r="AH54" i="36"/>
  <c r="AF54" i="36"/>
  <c r="AM54" i="36"/>
  <c r="AJ58" i="36"/>
  <c r="AK58" i="36"/>
  <c r="AG58" i="36"/>
  <c r="AL58" i="36"/>
  <c r="AI58" i="36"/>
  <c r="AM58" i="36"/>
  <c r="AF58" i="36"/>
  <c r="AH58" i="36"/>
  <c r="AM11" i="36"/>
  <c r="AH11" i="36"/>
  <c r="S133" i="36" s="1"/>
  <c r="AL11" i="36"/>
  <c r="AI11" i="36"/>
  <c r="AJ11" i="36"/>
  <c r="AG11" i="36"/>
  <c r="AK11" i="36"/>
  <c r="AF11" i="36"/>
  <c r="O135" i="36" l="1"/>
  <c r="O216" i="28" s="1"/>
  <c r="O133" i="36"/>
  <c r="O215" i="28" s="1"/>
  <c r="U135" i="36"/>
  <c r="X216" i="28" s="1"/>
  <c r="U215" i="28"/>
  <c r="S135" i="36"/>
  <c r="U133" i="36"/>
  <c r="Q135" i="36"/>
  <c r="R216" i="28" s="1"/>
  <c r="Q133" i="36"/>
  <c r="U216" i="28" l="1"/>
  <c r="S137" i="36"/>
  <c r="O137" i="36"/>
  <c r="Q137" i="36"/>
  <c r="R215" i="28"/>
  <c r="U137" i="36"/>
  <c r="X215" i="28"/>
  <c r="O368" i="28"/>
  <c r="M376" i="28"/>
  <c r="M375" i="28" l="1"/>
  <c r="D46" i="35"/>
  <c r="O340" i="28"/>
  <c r="O342" i="28" l="1"/>
  <c r="D37" i="35"/>
  <c r="D34" i="35"/>
  <c r="D36" i="35" l="1"/>
  <c r="D28" i="35"/>
  <c r="C55" i="35"/>
  <c r="D55" i="35" s="1"/>
  <c r="M371" i="28" s="1"/>
  <c r="C54" i="35"/>
  <c r="D54" i="35" s="1"/>
  <c r="M367" i="28" s="1"/>
  <c r="O102" i="28"/>
  <c r="K102" i="28"/>
  <c r="C19" i="35"/>
  <c r="D19" i="35" s="1"/>
  <c r="C3" i="35"/>
  <c r="W346" i="28"/>
  <c r="W345" i="28"/>
  <c r="W280" i="28"/>
  <c r="W320" i="28" s="1"/>
  <c r="W279" i="28"/>
  <c r="W319" i="28" s="1"/>
  <c r="W270" i="28"/>
  <c r="W269" i="28"/>
  <c r="M315" i="28"/>
  <c r="M294" i="28"/>
  <c r="M295" i="28"/>
  <c r="M292" i="28" l="1"/>
  <c r="C17" i="35"/>
  <c r="D17" i="35" s="1"/>
  <c r="C11" i="34"/>
  <c r="D11" i="34" s="1"/>
  <c r="F102" i="28"/>
  <c r="C18" i="35" s="1"/>
  <c r="D18" i="35" l="1"/>
  <c r="D13" i="35" s="1"/>
  <c r="D7" i="35" s="1"/>
  <c r="D12" i="35"/>
  <c r="D6" i="35" s="1"/>
  <c r="C16" i="35"/>
  <c r="D16" i="35" s="1"/>
  <c r="C12" i="34"/>
  <c r="D12" i="34" s="1"/>
  <c r="M307" i="28"/>
  <c r="M302" i="28"/>
  <c r="M303" i="28"/>
  <c r="O303" i="28" l="1"/>
  <c r="M301" i="28"/>
  <c r="O302" i="28"/>
  <c r="O305" i="28"/>
  <c r="O367" i="28"/>
  <c r="D11" i="35" l="1"/>
  <c r="D5" i="35" s="1"/>
  <c r="M300" i="28"/>
  <c r="M305" i="28"/>
  <c r="M342" i="28"/>
  <c r="M336" i="28"/>
  <c r="M313" i="28"/>
  <c r="M291" i="28"/>
  <c r="M314" i="28"/>
  <c r="M338" i="28"/>
  <c r="M343" i="28"/>
  <c r="M290" i="28"/>
  <c r="M308" i="28"/>
  <c r="M298" i="28"/>
  <c r="M299" i="28"/>
  <c r="M339" i="28"/>
  <c r="M335" i="28"/>
  <c r="M304" i="28"/>
  <c r="O336" i="28" l="1"/>
  <c r="O308" i="28"/>
  <c r="U299" i="28"/>
  <c r="O300" i="28"/>
  <c r="O298" i="28"/>
  <c r="M340" i="28"/>
  <c r="M296" i="28"/>
  <c r="M289" i="28"/>
  <c r="M337" i="28"/>
  <c r="M297" i="28"/>
  <c r="S291" i="28"/>
  <c r="M333" i="28"/>
  <c r="M312" i="28"/>
  <c r="O304" i="28"/>
  <c r="S290" i="28"/>
  <c r="O296" i="28" l="1"/>
  <c r="U297" i="28"/>
  <c r="S289" i="28"/>
  <c r="M206" i="28" l="1"/>
  <c r="M205" i="28" l="1"/>
  <c r="M204" i="28"/>
  <c r="M201" i="28"/>
  <c r="M193" i="28"/>
  <c r="M192" i="28" s="1"/>
  <c r="M190" i="28"/>
  <c r="M189" i="28" s="1"/>
  <c r="M187" i="28"/>
  <c r="M186" i="28" s="1"/>
  <c r="M184" i="28"/>
  <c r="M183" i="28" s="1"/>
  <c r="C46" i="34" l="1"/>
  <c r="D46" i="34" s="1"/>
  <c r="C45" i="34"/>
  <c r="D45" i="34" s="1"/>
  <c r="C13" i="34"/>
  <c r="D13" i="34" s="1"/>
  <c r="C10" i="34"/>
  <c r="D10" i="34" s="1"/>
  <c r="D48" i="34" s="1"/>
  <c r="D47" i="34" s="1"/>
  <c r="C3" i="34"/>
  <c r="D8" i="34" l="1"/>
  <c r="D4" i="34" s="1"/>
  <c r="D9" i="34"/>
  <c r="D5" i="34" s="1"/>
  <c r="M200" i="28"/>
  <c r="D7" i="34"/>
  <c r="I6" i="34" s="1"/>
  <c r="AL116" i="28"/>
  <c r="AK116" i="28"/>
  <c r="AJ116" i="28"/>
  <c r="AI116" i="28"/>
  <c r="AH116" i="28"/>
  <c r="AG116" i="28"/>
  <c r="AF116" i="28"/>
  <c r="AE116" i="28"/>
  <c r="AD116" i="28"/>
  <c r="AC116" i="28"/>
  <c r="AB116" i="28"/>
  <c r="AA116" i="28"/>
  <c r="P118" i="28" s="1"/>
  <c r="M153" i="28"/>
  <c r="M152" i="28"/>
  <c r="M161" i="28"/>
  <c r="I4" i="34" l="1"/>
  <c r="I5" i="34" s="1"/>
  <c r="I4" i="35"/>
  <c r="I5" i="35" s="1"/>
  <c r="D3" i="34"/>
  <c r="O169" i="28"/>
  <c r="O150" i="28"/>
  <c r="X147" i="28"/>
  <c r="U144" i="28"/>
  <c r="O141" i="28"/>
  <c r="O153" i="28"/>
  <c r="O156" i="28"/>
  <c r="O138" i="28"/>
  <c r="M151" i="28"/>
  <c r="O377" i="28"/>
  <c r="O295" i="28"/>
  <c r="O375" i="28"/>
  <c r="O292" i="28"/>
  <c r="O173" i="28"/>
  <c r="O168" i="28"/>
  <c r="O140" i="28"/>
  <c r="M147" i="28"/>
  <c r="M175" i="28"/>
  <c r="M168" i="28"/>
  <c r="M159" i="28"/>
  <c r="M149" i="28"/>
  <c r="M155" i="28"/>
  <c r="M134" i="28"/>
  <c r="M146" i="28"/>
  <c r="M172" i="28"/>
  <c r="M160" i="28"/>
  <c r="M140" i="28"/>
  <c r="U129" i="28"/>
  <c r="M135" i="28"/>
  <c r="M162" i="28"/>
  <c r="M138" i="28"/>
  <c r="M150" i="28"/>
  <c r="M176" i="28"/>
  <c r="M169" i="28"/>
  <c r="M141" i="28"/>
  <c r="M144" i="28"/>
  <c r="O129" i="28"/>
  <c r="M137" i="28"/>
  <c r="M143" i="28"/>
  <c r="M171" i="28"/>
  <c r="M156" i="28"/>
  <c r="M142" i="28" l="1"/>
  <c r="M136" i="28"/>
  <c r="O133" i="28"/>
  <c r="U133" i="28"/>
  <c r="M154" i="28"/>
  <c r="M173" i="28"/>
  <c r="M166" i="28"/>
  <c r="M157" i="28"/>
  <c r="M170" i="28"/>
  <c r="M139" i="28"/>
  <c r="M145" i="28"/>
  <c r="O160" i="28"/>
  <c r="M148" i="28"/>
  <c r="O294" i="28"/>
  <c r="O376" i="28"/>
  <c r="O301" i="28"/>
  <c r="O175" i="28"/>
  <c r="O335" i="28"/>
  <c r="O337" i="28"/>
  <c r="O139" i="28"/>
  <c r="O166" i="28"/>
  <c r="C15" i="35"/>
  <c r="F100" i="28"/>
  <c r="C14" i="35" s="1"/>
  <c r="F98" i="28"/>
  <c r="O200" i="28"/>
  <c r="O189" i="28"/>
  <c r="O149" i="28"/>
  <c r="AL112" i="28"/>
  <c r="AK112" i="28"/>
  <c r="AJ112" i="28"/>
  <c r="AI112" i="28"/>
  <c r="AH112" i="28"/>
  <c r="AG112" i="28"/>
  <c r="AF112" i="28"/>
  <c r="AE112" i="28"/>
  <c r="AD112" i="28"/>
  <c r="AC112" i="28"/>
  <c r="AB112" i="28"/>
  <c r="AA112" i="28"/>
  <c r="P114" i="28" l="1"/>
  <c r="D15" i="35"/>
  <c r="D59" i="35" s="1"/>
  <c r="D58" i="35" s="1"/>
  <c r="D14" i="35"/>
  <c r="D57" i="35" s="1"/>
  <c r="D56" i="35" s="1"/>
  <c r="O188" i="28"/>
  <c r="O338" i="28"/>
  <c r="O333" i="28"/>
  <c r="O186" i="28"/>
  <c r="O148" i="28"/>
  <c r="O192" i="28"/>
  <c r="O190" i="28"/>
  <c r="O159" i="28"/>
  <c r="O170" i="28"/>
  <c r="O171" i="28" s="1"/>
  <c r="O137" i="28"/>
  <c r="U143" i="28"/>
  <c r="X146" i="28"/>
  <c r="O152" i="28"/>
  <c r="O155" i="28"/>
  <c r="O162" i="28"/>
  <c r="O183" i="28" l="1"/>
  <c r="O224" i="28" s="1"/>
  <c r="I312" i="28"/>
  <c r="M362" i="28" s="1"/>
  <c r="O362" i="28" s="1"/>
  <c r="O195" i="28"/>
  <c r="O185" i="28"/>
  <c r="O225" i="28" s="1"/>
  <c r="D9" i="35"/>
  <c r="M378" i="28"/>
  <c r="D10" i="35"/>
  <c r="D4" i="35" s="1"/>
  <c r="M364" i="28"/>
  <c r="X221" i="28"/>
  <c r="U221" i="28"/>
  <c r="R221" i="28"/>
  <c r="O221" i="28"/>
  <c r="O363" i="28"/>
  <c r="X179" i="28"/>
  <c r="U179" i="28"/>
  <c r="O179" i="28"/>
  <c r="O187" i="28"/>
  <c r="O151" i="28"/>
  <c r="X145" i="28"/>
  <c r="O136" i="28"/>
  <c r="O157" i="28"/>
  <c r="O154" i="28"/>
  <c r="U142" i="28"/>
  <c r="O193" i="28"/>
  <c r="Y264" i="28"/>
  <c r="M286" i="28"/>
  <c r="M287" i="28"/>
  <c r="M285" i="28"/>
  <c r="S263" i="28"/>
  <c r="O263" i="28"/>
  <c r="M288" i="28"/>
  <c r="M282" i="28"/>
  <c r="U263" i="28"/>
  <c r="S264" i="28"/>
  <c r="M283" i="28"/>
  <c r="U264" i="28"/>
  <c r="M284" i="28"/>
  <c r="M281" i="28"/>
  <c r="Y263" i="28"/>
  <c r="O264" i="28"/>
  <c r="D3" i="35" l="1"/>
  <c r="I6" i="35"/>
  <c r="U224" i="28"/>
  <c r="M363" i="28"/>
  <c r="R220" i="28"/>
  <c r="R236" i="28" s="1"/>
  <c r="O220" i="28"/>
  <c r="O228" i="28" s="1"/>
  <c r="M361" i="28"/>
  <c r="M360" i="28" s="1"/>
  <c r="O360" i="28" s="1"/>
  <c r="M368" i="28"/>
  <c r="O313" i="28"/>
  <c r="O314" i="28"/>
  <c r="M373" i="28"/>
  <c r="M374" i="28"/>
  <c r="U225" i="28"/>
  <c r="X212" i="28"/>
  <c r="X214" i="28" s="1"/>
  <c r="R225" i="28"/>
  <c r="R212" i="28"/>
  <c r="R214" i="28" s="1"/>
  <c r="X225" i="28"/>
  <c r="O184" i="28"/>
  <c r="U212" i="28"/>
  <c r="U214" i="28" s="1"/>
  <c r="U279" i="28"/>
  <c r="O279" i="28"/>
  <c r="U280" i="28"/>
  <c r="U328" i="28" s="1"/>
  <c r="Y279" i="28"/>
  <c r="S280" i="28"/>
  <c r="S328" i="28" s="1"/>
  <c r="O280" i="28"/>
  <c r="Y280" i="28"/>
  <c r="Y316" i="28" s="1"/>
  <c r="S279" i="28"/>
  <c r="O212" i="28"/>
  <c r="X220" i="28"/>
  <c r="X228" i="28" s="1"/>
  <c r="U220" i="28"/>
  <c r="U228" i="28" s="1"/>
  <c r="O177" i="28"/>
  <c r="O211" i="28" s="1"/>
  <c r="X177" i="28"/>
  <c r="X211" i="28" s="1"/>
  <c r="U177" i="28"/>
  <c r="U211" i="28" s="1"/>
  <c r="X224" i="28"/>
  <c r="R224" i="28"/>
  <c r="X237" i="28"/>
  <c r="X229" i="28"/>
  <c r="X223" i="28"/>
  <c r="U237" i="28"/>
  <c r="U229" i="28"/>
  <c r="U223" i="28"/>
  <c r="R237" i="28"/>
  <c r="R229" i="28"/>
  <c r="R223" i="28"/>
  <c r="O237" i="28"/>
  <c r="O229" i="28"/>
  <c r="O223" i="28"/>
  <c r="M273" i="28"/>
  <c r="M275" i="28"/>
  <c r="O262" i="28"/>
  <c r="M271" i="28"/>
  <c r="S261" i="28"/>
  <c r="M276" i="28"/>
  <c r="M321" i="28"/>
  <c r="Y262" i="28"/>
  <c r="U261" i="28"/>
  <c r="M278" i="28"/>
  <c r="M272" i="28"/>
  <c r="O261" i="28"/>
  <c r="M274" i="28"/>
  <c r="S262" i="28"/>
  <c r="Y261" i="28"/>
  <c r="M277" i="28"/>
  <c r="U262" i="28"/>
  <c r="U269" i="28" l="1"/>
  <c r="U325" i="28" s="1"/>
  <c r="O269" i="28"/>
  <c r="O414" i="28" s="1"/>
  <c r="Y270" i="28"/>
  <c r="Y326" i="28" s="1"/>
  <c r="U270" i="28"/>
  <c r="U326" i="28" s="1"/>
  <c r="S270" i="28"/>
  <c r="S326" i="28" s="1"/>
  <c r="Y269" i="28"/>
  <c r="Y325" i="28" s="1"/>
  <c r="S269" i="28"/>
  <c r="S325" i="28" s="1"/>
  <c r="O270" i="28"/>
  <c r="O326" i="28" s="1"/>
  <c r="R211" i="28"/>
  <c r="R213" i="28" s="1"/>
  <c r="R217" i="28" s="1"/>
  <c r="Y350" i="28"/>
  <c r="U350" i="28"/>
  <c r="O350" i="28"/>
  <c r="O386" i="28" s="1"/>
  <c r="S350" i="28"/>
  <c r="S386" i="28" s="1"/>
  <c r="U349" i="28"/>
  <c r="Y349" i="28"/>
  <c r="S349" i="28"/>
  <c r="S385" i="28" s="1"/>
  <c r="O312" i="28"/>
  <c r="O458" i="28"/>
  <c r="Q458" i="28" s="1"/>
  <c r="S458" i="28" s="1"/>
  <c r="U458" i="28" s="1"/>
  <c r="W458" i="28" s="1"/>
  <c r="Y458" i="28" s="1"/>
  <c r="O420" i="28"/>
  <c r="W421" i="28" s="1"/>
  <c r="O325" i="28"/>
  <c r="O236" i="28"/>
  <c r="O361" i="28"/>
  <c r="X218" i="28"/>
  <c r="U218" i="28"/>
  <c r="Y322" i="28"/>
  <c r="Y414" i="28"/>
  <c r="U321" i="28"/>
  <c r="O321" i="28"/>
  <c r="S321" i="28"/>
  <c r="O322" i="28"/>
  <c r="Y321" i="28"/>
  <c r="U322" i="28"/>
  <c r="S322" i="28"/>
  <c r="S319" i="28"/>
  <c r="S355" i="28" s="1"/>
  <c r="S331" i="28"/>
  <c r="O320" i="28"/>
  <c r="O356" i="28" s="1"/>
  <c r="O422" i="28" s="1"/>
  <c r="O460" i="28" s="1"/>
  <c r="O332" i="28"/>
  <c r="Y315" i="28"/>
  <c r="Y331" i="28"/>
  <c r="O315" i="28"/>
  <c r="O345" i="28" s="1"/>
  <c r="O331" i="28"/>
  <c r="Y327" i="28"/>
  <c r="O328" i="28"/>
  <c r="Y320" i="28"/>
  <c r="Y318" i="28" s="1"/>
  <c r="Y332" i="28"/>
  <c r="S320" i="28"/>
  <c r="S356" i="28" s="1"/>
  <c r="S332" i="28"/>
  <c r="S330" i="28" s="1"/>
  <c r="U316" i="28"/>
  <c r="U332" i="28"/>
  <c r="U330" i="28" s="1"/>
  <c r="U315" i="28"/>
  <c r="U331" i="28"/>
  <c r="S327" i="28"/>
  <c r="O327" i="28"/>
  <c r="Y328" i="28"/>
  <c r="U327" i="28"/>
  <c r="U319" i="28"/>
  <c r="U355" i="28" s="1"/>
  <c r="Y319" i="28"/>
  <c r="Y355" i="28" s="1"/>
  <c r="O319" i="28"/>
  <c r="O452" i="28" s="1"/>
  <c r="O456" i="28" s="1"/>
  <c r="U320" i="28"/>
  <c r="U356" i="28" s="1"/>
  <c r="S316" i="28"/>
  <c r="O316" i="28"/>
  <c r="S315" i="28"/>
  <c r="X213" i="28"/>
  <c r="X217" i="28" s="1"/>
  <c r="O213" i="28"/>
  <c r="O217" i="28" s="1"/>
  <c r="U213" i="28"/>
  <c r="U217" i="28" s="1"/>
  <c r="O178" i="28"/>
  <c r="U222" i="28"/>
  <c r="U240" i="28" s="1"/>
  <c r="X222" i="28"/>
  <c r="X240" i="28" s="1"/>
  <c r="X236" i="28"/>
  <c r="R228" i="28"/>
  <c r="U236" i="28"/>
  <c r="U178" i="28"/>
  <c r="X178" i="28"/>
  <c r="R222" i="28"/>
  <c r="R240" i="28" s="1"/>
  <c r="O222" i="28"/>
  <c r="R241" i="28"/>
  <c r="R233" i="28"/>
  <c r="O241" i="28"/>
  <c r="O233" i="28"/>
  <c r="R218" i="28"/>
  <c r="U241" i="28"/>
  <c r="U233" i="28"/>
  <c r="O214" i="28"/>
  <c r="O218" i="28" s="1"/>
  <c r="X241" i="28"/>
  <c r="X233" i="28"/>
  <c r="Y415" i="28" l="1"/>
  <c r="O324" i="28"/>
  <c r="Y323" i="28"/>
  <c r="S415" i="28"/>
  <c r="S419" i="28" s="1"/>
  <c r="U414" i="28"/>
  <c r="Q414" i="28"/>
  <c r="Y385" i="28"/>
  <c r="W414" i="28"/>
  <c r="W441" i="28" s="1"/>
  <c r="U385" i="28"/>
  <c r="O415" i="28"/>
  <c r="W386" i="28"/>
  <c r="U386" i="28"/>
  <c r="Q415" i="28"/>
  <c r="W415" i="28"/>
  <c r="S414" i="28"/>
  <c r="Y386" i="28"/>
  <c r="U415" i="28"/>
  <c r="U429" i="28" s="1"/>
  <c r="W385" i="28"/>
  <c r="Q386" i="28"/>
  <c r="Q390" i="28" s="1"/>
  <c r="O352" i="28"/>
  <c r="S352" i="28"/>
  <c r="S354" i="28" s="1"/>
  <c r="U352" i="28"/>
  <c r="Y352" i="28"/>
  <c r="O349" i="28"/>
  <c r="O385" i="28" s="1"/>
  <c r="S351" i="28"/>
  <c r="S353" i="28" s="1"/>
  <c r="U351" i="28"/>
  <c r="S346" i="28"/>
  <c r="S348" i="28" s="1"/>
  <c r="Y351" i="28"/>
  <c r="Y451" i="28"/>
  <c r="U413" i="28"/>
  <c r="O354" i="28"/>
  <c r="Y356" i="28"/>
  <c r="O355" i="28"/>
  <c r="O351" i="28"/>
  <c r="Q383" i="28"/>
  <c r="Q387" i="28" s="1"/>
  <c r="Q412" i="28"/>
  <c r="Q416" i="28" s="1"/>
  <c r="Y346" i="28"/>
  <c r="Y348" i="28" s="1"/>
  <c r="U346" i="28"/>
  <c r="U348" i="28" s="1"/>
  <c r="O346" i="28"/>
  <c r="O348" i="28" s="1"/>
  <c r="S345" i="28"/>
  <c r="Y345" i="28"/>
  <c r="Y347" i="28" s="1"/>
  <c r="U345" i="28"/>
  <c r="U347" i="28" s="1"/>
  <c r="O383" i="28"/>
  <c r="O387" i="28" s="1"/>
  <c r="S398" i="28"/>
  <c r="S402" i="28" s="1"/>
  <c r="Y413" i="28"/>
  <c r="W398" i="28"/>
  <c r="O421" i="28"/>
  <c r="U398" i="28"/>
  <c r="S421" i="28"/>
  <c r="U421" i="28"/>
  <c r="Y421" i="28"/>
  <c r="Q421" i="28"/>
  <c r="Y324" i="28"/>
  <c r="U329" i="28"/>
  <c r="Q452" i="28"/>
  <c r="Q456" i="28" s="1"/>
  <c r="S397" i="28"/>
  <c r="S401" i="28" s="1"/>
  <c r="W400" i="28"/>
  <c r="Q400" i="28"/>
  <c r="Q404" i="28" s="1"/>
  <c r="Y400" i="28"/>
  <c r="Q397" i="28"/>
  <c r="Q401" i="28" s="1"/>
  <c r="O398" i="28"/>
  <c r="O402" i="28" s="1"/>
  <c r="Y452" i="28"/>
  <c r="W450" i="28"/>
  <c r="U399" i="28"/>
  <c r="Q453" i="28"/>
  <c r="Q457" i="28" s="1"/>
  <c r="O453" i="28"/>
  <c r="O457" i="28" s="1"/>
  <c r="O485" i="28" s="1"/>
  <c r="W399" i="28"/>
  <c r="U400" i="28"/>
  <c r="O400" i="28"/>
  <c r="O404" i="28" s="1"/>
  <c r="W453" i="28"/>
  <c r="U324" i="28"/>
  <c r="W397" i="28"/>
  <c r="S400" i="28"/>
  <c r="S404" i="28" s="1"/>
  <c r="O397" i="28"/>
  <c r="O401" i="28" s="1"/>
  <c r="S399" i="28"/>
  <c r="S403" i="28" s="1"/>
  <c r="U397" i="28"/>
  <c r="O450" i="28"/>
  <c r="O454" i="28" s="1"/>
  <c r="Y397" i="28"/>
  <c r="Q451" i="28"/>
  <c r="Q455" i="28" s="1"/>
  <c r="S453" i="28"/>
  <c r="S457" i="28" s="1"/>
  <c r="S451" i="28"/>
  <c r="S455" i="28" s="1"/>
  <c r="Y398" i="28"/>
  <c r="O451" i="28"/>
  <c r="O455" i="28" s="1"/>
  <c r="Y399" i="28"/>
  <c r="O399" i="28"/>
  <c r="O403" i="28" s="1"/>
  <c r="U450" i="28"/>
  <c r="S450" i="28"/>
  <c r="Q450" i="28"/>
  <c r="Q454" i="28" s="1"/>
  <c r="S318" i="28"/>
  <c r="Q399" i="28"/>
  <c r="Q403" i="28" s="1"/>
  <c r="Q398" i="28"/>
  <c r="Q402" i="28" s="1"/>
  <c r="S452" i="28"/>
  <c r="W452" i="28"/>
  <c r="W413" i="28"/>
  <c r="U412" i="28"/>
  <c r="U323" i="28"/>
  <c r="W412" i="28"/>
  <c r="S413" i="28"/>
  <c r="S417" i="28" s="1"/>
  <c r="S324" i="28"/>
  <c r="Q413" i="28"/>
  <c r="Q417" i="28" s="1"/>
  <c r="O413" i="28"/>
  <c r="O417" i="28" s="1"/>
  <c r="S323" i="28"/>
  <c r="S412" i="28"/>
  <c r="O323" i="28"/>
  <c r="O412" i="28"/>
  <c r="Y412" i="28"/>
  <c r="Y450" i="28"/>
  <c r="U451" i="28"/>
  <c r="Y453" i="28"/>
  <c r="U452" i="28"/>
  <c r="W451" i="28"/>
  <c r="U317" i="28"/>
  <c r="U453" i="28"/>
  <c r="O329" i="28"/>
  <c r="O330" i="28"/>
  <c r="U318" i="28"/>
  <c r="Y317" i="28"/>
  <c r="Y330" i="28"/>
  <c r="S329" i="28"/>
  <c r="Y329" i="28"/>
  <c r="O317" i="28"/>
  <c r="S317" i="28"/>
  <c r="O318" i="28"/>
  <c r="U354" i="28"/>
  <c r="O353" i="28"/>
  <c r="Y353" i="28"/>
  <c r="U353" i="28"/>
  <c r="Y423" i="28"/>
  <c r="Y461" i="28" s="1"/>
  <c r="W422" i="28"/>
  <c r="W460" i="28" s="1"/>
  <c r="Q423" i="28"/>
  <c r="Q461" i="28" s="1"/>
  <c r="Q422" i="28"/>
  <c r="Q460" i="28" s="1"/>
  <c r="S422" i="28"/>
  <c r="S460" i="28" s="1"/>
  <c r="U423" i="28"/>
  <c r="U461" i="28" s="1"/>
  <c r="O423" i="28"/>
  <c r="O461" i="28" s="1"/>
  <c r="S423" i="28"/>
  <c r="S461" i="28" s="1"/>
  <c r="Y422" i="28"/>
  <c r="Y460" i="28" s="1"/>
  <c r="W423" i="28"/>
  <c r="W461" i="28" s="1"/>
  <c r="U422" i="28"/>
  <c r="U460" i="28" s="1"/>
  <c r="Y420" i="28"/>
  <c r="S420" i="28"/>
  <c r="O459" i="28"/>
  <c r="Q459" i="28" s="1"/>
  <c r="S459" i="28" s="1"/>
  <c r="U459" i="28" s="1"/>
  <c r="W459" i="28" s="1"/>
  <c r="Y459" i="28" s="1"/>
  <c r="U420" i="28"/>
  <c r="Q420" i="28"/>
  <c r="W420" i="28"/>
  <c r="O390" i="28"/>
  <c r="O419" i="28"/>
  <c r="U441" i="28"/>
  <c r="S390" i="28"/>
  <c r="Y441" i="28"/>
  <c r="Y429" i="28"/>
  <c r="Q419" i="28"/>
  <c r="O389" i="28"/>
  <c r="S389" i="28"/>
  <c r="O441" i="28"/>
  <c r="O429" i="28"/>
  <c r="O418" i="28"/>
  <c r="Q441" i="28"/>
  <c r="Q429" i="28"/>
  <c r="Q418" i="28"/>
  <c r="X232" i="28"/>
  <c r="X242" i="28" s="1"/>
  <c r="U232" i="28"/>
  <c r="U242" i="28" s="1"/>
  <c r="U244" i="28" s="1"/>
  <c r="U247" i="28" s="1"/>
  <c r="X243" i="28"/>
  <c r="X245" i="28" s="1"/>
  <c r="X248" i="28" s="1"/>
  <c r="O243" i="28"/>
  <c r="O245" i="28" s="1"/>
  <c r="O248" i="28" s="1"/>
  <c r="R243" i="28"/>
  <c r="R245" i="28" s="1"/>
  <c r="R248" i="28" s="1"/>
  <c r="R232" i="28"/>
  <c r="R242" i="28" s="1"/>
  <c r="R244" i="28" s="1"/>
  <c r="R247" i="28" s="1"/>
  <c r="O232" i="28"/>
  <c r="O240" i="28"/>
  <c r="U243" i="28"/>
  <c r="U245" i="28" s="1"/>
  <c r="U248" i="28" s="1"/>
  <c r="U396" i="28" l="1"/>
  <c r="W429" i="28"/>
  <c r="Y396" i="28"/>
  <c r="S429" i="28"/>
  <c r="S441" i="28"/>
  <c r="W396" i="28"/>
  <c r="S418" i="28"/>
  <c r="S435" i="28" s="1"/>
  <c r="Y478" i="28"/>
  <c r="Q385" i="28"/>
  <c r="Q389" i="28" s="1"/>
  <c r="W384" i="28"/>
  <c r="O347" i="28"/>
  <c r="U384" i="28"/>
  <c r="Y354" i="28"/>
  <c r="Y384" i="28"/>
  <c r="Y383" i="28"/>
  <c r="S384" i="28"/>
  <c r="S388" i="28" s="1"/>
  <c r="Q384" i="28"/>
  <c r="Q388" i="28" s="1"/>
  <c r="W383" i="28"/>
  <c r="W395" i="28" s="1"/>
  <c r="O384" i="28"/>
  <c r="O388" i="28" s="1"/>
  <c r="S383" i="28"/>
  <c r="S387" i="28" s="1"/>
  <c r="S347" i="28"/>
  <c r="U383" i="28"/>
  <c r="Y467" i="28"/>
  <c r="O242" i="28"/>
  <c r="O244" i="28" s="1"/>
  <c r="O247" i="28" s="1"/>
  <c r="O479" i="28"/>
  <c r="W478" i="28"/>
  <c r="Q485" i="28"/>
  <c r="O466" i="28"/>
  <c r="O472" i="28"/>
  <c r="U410" i="28"/>
  <c r="O478" i="28"/>
  <c r="Y410" i="28"/>
  <c r="O410" i="28"/>
  <c r="S466" i="28"/>
  <c r="Q479" i="28"/>
  <c r="Q473" i="28"/>
  <c r="S454" i="28"/>
  <c r="S472" i="28" s="1"/>
  <c r="Q467" i="28"/>
  <c r="W467" i="28"/>
  <c r="Q484" i="28"/>
  <c r="W410" i="28"/>
  <c r="S478" i="28"/>
  <c r="U467" i="28"/>
  <c r="S467" i="28"/>
  <c r="O473" i="28"/>
  <c r="S410" i="28"/>
  <c r="O467" i="28"/>
  <c r="S456" i="28"/>
  <c r="S473" i="28" s="1"/>
  <c r="W479" i="28"/>
  <c r="U466" i="28"/>
  <c r="Q410" i="28"/>
  <c r="S479" i="28"/>
  <c r="U478" i="28"/>
  <c r="Q472" i="28"/>
  <c r="Q478" i="28"/>
  <c r="Q466" i="28"/>
  <c r="Y479" i="28"/>
  <c r="U440" i="28"/>
  <c r="U428" i="28"/>
  <c r="W440" i="28"/>
  <c r="W428" i="28"/>
  <c r="Y440" i="28"/>
  <c r="Y428" i="28"/>
  <c r="S416" i="28"/>
  <c r="S428" i="28"/>
  <c r="S440" i="28"/>
  <c r="Q428" i="28"/>
  <c r="Q440" i="28"/>
  <c r="Y466" i="28"/>
  <c r="Y486" i="28" s="1"/>
  <c r="O416" i="28"/>
  <c r="O428" i="28"/>
  <c r="O440" i="28"/>
  <c r="U479" i="28"/>
  <c r="W466" i="28"/>
  <c r="O484" i="28"/>
  <c r="S396" i="28"/>
  <c r="O396" i="28"/>
  <c r="U409" i="28"/>
  <c r="Y409" i="28"/>
  <c r="S409" i="28"/>
  <c r="Q409" i="28"/>
  <c r="O409" i="28"/>
  <c r="W409" i="28"/>
  <c r="U449" i="28"/>
  <c r="U490" i="28" s="1"/>
  <c r="Y449" i="28"/>
  <c r="X244" i="28"/>
  <c r="X247" i="28" s="1"/>
  <c r="O447" i="28"/>
  <c r="O435" i="28"/>
  <c r="W449" i="28"/>
  <c r="W490" i="28" s="1"/>
  <c r="Q435" i="28"/>
  <c r="Q447" i="28"/>
  <c r="Y490" i="28" l="1"/>
  <c r="S447" i="28"/>
  <c r="Q396" i="28"/>
  <c r="O395" i="28"/>
  <c r="U395" i="28"/>
  <c r="S395" i="28"/>
  <c r="Q395" i="28"/>
  <c r="Y395" i="28"/>
  <c r="Y487" i="28"/>
  <c r="W486" i="28"/>
  <c r="W491" i="28" s="1"/>
  <c r="I250" i="28"/>
  <c r="O486" i="28"/>
  <c r="O491" i="28" s="1"/>
  <c r="Y492" i="28"/>
  <c r="Y495" i="28" s="1"/>
  <c r="Q487" i="28"/>
  <c r="Q492" i="28" s="1"/>
  <c r="U487" i="28"/>
  <c r="U492" i="28" s="1"/>
  <c r="U495" i="28" s="1"/>
  <c r="W487" i="28"/>
  <c r="W492" i="28" s="1"/>
  <c r="W495" i="28" s="1"/>
  <c r="Y491" i="28"/>
  <c r="U486" i="28"/>
  <c r="U491" i="28" s="1"/>
  <c r="O487" i="28"/>
  <c r="O492" i="28" s="1"/>
  <c r="S485" i="28"/>
  <c r="S487" i="28" s="1"/>
  <c r="S492" i="28" s="1"/>
  <c r="S484" i="28"/>
  <c r="S486" i="28" s="1"/>
  <c r="S491" i="28" s="1"/>
  <c r="Q486" i="28"/>
  <c r="Q491" i="28" s="1"/>
  <c r="W448" i="28"/>
  <c r="W489" i="28" s="1"/>
  <c r="U448" i="28"/>
  <c r="Y448" i="28"/>
  <c r="O446" i="28"/>
  <c r="O434" i="28"/>
  <c r="Q446" i="28"/>
  <c r="Q434" i="28"/>
  <c r="S434" i="28"/>
  <c r="S446" i="28"/>
  <c r="S449" i="28"/>
  <c r="S490" i="28" s="1"/>
  <c r="O449" i="28"/>
  <c r="O490" i="28" s="1"/>
  <c r="Q449" i="28"/>
  <c r="Q490" i="28" l="1"/>
  <c r="U489" i="28"/>
  <c r="U494" i="28" s="1"/>
  <c r="Y489" i="28"/>
  <c r="Y494" i="28" s="1"/>
  <c r="O495" i="28"/>
  <c r="W494" i="28"/>
  <c r="S495" i="28"/>
  <c r="S448" i="28"/>
  <c r="S489" i="28" s="1"/>
  <c r="S494" i="28" s="1"/>
  <c r="Q448" i="28"/>
  <c r="Q489" i="28" s="1"/>
  <c r="Q494" i="28" s="1"/>
  <c r="O448" i="28"/>
  <c r="O489" i="28" s="1"/>
  <c r="O494" i="28" s="1"/>
  <c r="Q495" i="28"/>
  <c r="I499" i="28" l="1"/>
  <c r="N23" i="28" l="1"/>
  <c r="J21" i="28" s="1"/>
</calcChain>
</file>

<file path=xl/sharedStrings.xml><?xml version="1.0" encoding="utf-8"?>
<sst xmlns="http://schemas.openxmlformats.org/spreadsheetml/2006/main" count="20273" uniqueCount="921">
  <si>
    <t>年</t>
    <rPh sb="0" eb="1">
      <t>ネン</t>
    </rPh>
    <phoneticPr fontId="1"/>
  </si>
  <si>
    <t>地域区分</t>
    <rPh sb="0" eb="2">
      <t>チイキ</t>
    </rPh>
    <rPh sb="2" eb="4">
      <t>クブン</t>
    </rPh>
    <phoneticPr fontId="1"/>
  </si>
  <si>
    <t>＜基本情報＞</t>
    <rPh sb="1" eb="3">
      <t>キホン</t>
    </rPh>
    <rPh sb="3" eb="5">
      <t>ジョウホウ</t>
    </rPh>
    <phoneticPr fontId="1"/>
  </si>
  <si>
    <t>区分</t>
    <rPh sb="0" eb="2">
      <t>クブン</t>
    </rPh>
    <phoneticPr fontId="3"/>
  </si>
  <si>
    <t>処遇改善等加算Ⅰ</t>
    <rPh sb="0" eb="7">
      <t>ショグウカイゼントウカサン</t>
    </rPh>
    <phoneticPr fontId="3"/>
  </si>
  <si>
    <t>療育支援加算</t>
    <phoneticPr fontId="1"/>
  </si>
  <si>
    <t>適用区分</t>
    <rPh sb="0" eb="2">
      <t>テキヨウ</t>
    </rPh>
    <rPh sb="2" eb="4">
      <t>クブン</t>
    </rPh>
    <phoneticPr fontId="1"/>
  </si>
  <si>
    <t>　うち処遇改善等加算Ⅰ分</t>
    <phoneticPr fontId="1"/>
  </si>
  <si>
    <t>基本分単価</t>
    <rPh sb="0" eb="2">
      <t>キホン</t>
    </rPh>
    <rPh sb="2" eb="3">
      <t>ブン</t>
    </rPh>
    <rPh sb="3" eb="5">
      <t>タンカ</t>
    </rPh>
    <phoneticPr fontId="3"/>
  </si>
  <si>
    <t>定員を恒常的に超過する場合</t>
    <phoneticPr fontId="1"/>
  </si>
  <si>
    <t>　うち処遇改善等加算Ⅰ分</t>
    <rPh sb="11" eb="12">
      <t>ブン</t>
    </rPh>
    <phoneticPr fontId="1"/>
  </si>
  <si>
    <t>20/100地域</t>
    <rPh sb="6" eb="8">
      <t>チイキ</t>
    </rPh>
    <phoneticPr fontId="1"/>
  </si>
  <si>
    <t>16/100地域</t>
    <rPh sb="6" eb="8">
      <t>チイキ</t>
    </rPh>
    <phoneticPr fontId="1"/>
  </si>
  <si>
    <t>15/100地域</t>
    <rPh sb="6" eb="8">
      <t>チイキ</t>
    </rPh>
    <phoneticPr fontId="1"/>
  </si>
  <si>
    <t>12/100地域</t>
    <rPh sb="6" eb="8">
      <t>チイキ</t>
    </rPh>
    <phoneticPr fontId="1"/>
  </si>
  <si>
    <t>10/100地域</t>
    <rPh sb="6" eb="8">
      <t>チイキ</t>
    </rPh>
    <phoneticPr fontId="1"/>
  </si>
  <si>
    <t>6/100地域</t>
    <rPh sb="5" eb="7">
      <t>チイキ</t>
    </rPh>
    <phoneticPr fontId="1"/>
  </si>
  <si>
    <t>3/100地域</t>
    <rPh sb="5" eb="7">
      <t>チイキ</t>
    </rPh>
    <phoneticPr fontId="1"/>
  </si>
  <si>
    <t>その他地域</t>
    <rPh sb="2" eb="3">
      <t>タ</t>
    </rPh>
    <rPh sb="3" eb="5">
      <t>チイキ</t>
    </rPh>
    <phoneticPr fontId="1"/>
  </si>
  <si>
    <t>月</t>
    <rPh sb="0" eb="1">
      <t>ツキ</t>
    </rPh>
    <phoneticPr fontId="1"/>
  </si>
  <si>
    <t>なし</t>
    <phoneticPr fontId="1"/>
  </si>
  <si>
    <t>日</t>
    <rPh sb="0" eb="1">
      <t>ニチ</t>
    </rPh>
    <phoneticPr fontId="1"/>
  </si>
  <si>
    <t>月</t>
    <rPh sb="0" eb="1">
      <t>ガツ</t>
    </rPh>
    <phoneticPr fontId="1"/>
  </si>
  <si>
    <t>代表者職/氏名</t>
    <phoneticPr fontId="1"/>
  </si>
  <si>
    <t>１．請求金額</t>
    <phoneticPr fontId="1"/>
  </si>
  <si>
    <t>円</t>
    <rPh sb="0" eb="1">
      <t>エン</t>
    </rPh>
    <phoneticPr fontId="1"/>
  </si>
  <si>
    <t>口座名義人</t>
    <rPh sb="0" eb="2">
      <t>コウザ</t>
    </rPh>
    <rPh sb="2" eb="5">
      <t>メイギニン</t>
    </rPh>
    <phoneticPr fontId="1"/>
  </si>
  <si>
    <t>振込先金融機関
（コード番号）</t>
    <rPh sb="0" eb="1">
      <t>フ</t>
    </rPh>
    <rPh sb="1" eb="2">
      <t>コ</t>
    </rPh>
    <rPh sb="2" eb="3">
      <t>サキ</t>
    </rPh>
    <rPh sb="3" eb="5">
      <t>キンユウ</t>
    </rPh>
    <rPh sb="5" eb="7">
      <t>キカン</t>
    </rPh>
    <rPh sb="12" eb="14">
      <t>バンゴウ</t>
    </rPh>
    <phoneticPr fontId="1"/>
  </si>
  <si>
    <t>金融機関コード</t>
    <rPh sb="0" eb="2">
      <t>キンユウ</t>
    </rPh>
    <rPh sb="2" eb="4">
      <t>キカン</t>
    </rPh>
    <phoneticPr fontId="1"/>
  </si>
  <si>
    <t>支店コード</t>
    <rPh sb="0" eb="2">
      <t>シテン</t>
    </rPh>
    <phoneticPr fontId="1"/>
  </si>
  <si>
    <t>預金種目</t>
    <rPh sb="0" eb="2">
      <t>ヨキン</t>
    </rPh>
    <rPh sb="2" eb="4">
      <t>シュモク</t>
    </rPh>
    <phoneticPr fontId="1"/>
  </si>
  <si>
    <t>口座番号</t>
    <rPh sb="0" eb="2">
      <t>コウザ</t>
    </rPh>
    <rPh sb="2" eb="4">
      <t>バンゴウ</t>
    </rPh>
    <phoneticPr fontId="1"/>
  </si>
  <si>
    <t>銀行</t>
    <rPh sb="0" eb="2">
      <t>ギンコウ</t>
    </rPh>
    <phoneticPr fontId="1"/>
  </si>
  <si>
    <t>普通</t>
    <rPh sb="0" eb="2">
      <t>フツウ</t>
    </rPh>
    <phoneticPr fontId="1"/>
  </si>
  <si>
    <t>金庫</t>
    <rPh sb="0" eb="2">
      <t>キンコ</t>
    </rPh>
    <phoneticPr fontId="1"/>
  </si>
  <si>
    <t>当座</t>
    <rPh sb="0" eb="2">
      <t>トウザ</t>
    </rPh>
    <phoneticPr fontId="1"/>
  </si>
  <si>
    <t>組合</t>
    <rPh sb="0" eb="2">
      <t>クミアイ</t>
    </rPh>
    <phoneticPr fontId="1"/>
  </si>
  <si>
    <t>○</t>
    <phoneticPr fontId="1"/>
  </si>
  <si>
    <t>開所時間</t>
    <rPh sb="0" eb="2">
      <t>カイショ</t>
    </rPh>
    <rPh sb="2" eb="4">
      <t>ジカン</t>
    </rPh>
    <phoneticPr fontId="1"/>
  </si>
  <si>
    <t>高齢者等活躍促進加算</t>
    <rPh sb="0" eb="3">
      <t>コウレイシャ</t>
    </rPh>
    <rPh sb="3" eb="4">
      <t>トウ</t>
    </rPh>
    <rPh sb="4" eb="6">
      <t>カツヤク</t>
    </rPh>
    <rPh sb="6" eb="8">
      <t>ソクシン</t>
    </rPh>
    <rPh sb="8" eb="10">
      <t>カサン</t>
    </rPh>
    <phoneticPr fontId="3"/>
  </si>
  <si>
    <t>施設・事業所番号</t>
    <rPh sb="0" eb="2">
      <t>シセツ</t>
    </rPh>
    <phoneticPr fontId="1"/>
  </si>
  <si>
    <t>施設・事業所名</t>
    <rPh sb="0" eb="2">
      <t>シセツ</t>
    </rPh>
    <phoneticPr fontId="1"/>
  </si>
  <si>
    <t>設置者・事業者名</t>
    <rPh sb="0" eb="3">
      <t>セッチシャ</t>
    </rPh>
    <rPh sb="4" eb="7">
      <t>ジギョウシャ</t>
    </rPh>
    <rPh sb="7" eb="8">
      <t>メイ</t>
    </rPh>
    <phoneticPr fontId="1"/>
  </si>
  <si>
    <t>施設・事業所番号</t>
    <rPh sb="0" eb="2">
      <t>シセツ</t>
    </rPh>
    <rPh sb="3" eb="6">
      <t>ジギョウショ</t>
    </rPh>
    <rPh sb="6" eb="8">
      <t>バンゴウ</t>
    </rPh>
    <phoneticPr fontId="1"/>
  </si>
  <si>
    <t>施設・事業所名</t>
    <rPh sb="0" eb="2">
      <t>シセツ</t>
    </rPh>
    <rPh sb="3" eb="6">
      <t>ジギョウショ</t>
    </rPh>
    <rPh sb="6" eb="7">
      <t>メイ</t>
    </rPh>
    <phoneticPr fontId="1"/>
  </si>
  <si>
    <t>　子ども・子育て支援法第27条（及び第28条）の規定に基づき、次のとおり子どものための教育・保育給付を請求します。</t>
    <phoneticPr fontId="1"/>
  </si>
  <si>
    <t>人数</t>
    <rPh sb="0" eb="2">
      <t>ニンズウ</t>
    </rPh>
    <phoneticPr fontId="1"/>
  </si>
  <si>
    <t>年齢別配置基準を下回る場合</t>
    <rPh sb="0" eb="2">
      <t>ネンレイ</t>
    </rPh>
    <rPh sb="2" eb="3">
      <t>ベツ</t>
    </rPh>
    <rPh sb="3" eb="5">
      <t>ハイチ</t>
    </rPh>
    <rPh sb="5" eb="7">
      <t>キジュン</t>
    </rPh>
    <rPh sb="8" eb="10">
      <t>シタマワ</t>
    </rPh>
    <rPh sb="11" eb="13">
      <t>バアイ</t>
    </rPh>
    <phoneticPr fontId="1"/>
  </si>
  <si>
    <t>事務職員配置加算</t>
    <rPh sb="4" eb="6">
      <t>ハイチ</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</si>
  <si>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</si>
  <si>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</si>
  <si>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処遇改善等加算Ⅱ</t>
    <rPh sb="0" eb="2">
      <t>ショグウ</t>
    </rPh>
    <rPh sb="2" eb="4">
      <t>カイゼン</t>
    </rPh>
    <rPh sb="4" eb="5">
      <t>トウ</t>
    </rPh>
    <rPh sb="5" eb="7">
      <t>カサン</t>
    </rPh>
    <phoneticPr fontId="1"/>
  </si>
  <si>
    <t>冷暖房費加算</t>
    <phoneticPr fontId="1"/>
  </si>
  <si>
    <t>年度</t>
    <rPh sb="0" eb="1">
      <t>ネン</t>
    </rPh>
    <rPh sb="1" eb="2">
      <t>ド</t>
    </rPh>
    <phoneticPr fontId="1"/>
  </si>
  <si>
    <t>～</t>
    <phoneticPr fontId="1"/>
  </si>
  <si>
    <t>子どものための教育・保育給付請求書</t>
    <rPh sb="0" eb="1">
      <t>コ</t>
    </rPh>
    <rPh sb="7" eb="9">
      <t>キョウイク</t>
    </rPh>
    <rPh sb="10" eb="12">
      <t>ホイク</t>
    </rPh>
    <rPh sb="12" eb="14">
      <t>キュウフ</t>
    </rPh>
    <rPh sb="14" eb="17">
      <t>セイキュウショ</t>
    </rPh>
    <phoneticPr fontId="1"/>
  </si>
  <si>
    <t>（</t>
    <phoneticPr fontId="1"/>
  </si>
  <si>
    <t>月分</t>
    <rPh sb="0" eb="1">
      <t>ガツ</t>
    </rPh>
    <rPh sb="1" eb="2">
      <t>ブン</t>
    </rPh>
    <phoneticPr fontId="1"/>
  </si>
  <si>
    <t>）</t>
    <phoneticPr fontId="1"/>
  </si>
  <si>
    <t>子どものための教育・保育給付等請求書</t>
    <rPh sb="0" eb="1">
      <t>コ</t>
    </rPh>
    <rPh sb="7" eb="9">
      <t>キョウイク</t>
    </rPh>
    <rPh sb="10" eb="12">
      <t>ホイク</t>
    </rPh>
    <rPh sb="12" eb="14">
      <t>キュウフ</t>
    </rPh>
    <rPh sb="14" eb="15">
      <t>トウ</t>
    </rPh>
    <rPh sb="15" eb="18">
      <t>セイキュウショ</t>
    </rPh>
    <phoneticPr fontId="1"/>
  </si>
  <si>
    <t>私立保育所に係る委託費請求書</t>
    <rPh sb="0" eb="2">
      <t>シリツ</t>
    </rPh>
    <rPh sb="2" eb="4">
      <t>ホイク</t>
    </rPh>
    <rPh sb="4" eb="5">
      <t>ショ</t>
    </rPh>
    <rPh sb="6" eb="7">
      <t>カカ</t>
    </rPh>
    <rPh sb="8" eb="10">
      <t>イタク</t>
    </rPh>
    <rPh sb="10" eb="11">
      <t>ヒ</t>
    </rPh>
    <rPh sb="11" eb="14">
      <t>セイキュウショ</t>
    </rPh>
    <phoneticPr fontId="1"/>
  </si>
  <si>
    <t>私立保育所に係る委託費等請求書</t>
    <rPh sb="0" eb="2">
      <t>シリツ</t>
    </rPh>
    <rPh sb="2" eb="4">
      <t>ホイク</t>
    </rPh>
    <rPh sb="4" eb="5">
      <t>ショ</t>
    </rPh>
    <rPh sb="6" eb="7">
      <t>カカ</t>
    </rPh>
    <rPh sb="8" eb="10">
      <t>イタク</t>
    </rPh>
    <rPh sb="10" eb="11">
      <t>ヒ</t>
    </rPh>
    <rPh sb="11" eb="12">
      <t>トウ</t>
    </rPh>
    <rPh sb="12" eb="15">
      <t>セイキュウショ</t>
    </rPh>
    <phoneticPr fontId="1"/>
  </si>
  <si>
    <t>＜請求者＞</t>
    <rPh sb="1" eb="4">
      <t>セイキュウシャ</t>
    </rPh>
    <phoneticPr fontId="1"/>
  </si>
  <si>
    <t>○○法人　○○</t>
    <rPh sb="2" eb="4">
      <t>ホウジン</t>
    </rPh>
    <phoneticPr fontId="1"/>
  </si>
  <si>
    <t>○○　○○</t>
    <phoneticPr fontId="1"/>
  </si>
  <si>
    <t>設置者・事業者所在地</t>
    <rPh sb="4" eb="7">
      <t>ジギョウシャ</t>
    </rPh>
    <rPh sb="7" eb="10">
      <t>ショザイチ</t>
    </rPh>
    <phoneticPr fontId="1"/>
  </si>
  <si>
    <t>○○県○○市○○</t>
    <rPh sb="2" eb="3">
      <t>ケン</t>
    </rPh>
    <rPh sb="5" eb="6">
      <t>シ</t>
    </rPh>
    <phoneticPr fontId="1"/>
  </si>
  <si>
    <t>○○○○○○○○○○○○○</t>
    <phoneticPr fontId="1"/>
  </si>
  <si>
    <t>施設・事業所所在地</t>
    <rPh sb="0" eb="2">
      <t>シセツ</t>
    </rPh>
    <rPh sb="6" eb="9">
      <t>ショザイチ</t>
    </rPh>
    <phoneticPr fontId="1"/>
  </si>
  <si>
    <t>請求書発行責任者氏名</t>
    <rPh sb="0" eb="3">
      <t>セイキュウショ</t>
    </rPh>
    <rPh sb="3" eb="5">
      <t>ハッコウ</t>
    </rPh>
    <rPh sb="5" eb="8">
      <t>セキニンシャ</t>
    </rPh>
    <rPh sb="8" eb="10">
      <t>シメイ</t>
    </rPh>
    <phoneticPr fontId="1"/>
  </si>
  <si>
    <t>請求書発行責任者連絡先</t>
    <rPh sb="0" eb="3">
      <t>セイキュウショ</t>
    </rPh>
    <rPh sb="3" eb="5">
      <t>ハッコウ</t>
    </rPh>
    <rPh sb="5" eb="8">
      <t>セキニンシャ</t>
    </rPh>
    <rPh sb="8" eb="11">
      <t>レンラクサキ</t>
    </rPh>
    <phoneticPr fontId="1"/>
  </si>
  <si>
    <t>○○-○○○○-○○○○</t>
    <phoneticPr fontId="1"/>
  </si>
  <si>
    <t>　子ども・子育て支援法第27条（及び第28条）等の規定に基づき、次のとおり子どものための教育・保育給付等を請求します。</t>
    <rPh sb="23" eb="24">
      <t>トウ</t>
    </rPh>
    <rPh sb="51" eb="52">
      <t>トウ</t>
    </rPh>
    <phoneticPr fontId="1"/>
  </si>
  <si>
    <t>　子ども・子育て支援法附則第６条の規定に基づき、次のとおり私立保育所に係る委託費を請求します。</t>
    <rPh sb="11" eb="13">
      <t>フソク</t>
    </rPh>
    <rPh sb="13" eb="14">
      <t>ダイ</t>
    </rPh>
    <rPh sb="15" eb="16">
      <t>ジョウ</t>
    </rPh>
    <rPh sb="29" eb="31">
      <t>シリツ</t>
    </rPh>
    <rPh sb="31" eb="33">
      <t>ホイク</t>
    </rPh>
    <rPh sb="33" eb="34">
      <t>ショ</t>
    </rPh>
    <rPh sb="35" eb="36">
      <t>カカ</t>
    </rPh>
    <rPh sb="37" eb="39">
      <t>イタク</t>
    </rPh>
    <rPh sb="39" eb="40">
      <t>ヒ</t>
    </rPh>
    <phoneticPr fontId="1"/>
  </si>
  <si>
    <t>　子ども・子育て支援法第29条（及び第30条）の規定に基づき、次のとおり子どものための教育・保育給付を請求します。</t>
    <phoneticPr fontId="1"/>
  </si>
  <si>
    <t>　子ども・子育て支援法第29条（及び第30条）等の規定に基づき、次のとおり子どものための教育・保育給付等を請求します。</t>
    <rPh sb="23" eb="24">
      <t>トウ</t>
    </rPh>
    <rPh sb="51" eb="52">
      <t>トウ</t>
    </rPh>
    <phoneticPr fontId="1"/>
  </si>
  <si>
    <t>金</t>
    <rPh sb="0" eb="1">
      <t>キン</t>
    </rPh>
    <phoneticPr fontId="1"/>
  </si>
  <si>
    <t>＜内訳＞</t>
    <rPh sb="1" eb="3">
      <t>ウチワケ</t>
    </rPh>
    <phoneticPr fontId="1"/>
  </si>
  <si>
    <t>子どものための教育・保育給付</t>
    <phoneticPr fontId="1"/>
  </si>
  <si>
    <t>自治体独自加算</t>
    <rPh sb="0" eb="3">
      <t>ジチタイ</t>
    </rPh>
    <rPh sb="3" eb="5">
      <t>ドクジ</t>
    </rPh>
    <rPh sb="5" eb="7">
      <t>カサン</t>
    </rPh>
    <phoneticPr fontId="1"/>
  </si>
  <si>
    <t>その他</t>
    <rPh sb="2" eb="3">
      <t>タ</t>
    </rPh>
    <phoneticPr fontId="1"/>
  </si>
  <si>
    <t>＜子どものための教育・保育に係る内訳＞</t>
    <rPh sb="1" eb="2">
      <t>コ</t>
    </rPh>
    <rPh sb="8" eb="10">
      <t>キョウイク</t>
    </rPh>
    <rPh sb="11" eb="13">
      <t>ホイク</t>
    </rPh>
    <rPh sb="14" eb="15">
      <t>カカ</t>
    </rPh>
    <rPh sb="16" eb="18">
      <t>ウチワケ</t>
    </rPh>
    <phoneticPr fontId="1"/>
  </si>
  <si>
    <t>＜教育部分＞</t>
    <rPh sb="1" eb="3">
      <t>キョウイク</t>
    </rPh>
    <rPh sb="3" eb="5">
      <t>ブブン</t>
    </rPh>
    <phoneticPr fontId="1"/>
  </si>
  <si>
    <t>当月分（概算）請求額</t>
    <rPh sb="4" eb="6">
      <t>ガイサン</t>
    </rPh>
    <phoneticPr fontId="1"/>
  </si>
  <si>
    <t>翌月以降分（概算）請求額</t>
    <rPh sb="0" eb="2">
      <t>ヨクゲツ</t>
    </rPh>
    <rPh sb="2" eb="4">
      <t>イコウ</t>
    </rPh>
    <rPh sb="4" eb="5">
      <t>ブン</t>
    </rPh>
    <rPh sb="6" eb="8">
      <t>ガイサン</t>
    </rPh>
    <rPh sb="9" eb="11">
      <t>セイキュウ</t>
    </rPh>
    <rPh sb="11" eb="12">
      <t>ガク</t>
    </rPh>
    <phoneticPr fontId="1"/>
  </si>
  <si>
    <t>うち</t>
    <phoneticPr fontId="1"/>
  </si>
  <si>
    <t>月分概算請求額</t>
    <rPh sb="0" eb="1">
      <t>ツキ</t>
    </rPh>
    <rPh sb="1" eb="2">
      <t>ブン</t>
    </rPh>
    <rPh sb="2" eb="4">
      <t>ガイサン</t>
    </rPh>
    <rPh sb="4" eb="6">
      <t>セイキュウ</t>
    </rPh>
    <rPh sb="6" eb="7">
      <t>ガク</t>
    </rPh>
    <phoneticPr fontId="1"/>
  </si>
  <si>
    <t>既支払分精算額（差額調整分）</t>
    <rPh sb="8" eb="10">
      <t>サガク</t>
    </rPh>
    <rPh sb="10" eb="12">
      <t>チョウセイ</t>
    </rPh>
    <rPh sb="12" eb="13">
      <t>ブン</t>
    </rPh>
    <phoneticPr fontId="1"/>
  </si>
  <si>
    <t>月分精算請求額</t>
    <rPh sb="0" eb="1">
      <t>ツキ</t>
    </rPh>
    <rPh sb="1" eb="2">
      <t>ブン</t>
    </rPh>
    <rPh sb="2" eb="4">
      <t>セイサン</t>
    </rPh>
    <rPh sb="4" eb="6">
      <t>セイキュウ</t>
    </rPh>
    <rPh sb="6" eb="7">
      <t>ガク</t>
    </rPh>
    <phoneticPr fontId="1"/>
  </si>
  <si>
    <t>＜保育部分＞</t>
    <rPh sb="1" eb="3">
      <t>ホイク</t>
    </rPh>
    <rPh sb="3" eb="5">
      <t>ブブン</t>
    </rPh>
    <phoneticPr fontId="1"/>
  </si>
  <si>
    <t>２．振込先</t>
    <rPh sb="2" eb="4">
      <t>フリコミ</t>
    </rPh>
    <phoneticPr fontId="1"/>
  </si>
  <si>
    <t>前回の請求時点から変更</t>
    <rPh sb="0" eb="2">
      <t>ゼンカイ</t>
    </rPh>
    <rPh sb="3" eb="5">
      <t>セイキュウ</t>
    </rPh>
    <rPh sb="5" eb="7">
      <t>ジテン</t>
    </rPh>
    <rPh sb="9" eb="11">
      <t>ヘンコウ</t>
    </rPh>
    <phoneticPr fontId="1"/>
  </si>
  <si>
    <t>あり（以下の振込先に係る記載のとおり変更願います）</t>
    <rPh sb="3" eb="5">
      <t>イカ</t>
    </rPh>
    <rPh sb="6" eb="9">
      <t>フリコミサキ</t>
    </rPh>
    <rPh sb="10" eb="11">
      <t>カカ</t>
    </rPh>
    <rPh sb="12" eb="14">
      <t>キサイ</t>
    </rPh>
    <rPh sb="18" eb="20">
      <t>ヘンコウ</t>
    </rPh>
    <rPh sb="20" eb="21">
      <t>ネガ</t>
    </rPh>
    <phoneticPr fontId="1"/>
  </si>
  <si>
    <t>なし（以下の振込先に係る記載は省略します）</t>
    <rPh sb="3" eb="5">
      <t>イカ</t>
    </rPh>
    <rPh sb="6" eb="9">
      <t>フリコミサキ</t>
    </rPh>
    <rPh sb="10" eb="11">
      <t>カカ</t>
    </rPh>
    <rPh sb="12" eb="14">
      <t>キサイ</t>
    </rPh>
    <rPh sb="15" eb="17">
      <t>ショウリャク</t>
    </rPh>
    <phoneticPr fontId="1"/>
  </si>
  <si>
    <t>○○</t>
    <phoneticPr fontId="1"/>
  </si>
  <si>
    <t>本</t>
    <rPh sb="0" eb="1">
      <t>ホン</t>
    </rPh>
    <phoneticPr fontId="1"/>
  </si>
  <si>
    <t>＜添付書類＞</t>
    <phoneticPr fontId="1"/>
  </si>
  <si>
    <t>子どものための教育・保育給付を請求するための明細書（子どものための教育・保育給付請求明細書）</t>
  </si>
  <si>
    <t>子どものための教育・保育給付を請求するための明細書（子どものための教育・保育給付請求明細書）</t>
    <phoneticPr fontId="1"/>
  </si>
  <si>
    <t>明細書に係る在籍児童の一覧（在籍児童一覧）</t>
    <phoneticPr fontId="1"/>
  </si>
  <si>
    <t>-</t>
    <phoneticPr fontId="1"/>
  </si>
  <si>
    <t>保育標準時間認定子どもに保育を行う時間</t>
    <rPh sb="0" eb="2">
      <t>ホイク</t>
    </rPh>
    <rPh sb="2" eb="4">
      <t>ヒョウジュン</t>
    </rPh>
    <rPh sb="4" eb="6">
      <t>ジカン</t>
    </rPh>
    <rPh sb="6" eb="8">
      <t>ニンテイ</t>
    </rPh>
    <rPh sb="8" eb="9">
      <t>コ</t>
    </rPh>
    <rPh sb="12" eb="14">
      <t>ホイク</t>
    </rPh>
    <rPh sb="15" eb="16">
      <t>オコナ</t>
    </rPh>
    <rPh sb="17" eb="19">
      <t>ジカン</t>
    </rPh>
    <phoneticPr fontId="1"/>
  </si>
  <si>
    <t>＜月初在籍児童（予定）数＞</t>
    <rPh sb="1" eb="3">
      <t>ゲッショ</t>
    </rPh>
    <rPh sb="3" eb="5">
      <t>ザイセキ</t>
    </rPh>
    <rPh sb="5" eb="7">
      <t>ジドウ</t>
    </rPh>
    <rPh sb="8" eb="10">
      <t>ヨテイ</t>
    </rPh>
    <rPh sb="11" eb="12">
      <t>スウ</t>
    </rPh>
    <phoneticPr fontId="1"/>
  </si>
  <si>
    <t>※請求先市区町村以外の児童を含む</t>
    <rPh sb="1" eb="3">
      <t>セイキュウ</t>
    </rPh>
    <rPh sb="3" eb="4">
      <t>サキ</t>
    </rPh>
    <rPh sb="4" eb="6">
      <t>シク</t>
    </rPh>
    <rPh sb="6" eb="8">
      <t>チョウソン</t>
    </rPh>
    <rPh sb="8" eb="10">
      <t>イガイ</t>
    </rPh>
    <rPh sb="11" eb="13">
      <t>ジドウ</t>
    </rPh>
    <rPh sb="14" eb="15">
      <t>フク</t>
    </rPh>
    <phoneticPr fontId="1"/>
  </si>
  <si>
    <t>請求月（</t>
    <rPh sb="0" eb="2">
      <t>セイキュウ</t>
    </rPh>
    <rPh sb="2" eb="3">
      <t>ツキ</t>
    </rPh>
    <phoneticPr fontId="1"/>
  </si>
  <si>
    <t>に係る</t>
    <rPh sb="1" eb="2">
      <t>カカ</t>
    </rPh>
    <phoneticPr fontId="1"/>
  </si>
  <si>
    <t>月初在籍児童（予定）数</t>
  </si>
  <si>
    <t>単価</t>
    <rPh sb="0" eb="2">
      <t>タンカ</t>
    </rPh>
    <phoneticPr fontId="1"/>
  </si>
  <si>
    <t>５歳児</t>
    <rPh sb="1" eb="2">
      <t>サイ</t>
    </rPh>
    <rPh sb="2" eb="3">
      <t>ジ</t>
    </rPh>
    <phoneticPr fontId="1"/>
  </si>
  <si>
    <t>４歳児</t>
    <rPh sb="1" eb="2">
      <t>サイ</t>
    </rPh>
    <rPh sb="2" eb="3">
      <t>ジ</t>
    </rPh>
    <phoneticPr fontId="1"/>
  </si>
  <si>
    <t>３歳児</t>
    <rPh sb="1" eb="3">
      <t>サイジ</t>
    </rPh>
    <phoneticPr fontId="1"/>
  </si>
  <si>
    <t>加算率</t>
    <rPh sb="0" eb="2">
      <t>カサン</t>
    </rPh>
    <rPh sb="2" eb="3">
      <t>リツ</t>
    </rPh>
    <phoneticPr fontId="1"/>
  </si>
  <si>
    <t>４歳以上児</t>
    <rPh sb="1" eb="4">
      <t>サイイジョウ</t>
    </rPh>
    <rPh sb="4" eb="5">
      <t>ジ</t>
    </rPh>
    <phoneticPr fontId="1"/>
  </si>
  <si>
    <t>適用</t>
    <rPh sb="0" eb="2">
      <t>テキヨウ</t>
    </rPh>
    <phoneticPr fontId="1"/>
  </si>
  <si>
    <t>非適用</t>
    <rPh sb="0" eb="1">
      <t>ヒ</t>
    </rPh>
    <rPh sb="1" eb="3">
      <t>テキヨウ</t>
    </rPh>
    <phoneticPr fontId="1"/>
  </si>
  <si>
    <t>　うち下記以外</t>
    <rPh sb="3" eb="5">
      <t>カキ</t>
    </rPh>
    <rPh sb="5" eb="7">
      <t>イガイ</t>
    </rPh>
    <phoneticPr fontId="1"/>
  </si>
  <si>
    <t>△</t>
    <phoneticPr fontId="1"/>
  </si>
  <si>
    <t>地域</t>
    <rPh sb="0" eb="2">
      <t>チイキ</t>
    </rPh>
    <phoneticPr fontId="1"/>
  </si>
  <si>
    <t>副食費徴収免除加算</t>
    <rPh sb="0" eb="3">
      <t>フクショクヒ</t>
    </rPh>
    <rPh sb="3" eb="5">
      <t>チョウシュウ</t>
    </rPh>
    <rPh sb="5" eb="7">
      <t>メンジョ</t>
    </rPh>
    <rPh sb="7" eb="9">
      <t>カサン</t>
    </rPh>
    <phoneticPr fontId="1"/>
  </si>
  <si>
    <t>障害児</t>
    <rPh sb="0" eb="2">
      <t>ショウガイ</t>
    </rPh>
    <rPh sb="2" eb="3">
      <t>ジ</t>
    </rPh>
    <phoneticPr fontId="1"/>
  </si>
  <si>
    <t>A</t>
    <phoneticPr fontId="1"/>
  </si>
  <si>
    <t>B</t>
    <phoneticPr fontId="1"/>
  </si>
  <si>
    <t>人数A</t>
    <rPh sb="0" eb="2">
      <t>ニンズウ</t>
    </rPh>
    <phoneticPr fontId="1"/>
  </si>
  <si>
    <t>人数B</t>
    <rPh sb="0" eb="2">
      <t>ニンズウ</t>
    </rPh>
    <phoneticPr fontId="1"/>
  </si>
  <si>
    <t>１級地</t>
    <rPh sb="1" eb="2">
      <t>キュウ</t>
    </rPh>
    <rPh sb="2" eb="3">
      <t>チ</t>
    </rPh>
    <phoneticPr fontId="1"/>
  </si>
  <si>
    <t>２級地</t>
    <phoneticPr fontId="1"/>
  </si>
  <si>
    <t>３級地</t>
    <phoneticPr fontId="1"/>
  </si>
  <si>
    <t>４級地</t>
    <phoneticPr fontId="1"/>
  </si>
  <si>
    <t>施設機能強化推進費加算（３月のみ）</t>
    <rPh sb="13" eb="14">
      <t>ガツ</t>
    </rPh>
    <phoneticPr fontId="1"/>
  </si>
  <si>
    <t>金額</t>
    <rPh sb="0" eb="2">
      <t>キンガク</t>
    </rPh>
    <phoneticPr fontId="1"/>
  </si>
  <si>
    <t>小学校接続加算（３月のみ）</t>
    <rPh sb="9" eb="10">
      <t>ガツ</t>
    </rPh>
    <phoneticPr fontId="1"/>
  </si>
  <si>
    <t>配置
形態</t>
    <rPh sb="0" eb="2">
      <t>ハイチ</t>
    </rPh>
    <rPh sb="3" eb="5">
      <t>ケイタイ</t>
    </rPh>
    <phoneticPr fontId="1"/>
  </si>
  <si>
    <t>C</t>
    <phoneticPr fontId="1"/>
  </si>
  <si>
    <t>第三者評価受審加算（３月のみ）</t>
    <rPh sb="11" eb="12">
      <t>ガツ</t>
    </rPh>
    <phoneticPr fontId="1"/>
  </si>
  <si>
    <t>○…日割りの対象となる加算</t>
    <rPh sb="2" eb="4">
      <t>ヒワ</t>
    </rPh>
    <rPh sb="6" eb="8">
      <t>タイショウ</t>
    </rPh>
    <rPh sb="11" eb="13">
      <t>カサン</t>
    </rPh>
    <phoneticPr fontId="1"/>
  </si>
  <si>
    <t>△…初日の利用児童で除して得た額を加算</t>
    <rPh sb="2" eb="4">
      <t>ショジツ</t>
    </rPh>
    <rPh sb="5" eb="7">
      <t>リヨウ</t>
    </rPh>
    <rPh sb="7" eb="9">
      <t>ジドウ</t>
    </rPh>
    <rPh sb="10" eb="11">
      <t>ジョ</t>
    </rPh>
    <rPh sb="13" eb="14">
      <t>エ</t>
    </rPh>
    <rPh sb="15" eb="16">
      <t>ガク</t>
    </rPh>
    <rPh sb="17" eb="19">
      <t>カサン</t>
    </rPh>
    <phoneticPr fontId="1"/>
  </si>
  <si>
    <t>単価合計…B</t>
    <rPh sb="0" eb="2">
      <t>タンカ</t>
    </rPh>
    <rPh sb="2" eb="4">
      <t>ゴウケイ</t>
    </rPh>
    <phoneticPr fontId="1"/>
  </si>
  <si>
    <t>公定価格小計（月途中入退所児童分を除く）…E（A×C＋B×D）</t>
    <rPh sb="0" eb="2">
      <t>コウテイ</t>
    </rPh>
    <rPh sb="2" eb="4">
      <t>カカク</t>
    </rPh>
    <rPh sb="4" eb="6">
      <t>ショウケイ</t>
    </rPh>
    <rPh sb="7" eb="8">
      <t>ツキ</t>
    </rPh>
    <rPh sb="8" eb="10">
      <t>トチュウ</t>
    </rPh>
    <rPh sb="10" eb="11">
      <t>ニュウ</t>
    </rPh>
    <rPh sb="11" eb="13">
      <t>タイショ</t>
    </rPh>
    <rPh sb="13" eb="15">
      <t>ジドウ</t>
    </rPh>
    <rPh sb="15" eb="16">
      <t>ブン</t>
    </rPh>
    <rPh sb="17" eb="18">
      <t>ノゾ</t>
    </rPh>
    <phoneticPr fontId="1"/>
  </si>
  <si>
    <t>在籍中
開所日数</t>
    <rPh sb="0" eb="3">
      <t>ザイセキチュウ</t>
    </rPh>
    <rPh sb="4" eb="6">
      <t>カイショ</t>
    </rPh>
    <rPh sb="6" eb="7">
      <t>ビ</t>
    </rPh>
    <rPh sb="7" eb="8">
      <t>スウ</t>
    </rPh>
    <phoneticPr fontId="1"/>
  </si>
  <si>
    <t>公定価格小計（月途中入退所児童分）…Q（J＋L＋N＋P）</t>
    <rPh sb="0" eb="2">
      <t>コウテイ</t>
    </rPh>
    <rPh sb="2" eb="4">
      <t>カカク</t>
    </rPh>
    <rPh sb="4" eb="6">
      <t>ショウケイ</t>
    </rPh>
    <rPh sb="7" eb="8">
      <t>ツキ</t>
    </rPh>
    <rPh sb="8" eb="10">
      <t>トチュウ</t>
    </rPh>
    <rPh sb="10" eb="11">
      <t>ニュウ</t>
    </rPh>
    <rPh sb="11" eb="13">
      <t>タイショ</t>
    </rPh>
    <rPh sb="13" eb="15">
      <t>ジドウ</t>
    </rPh>
    <rPh sb="15" eb="16">
      <t>ブン</t>
    </rPh>
    <phoneticPr fontId="1"/>
  </si>
  <si>
    <t>年齢区分別計…R（E＋Q）</t>
    <rPh sb="0" eb="2">
      <t>ネンレイ</t>
    </rPh>
    <rPh sb="2" eb="4">
      <t>クブン</t>
    </rPh>
    <rPh sb="4" eb="5">
      <t>ベツ</t>
    </rPh>
    <rPh sb="5" eb="6">
      <t>ケイ</t>
    </rPh>
    <phoneticPr fontId="1"/>
  </si>
  <si>
    <t>複数月一括請求…S（R×請求月数）</t>
    <rPh sb="0" eb="2">
      <t>フクスウ</t>
    </rPh>
    <rPh sb="2" eb="3">
      <t>ツキ</t>
    </rPh>
    <rPh sb="3" eb="5">
      <t>イッカツ</t>
    </rPh>
    <rPh sb="5" eb="7">
      <t>セイキュウ</t>
    </rPh>
    <rPh sb="12" eb="14">
      <t>セイキュウ</t>
    </rPh>
    <rPh sb="14" eb="15">
      <t>ツキ</t>
    </rPh>
    <rPh sb="15" eb="16">
      <t>スウ</t>
    </rPh>
    <phoneticPr fontId="1"/>
  </si>
  <si>
    <t>請求月数</t>
    <rPh sb="0" eb="2">
      <t>セイキュウ</t>
    </rPh>
    <rPh sb="2" eb="3">
      <t>ツキ</t>
    </rPh>
    <rPh sb="3" eb="4">
      <t>スウ</t>
    </rPh>
    <phoneticPr fontId="1"/>
  </si>
  <si>
    <t>幼稚園教育要領に基づく教育を行う時間</t>
    <rPh sb="0" eb="3">
      <t>ヨウチエン</t>
    </rPh>
    <rPh sb="3" eb="5">
      <t>キョウイク</t>
    </rPh>
    <rPh sb="5" eb="7">
      <t>ヨウリョウ</t>
    </rPh>
    <rPh sb="8" eb="9">
      <t>モト</t>
    </rPh>
    <rPh sb="11" eb="13">
      <t>キョウイク</t>
    </rPh>
    <rPh sb="14" eb="15">
      <t>オコナ</t>
    </rPh>
    <rPh sb="16" eb="18">
      <t>ジカン</t>
    </rPh>
    <phoneticPr fontId="1"/>
  </si>
  <si>
    <t>地域
区分</t>
    <rPh sb="0" eb="2">
      <t>チイキ</t>
    </rPh>
    <rPh sb="3" eb="5">
      <t>クブン</t>
    </rPh>
    <phoneticPr fontId="10"/>
  </si>
  <si>
    <t>定員区分</t>
    <rPh sb="0" eb="2">
      <t>テイイン</t>
    </rPh>
    <rPh sb="2" eb="4">
      <t>クブン</t>
    </rPh>
    <phoneticPr fontId="10"/>
  </si>
  <si>
    <t>認定
区分</t>
    <rPh sb="0" eb="2">
      <t>ニンテイ</t>
    </rPh>
    <rPh sb="3" eb="5">
      <t>クブン</t>
    </rPh>
    <phoneticPr fontId="6"/>
  </si>
  <si>
    <t>年齢区分</t>
    <rPh sb="0" eb="2">
      <t>ネンレイ</t>
    </rPh>
    <rPh sb="2" eb="4">
      <t>クブン</t>
    </rPh>
    <phoneticPr fontId="10"/>
  </si>
  <si>
    <t>処遇改善等加算Ⅰ</t>
  </si>
  <si>
    <t>副園長・教頭配置加算</t>
    <rPh sb="0" eb="3">
      <t>フクエンチョウ</t>
    </rPh>
    <rPh sb="4" eb="6">
      <t>キョウトウ</t>
    </rPh>
    <rPh sb="6" eb="8">
      <t>ハイチ</t>
    </rPh>
    <rPh sb="8" eb="10">
      <t>カサン</t>
    </rPh>
    <phoneticPr fontId="6"/>
  </si>
  <si>
    <t>３歳児配置改善加算</t>
    <rPh sb="1" eb="3">
      <t>サイジ</t>
    </rPh>
    <rPh sb="3" eb="5">
      <t>ハイチ</t>
    </rPh>
    <rPh sb="5" eb="7">
      <t>カイゼン</t>
    </rPh>
    <rPh sb="7" eb="9">
      <t>カサン</t>
    </rPh>
    <phoneticPr fontId="6"/>
  </si>
  <si>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6"/>
  </si>
  <si>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6"/>
  </si>
  <si>
    <t>講師配置加算</t>
    <rPh sb="0" eb="2">
      <t>コウシ</t>
    </rPh>
    <rPh sb="2" eb="4">
      <t>ハイチ</t>
    </rPh>
    <rPh sb="4" eb="6">
      <t>カサン</t>
    </rPh>
    <phoneticPr fontId="6"/>
  </si>
  <si>
    <t>チーム保育加配加算
※1号・2号の利用定員合計に応じて利用子どもの単価に加算</t>
    <rPh sb="3" eb="5">
      <t>ホイク</t>
    </rPh>
    <rPh sb="5" eb="7">
      <t>カハイ</t>
    </rPh>
    <rPh sb="7" eb="9">
      <t>カサン</t>
    </rPh>
    <phoneticPr fontId="6"/>
  </si>
  <si>
    <t>通園送迎加算</t>
    <rPh sb="0" eb="2">
      <t>ツウエン</t>
    </rPh>
    <rPh sb="2" eb="4">
      <t>ソウゲイ</t>
    </rPh>
    <rPh sb="4" eb="6">
      <t>カサン</t>
    </rPh>
    <phoneticPr fontId="6"/>
  </si>
  <si>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6"/>
  </si>
  <si>
    <t>年齢別配置基準を
下回る場合</t>
    <rPh sb="0" eb="2">
      <t>ネンレイ</t>
    </rPh>
    <rPh sb="2" eb="3">
      <t>ベツ</t>
    </rPh>
    <rPh sb="3" eb="5">
      <t>ハイチ</t>
    </rPh>
    <rPh sb="5" eb="7">
      <t>キジュン</t>
    </rPh>
    <rPh sb="9" eb="11">
      <t>シタマワ</t>
    </rPh>
    <rPh sb="12" eb="14">
      <t>バアイ</t>
    </rPh>
    <phoneticPr fontId="6"/>
  </si>
  <si>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6"/>
  </si>
  <si>
    <t>定員を恒常的に超過する場合</t>
  </si>
  <si>
    <t>処遇改善等
加算Ⅰ</t>
  </si>
  <si>
    <t>①</t>
  </si>
  <si>
    <t>②</t>
  </si>
  <si>
    <t>③</t>
  </si>
  <si>
    <t>④</t>
  </si>
  <si>
    <t>⑦</t>
  </si>
  <si>
    <t>⑧</t>
  </si>
  <si>
    <t>⑨</t>
  </si>
  <si>
    <t>⑩</t>
  </si>
  <si>
    <t>⑩’</t>
  </si>
  <si>
    <t>⑪</t>
  </si>
  <si>
    <t>⑫</t>
  </si>
  <si>
    <t>⑬</t>
  </si>
  <si>
    <t>⑯</t>
  </si>
  <si>
    <t>⑰</t>
  </si>
  <si>
    <t>⑱</t>
  </si>
  <si>
    <t>⑲</t>
  </si>
  <si>
    <t>⑳</t>
  </si>
  <si>
    <t>20/100
地域</t>
  </si>
  <si>
    <t>　15人
　　まで</t>
    <rPh sb="3" eb="4">
      <t>ニン</t>
    </rPh>
    <phoneticPr fontId="10"/>
  </si>
  <si>
    <t>1号</t>
    <rPh sb="1" eb="2">
      <t>ゴウ</t>
    </rPh>
    <phoneticPr fontId="6"/>
  </si>
  <si>
    <t>４歳以上児</t>
    <rPh sb="1" eb="2">
      <t>サイ</t>
    </rPh>
    <rPh sb="2" eb="4">
      <t>イジョウ</t>
    </rPh>
    <rPh sb="4" eb="5">
      <t>ジ</t>
    </rPh>
    <phoneticPr fontId="10"/>
  </si>
  <si>
    <t>＋</t>
  </si>
  <si>
    <t>×加算率</t>
    <rPh sb="1" eb="4">
      <t>カサンリツ</t>
    </rPh>
    <phoneticPr fontId="6"/>
  </si>
  <si>
    <t>×加算率</t>
    <rPh sb="1" eb="3">
      <t>カサン</t>
    </rPh>
    <rPh sb="3" eb="4">
      <t>リツ</t>
    </rPh>
    <phoneticPr fontId="11"/>
  </si>
  <si>
    <t/>
  </si>
  <si>
    <t xml:space="preserve"> 　　 ～　15人</t>
  </si>
  <si>
    <t>×加算率×加配人数</t>
    <phoneticPr fontId="11"/>
  </si>
  <si>
    <t>－</t>
  </si>
  <si>
    <t>+</t>
    <phoneticPr fontId="11"/>
  </si>
  <si>
    <t>×人数</t>
    <rPh sb="1" eb="3">
      <t>ニンズウ</t>
    </rPh>
    <phoneticPr fontId="11"/>
  </si>
  <si>
    <t>(⑤～⑲（⑯を除く。）)</t>
    <rPh sb="7" eb="8">
      <t>ノゾ</t>
    </rPh>
    <phoneticPr fontId="6"/>
  </si>
  <si>
    <t>３歳児</t>
    <rPh sb="1" eb="3">
      <t>サイジ</t>
    </rPh>
    <phoneticPr fontId="10"/>
  </si>
  <si>
    <t>　16人
　　から
　25人
　　まで</t>
    <rPh sb="3" eb="4">
      <t>ニン</t>
    </rPh>
    <rPh sb="13" eb="14">
      <t>ニン</t>
    </rPh>
    <phoneticPr fontId="10"/>
  </si>
  <si>
    <t xml:space="preserve">  16人～　25人</t>
  </si>
  <si>
    <t>　26人
　　から
　35人
　　まで</t>
    <rPh sb="3" eb="4">
      <t>ニン</t>
    </rPh>
    <rPh sb="13" eb="14">
      <t>ニン</t>
    </rPh>
    <phoneticPr fontId="10"/>
  </si>
  <si>
    <t xml:space="preserve">  26人～　35人</t>
  </si>
  <si>
    <t>　36人
　　から
　45人
　　まで</t>
    <rPh sb="3" eb="4">
      <t>ニン</t>
    </rPh>
    <rPh sb="13" eb="14">
      <t>ニン</t>
    </rPh>
    <phoneticPr fontId="10"/>
  </si>
  <si>
    <t xml:space="preserve">  36人～　45人</t>
  </si>
  <si>
    <t>+</t>
  </si>
  <si>
    <t>　46人
　　から
　60人
　　まで</t>
    <rPh sb="3" eb="4">
      <t>ニン</t>
    </rPh>
    <rPh sb="13" eb="14">
      <t>ニン</t>
    </rPh>
    <phoneticPr fontId="10"/>
  </si>
  <si>
    <t xml:space="preserve">  46人～　60人</t>
  </si>
  <si>
    <t>　61人
　　から
　75人
　　まで</t>
    <rPh sb="3" eb="4">
      <t>ニン</t>
    </rPh>
    <rPh sb="13" eb="14">
      <t>ニン</t>
    </rPh>
    <phoneticPr fontId="10"/>
  </si>
  <si>
    <t xml:space="preserve">  61人～　75人</t>
  </si>
  <si>
    <t>　76人
　　から
　90人
　　まで</t>
    <rPh sb="3" eb="4">
      <t>ニン</t>
    </rPh>
    <rPh sb="13" eb="14">
      <t>ニン</t>
    </rPh>
    <phoneticPr fontId="10"/>
  </si>
  <si>
    <t xml:space="preserve">  76人～　90人</t>
  </si>
  <si>
    <t>　91人
　　から
　105人
　　まで</t>
    <rPh sb="3" eb="4">
      <t>ニン</t>
    </rPh>
    <rPh sb="14" eb="15">
      <t>ニン</t>
    </rPh>
    <phoneticPr fontId="10"/>
  </si>
  <si>
    <t xml:space="preserve">  91人～ 105人</t>
  </si>
  <si>
    <t>　106人
　　から
　120人
　　まで</t>
    <rPh sb="4" eb="5">
      <t>ニン</t>
    </rPh>
    <rPh sb="15" eb="16">
      <t>ニン</t>
    </rPh>
    <phoneticPr fontId="10"/>
  </si>
  <si>
    <t xml:space="preserve"> 106人～ 120人</t>
  </si>
  <si>
    <t>　121人
　　から
　135人
　　まで</t>
    <rPh sb="4" eb="5">
      <t>ニン</t>
    </rPh>
    <rPh sb="15" eb="16">
      <t>ニン</t>
    </rPh>
    <phoneticPr fontId="10"/>
  </si>
  <si>
    <t xml:space="preserve"> 121人～ 135人</t>
  </si>
  <si>
    <t>　136人
　　から
　150人
　　まで</t>
    <rPh sb="4" eb="5">
      <t>ニン</t>
    </rPh>
    <rPh sb="15" eb="16">
      <t>ニン</t>
    </rPh>
    <phoneticPr fontId="10"/>
  </si>
  <si>
    <t xml:space="preserve"> 136人～ 150人</t>
  </si>
  <si>
    <t>　151人
　　から
　180人
　　まで</t>
    <rPh sb="4" eb="5">
      <t>ニン</t>
    </rPh>
    <rPh sb="15" eb="16">
      <t>ニン</t>
    </rPh>
    <phoneticPr fontId="10"/>
  </si>
  <si>
    <t xml:space="preserve"> 151人～ 180人</t>
  </si>
  <si>
    <t>　181人
　　から
　210人
　　まで</t>
    <rPh sb="4" eb="5">
      <t>ニン</t>
    </rPh>
    <rPh sb="15" eb="16">
      <t>ニン</t>
    </rPh>
    <phoneticPr fontId="10"/>
  </si>
  <si>
    <t xml:space="preserve"> 181人～ 210人</t>
  </si>
  <si>
    <t>　211人
　　から
　240人
　　まで</t>
    <rPh sb="4" eb="5">
      <t>ニン</t>
    </rPh>
    <rPh sb="15" eb="16">
      <t>ニン</t>
    </rPh>
    <phoneticPr fontId="10"/>
  </si>
  <si>
    <t xml:space="preserve"> 211人～ 240人</t>
  </si>
  <si>
    <t>　241人
　　から
　270人
　　まで</t>
    <rPh sb="4" eb="5">
      <t>ニン</t>
    </rPh>
    <rPh sb="15" eb="16">
      <t>ニン</t>
    </rPh>
    <phoneticPr fontId="10"/>
  </si>
  <si>
    <t xml:space="preserve"> 241人～ 270人</t>
  </si>
  <si>
    <t>　271人
　　から
　300人
　　まで</t>
    <rPh sb="4" eb="5">
      <t>ニン</t>
    </rPh>
    <rPh sb="15" eb="16">
      <t>ニン</t>
    </rPh>
    <phoneticPr fontId="10"/>
  </si>
  <si>
    <t xml:space="preserve"> 271人～ 300人</t>
  </si>
  <si>
    <t>　301人
　　以上</t>
  </si>
  <si>
    <t xml:space="preserve"> 301人～</t>
  </si>
  <si>
    <t>16/100
地域</t>
  </si>
  <si>
    <t>15/100
地域</t>
  </si>
  <si>
    <t>12/100
地域</t>
  </si>
  <si>
    <t>10/100
地域</t>
  </si>
  <si>
    <t>6/100
地域</t>
  </si>
  <si>
    <t>3/100
地域</t>
  </si>
  <si>
    <t>その他地域</t>
    <rPh sb="2" eb="3">
      <t>ホカ</t>
    </rPh>
    <rPh sb="3" eb="5">
      <t>チイキ</t>
    </rPh>
    <phoneticPr fontId="10"/>
  </si>
  <si>
    <t>加算部分２</t>
    <rPh sb="0" eb="2">
      <t>カサン</t>
    </rPh>
    <rPh sb="2" eb="4">
      <t>ブブン</t>
    </rPh>
    <phoneticPr fontId="13"/>
  </si>
  <si>
    <t>主幹教諭等専任加算</t>
    <rPh sb="0" eb="2">
      <t>シュカン</t>
    </rPh>
    <rPh sb="2" eb="4">
      <t>キョウユ</t>
    </rPh>
    <rPh sb="4" eb="5">
      <t>トウ</t>
    </rPh>
    <rPh sb="5" eb="7">
      <t>センニン</t>
    </rPh>
    <rPh sb="7" eb="9">
      <t>カサン</t>
    </rPh>
    <phoneticPr fontId="13"/>
  </si>
  <si>
    <t>⑯</t>
    <phoneticPr fontId="13"/>
  </si>
  <si>
    <t>基本額</t>
    <phoneticPr fontId="3"/>
  </si>
  <si>
    <t>処遇改善等加算</t>
    <rPh sb="0" eb="2">
      <t>ショグウ</t>
    </rPh>
    <rPh sb="2" eb="4">
      <t>カイゼン</t>
    </rPh>
    <rPh sb="4" eb="5">
      <t>トウ</t>
    </rPh>
    <rPh sb="5" eb="7">
      <t>カサン</t>
    </rPh>
    <phoneticPr fontId="3"/>
  </si>
  <si>
    <t>※各月初日の利用子どもの単価に加算</t>
    <phoneticPr fontId="13"/>
  </si>
  <si>
    <t>（</t>
    <phoneticPr fontId="3"/>
  </si>
  <si>
    <t>＋</t>
    <phoneticPr fontId="3"/>
  </si>
  <si>
    <t>）</t>
    <phoneticPr fontId="3"/>
  </si>
  <si>
    <t>÷各月初日の利用子ども数</t>
    <phoneticPr fontId="3"/>
  </si>
  <si>
    <t>療育支援加算</t>
    <rPh sb="0" eb="2">
      <t>リョウイク</t>
    </rPh>
    <rPh sb="2" eb="4">
      <t>シエン</t>
    </rPh>
    <rPh sb="4" eb="6">
      <t>カサン</t>
    </rPh>
    <phoneticPr fontId="3"/>
  </si>
  <si>
    <t>㉑</t>
  </si>
  <si>
    <t>Ａ</t>
    <phoneticPr fontId="3"/>
  </si>
  <si>
    <t>処遇改善等加算Ⅰ</t>
    <rPh sb="0" eb="2">
      <t>ショグウ</t>
    </rPh>
    <rPh sb="2" eb="4">
      <t>カイゼン</t>
    </rPh>
    <rPh sb="4" eb="5">
      <t>トウ</t>
    </rPh>
    <rPh sb="5" eb="7">
      <t>カサン</t>
    </rPh>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</si>
  <si>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</si>
  <si>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</si>
  <si>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13"/>
  </si>
  <si>
    <t>㉒</t>
  </si>
  <si>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13"/>
  </si>
  <si>
    <t>指導充実加配加算</t>
    <rPh sb="0" eb="2">
      <t>シドウ</t>
    </rPh>
    <rPh sb="2" eb="4">
      <t>ジュウジツ</t>
    </rPh>
    <rPh sb="4" eb="6">
      <t>カハイ</t>
    </rPh>
    <rPh sb="6" eb="8">
      <t>カサン</t>
    </rPh>
    <phoneticPr fontId="13"/>
  </si>
  <si>
    <t>㉓</t>
  </si>
  <si>
    <t>事務負担対応加配加算</t>
    <rPh sb="0" eb="2">
      <t>ジム</t>
    </rPh>
    <rPh sb="2" eb="4">
      <t>フタン</t>
    </rPh>
    <rPh sb="4" eb="6">
      <t>タイオウ</t>
    </rPh>
    <rPh sb="6" eb="8">
      <t>カハイ</t>
    </rPh>
    <rPh sb="8" eb="10">
      <t>カサン</t>
    </rPh>
    <phoneticPr fontId="13"/>
  </si>
  <si>
    <t>㉔</t>
  </si>
  <si>
    <t>処遇改善等加算Ⅱ</t>
    <phoneticPr fontId="13"/>
  </si>
  <si>
    <t>㉕</t>
  </si>
  <si>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13"/>
  </si>
  <si>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3"/>
  </si>
  <si>
    <t>・処遇改善等加算Ⅱ－①</t>
    <phoneticPr fontId="13"/>
  </si>
  <si>
    <t>×</t>
    <phoneticPr fontId="3"/>
  </si>
  <si>
    <t>人数Ａ</t>
    <rPh sb="0" eb="2">
      <t>ニンズウ</t>
    </rPh>
    <phoneticPr fontId="3"/>
  </si>
  <si>
    <t>1/2</t>
    <phoneticPr fontId="1"/>
  </si>
  <si>
    <t>・処遇改善等加算Ⅱ－②</t>
    <phoneticPr fontId="13"/>
  </si>
  <si>
    <t>人数Ｂ</t>
    <rPh sb="0" eb="2">
      <t>ニンズウ</t>
    </rPh>
    <phoneticPr fontId="3"/>
  </si>
  <si>
    <t>冷暖房費加算</t>
    <rPh sb="0" eb="3">
      <t>レイダンボウ</t>
    </rPh>
    <rPh sb="3" eb="4">
      <t>ヒ</t>
    </rPh>
    <rPh sb="4" eb="6">
      <t>カサン</t>
    </rPh>
    <phoneticPr fontId="3"/>
  </si>
  <si>
    <t>㉖</t>
  </si>
  <si>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</si>
  <si>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</si>
  <si>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</si>
  <si>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</si>
  <si>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</si>
  <si>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</si>
  <si>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</si>
  <si>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※以下の区分に応じて、３月初日の利用子どもの単価に加算
　A:公開保育の取組と組み合わせて施設関係者評価を実施する施設
　B:それ以外の施設</t>
    <phoneticPr fontId="3"/>
  </si>
  <si>
    <t>除雪費加算</t>
    <rPh sb="0" eb="2">
      <t>ジョセツ</t>
    </rPh>
    <rPh sb="2" eb="3">
      <t>ヒ</t>
    </rPh>
    <rPh sb="3" eb="5">
      <t>カサン</t>
    </rPh>
    <phoneticPr fontId="3"/>
  </si>
  <si>
    <t>㉘</t>
  </si>
  <si>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</si>
  <si>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</si>
  <si>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</si>
  <si>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</si>
  <si>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</si>
  <si>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13"/>
  </si>
  <si>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</si>
  <si>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</si>
  <si>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</si>
  <si>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</si>
  <si>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　</t>
    <phoneticPr fontId="3"/>
  </si>
  <si>
    <t>栄養管理加算</t>
    <rPh sb="0" eb="2">
      <t>エイヨウ</t>
    </rPh>
    <rPh sb="2" eb="4">
      <t>カンリ</t>
    </rPh>
    <rPh sb="4" eb="6">
      <t>カサン</t>
    </rPh>
    <phoneticPr fontId="3"/>
  </si>
  <si>
    <t>第三者評価受審加算</t>
    <rPh sb="0" eb="3">
      <t>ダイサンシャ</t>
    </rPh>
    <rPh sb="3" eb="5">
      <t>ヒョウカ</t>
    </rPh>
    <rPh sb="5" eb="7">
      <t>ジュシン</t>
    </rPh>
    <rPh sb="7" eb="9">
      <t>カサン</t>
    </rPh>
    <phoneticPr fontId="3"/>
  </si>
  <si>
    <t>（ 注 ）年度の初日の前日における満年齢に応じて月額を調整</t>
    <phoneticPr fontId="13"/>
  </si>
  <si>
    <t>地域
区分</t>
    <phoneticPr fontId="13"/>
  </si>
  <si>
    <t>定員区分</t>
    <rPh sb="0" eb="2">
      <t>テイイン</t>
    </rPh>
    <rPh sb="2" eb="4">
      <t>クブン</t>
    </rPh>
    <phoneticPr fontId="2"/>
  </si>
  <si>
    <t>認定
区分</t>
    <rPh sb="0" eb="2">
      <t>ニンテイ</t>
    </rPh>
    <rPh sb="3" eb="5">
      <t>クブン</t>
    </rPh>
    <phoneticPr fontId="3"/>
  </si>
  <si>
    <t>年齢区分</t>
    <rPh sb="0" eb="2">
      <t>ネンレイ</t>
    </rPh>
    <rPh sb="2" eb="4">
      <t>クブン</t>
    </rPh>
    <phoneticPr fontId="2"/>
  </si>
  <si>
    <t>３歳児配置改善加算</t>
    <rPh sb="1" eb="3">
      <t>サイジ</t>
    </rPh>
    <rPh sb="3" eb="5">
      <t>ハイチ</t>
    </rPh>
    <rPh sb="5" eb="7">
      <t>カイゼン</t>
    </rPh>
    <rPh sb="7" eb="9">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</si>
  <si>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</si>
  <si>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</si>
  <si>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チーム保育加配加算
※1号・2号の利用定員合計に応じて2号利用子どもの単価に加算</t>
    <rPh sb="3" eb="5">
      <t>ホイク</t>
    </rPh>
    <rPh sb="5" eb="7">
      <t>カハイ</t>
    </rPh>
    <rPh sb="7" eb="9">
      <t>カサン</t>
    </rPh>
    <phoneticPr fontId="3"/>
  </si>
  <si>
    <t>1号認定こどもの利用定員を設定しない場合</t>
    <rPh sb="1" eb="2">
      <t>ゴウ</t>
    </rPh>
    <rPh sb="2" eb="4">
      <t>ニンテイ</t>
    </rPh>
    <rPh sb="8" eb="10">
      <t>リヨウ</t>
    </rPh>
    <rPh sb="10" eb="12">
      <t>テイイン</t>
    </rPh>
    <rPh sb="13" eb="15">
      <t>セッテイ</t>
    </rPh>
    <rPh sb="18" eb="20">
      <t>バアイ</t>
    </rPh>
    <phoneticPr fontId="11"/>
  </si>
  <si>
    <t>分園の場合</t>
    <rPh sb="0" eb="2">
      <t>ブンエン</t>
    </rPh>
    <rPh sb="3" eb="5">
      <t>バアイ</t>
    </rPh>
    <phoneticPr fontId="3"/>
  </si>
  <si>
    <t>土曜日に閉所する場合</t>
    <rPh sb="0" eb="3">
      <t>ドヨウビ</t>
    </rPh>
    <rPh sb="4" eb="6">
      <t>ヘイショ</t>
    </rPh>
    <rPh sb="8" eb="10">
      <t>バアイ</t>
    </rPh>
    <phoneticPr fontId="3"/>
  </si>
  <si>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3"/>
  </si>
  <si>
    <t>年齢別配置基準を下回る場合</t>
    <rPh sb="0" eb="3">
      <t>ネンレイベツ</t>
    </rPh>
    <rPh sb="3" eb="5">
      <t>ハイチ</t>
    </rPh>
    <rPh sb="5" eb="7">
      <t>キジュン</t>
    </rPh>
    <rPh sb="8" eb="10">
      <t>シタマワ</t>
    </rPh>
    <rPh sb="11" eb="13">
      <t>バアイ</t>
    </rPh>
    <phoneticPr fontId="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</si>
  <si>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3"/>
  </si>
  <si>
    <t>定員を恒常的に
超過する場合</t>
    <rPh sb="0" eb="2">
      <t>テイイン</t>
    </rPh>
    <rPh sb="3" eb="6">
      <t>コウジョウテキ</t>
    </rPh>
    <rPh sb="8" eb="10">
      <t>チョウカ</t>
    </rPh>
    <rPh sb="12" eb="14">
      <t>バアイ</t>
    </rPh>
    <phoneticPr fontId="3"/>
  </si>
  <si>
    <t>月に１日土曜日を閉所する場合</t>
    <rPh sb="0" eb="1">
      <t>ツキ</t>
    </rPh>
    <rPh sb="3" eb="4">
      <t>ニチ</t>
    </rPh>
    <rPh sb="4" eb="7">
      <t>ドヨウビ</t>
    </rPh>
    <rPh sb="8" eb="10">
      <t>ヘイショ</t>
    </rPh>
    <rPh sb="12" eb="14">
      <t>バアイ</t>
    </rPh>
    <phoneticPr fontId="3"/>
  </si>
  <si>
    <t>月に２日土曜日を閉所する場合</t>
    <rPh sb="0" eb="1">
      <t>ツキ</t>
    </rPh>
    <rPh sb="3" eb="4">
      <t>ニチ</t>
    </rPh>
    <rPh sb="4" eb="7">
      <t>ドヨウビ</t>
    </rPh>
    <rPh sb="8" eb="10">
      <t>ヘイショ</t>
    </rPh>
    <rPh sb="12" eb="14">
      <t>バアイ</t>
    </rPh>
    <phoneticPr fontId="3"/>
  </si>
  <si>
    <t>月に３日以上土曜日を閉所する場合</t>
    <rPh sb="0" eb="1">
      <t>ツキ</t>
    </rPh>
    <rPh sb="3" eb="4">
      <t>ニチ</t>
    </rPh>
    <rPh sb="4" eb="6">
      <t>イジョウ</t>
    </rPh>
    <rPh sb="6" eb="9">
      <t>ドヨウビ</t>
    </rPh>
    <rPh sb="10" eb="12">
      <t>ヘイショ</t>
    </rPh>
    <rPh sb="14" eb="16">
      <t>バアイ</t>
    </rPh>
    <phoneticPr fontId="3"/>
  </si>
  <si>
    <t>全ての土曜日を閉所する場合</t>
    <rPh sb="0" eb="1">
      <t>スベ</t>
    </rPh>
    <rPh sb="3" eb="6">
      <t>ドヨウビ</t>
    </rPh>
    <rPh sb="7" eb="9">
      <t>ヘイショ</t>
    </rPh>
    <rPh sb="11" eb="13">
      <t>バアイ</t>
    </rPh>
    <phoneticPr fontId="3"/>
  </si>
  <si>
    <t>処遇改善等
加算Ⅰ</t>
    <rPh sb="0" eb="2">
      <t>ショグウ</t>
    </rPh>
    <rPh sb="2" eb="4">
      <t>カイゼン</t>
    </rPh>
    <rPh sb="4" eb="5">
      <t>トウ</t>
    </rPh>
    <rPh sb="6" eb="8">
      <t>カサン</t>
    </rPh>
    <phoneticPr fontId="2"/>
  </si>
  <si>
    <t xml:space="preserve">
　10人
　　まで</t>
    <rPh sb="4" eb="5">
      <t>ニン</t>
    </rPh>
    <phoneticPr fontId="2"/>
  </si>
  <si>
    <t>2号</t>
    <rPh sb="1" eb="2">
      <t>ゴウ</t>
    </rPh>
    <phoneticPr fontId="3"/>
  </si>
  <si>
    <t>４歳以上児</t>
    <rPh sb="1" eb="2">
      <t>サイ</t>
    </rPh>
    <rPh sb="2" eb="4">
      <t>イジョウ</t>
    </rPh>
    <rPh sb="4" eb="5">
      <t>ジ</t>
    </rPh>
    <phoneticPr fontId="2"/>
  </si>
  <si>
    <t>休日保育の年間延べ利用子ども数</t>
    <rPh sb="0" eb="2">
      <t>キュウジツ</t>
    </rPh>
    <rPh sb="2" eb="4">
      <t>ホイク</t>
    </rPh>
    <rPh sb="5" eb="7">
      <t>ネンカン</t>
    </rPh>
    <rPh sb="7" eb="8">
      <t>ノ</t>
    </rPh>
    <rPh sb="9" eb="11">
      <t>リヨウ</t>
    </rPh>
    <rPh sb="11" eb="12">
      <t>コ</t>
    </rPh>
    <rPh sb="14" eb="15">
      <t>スウ</t>
    </rPh>
    <phoneticPr fontId="3"/>
  </si>
  <si>
    <t>×加算率×加配人数</t>
    <rPh sb="1" eb="3">
      <t>カサン</t>
    </rPh>
    <rPh sb="3" eb="4">
      <t>リツ</t>
    </rPh>
    <rPh sb="5" eb="7">
      <t>カハイ</t>
    </rPh>
    <rPh sb="7" eb="9">
      <t>ニンズウ</t>
    </rPh>
    <phoneticPr fontId="11"/>
  </si>
  <si>
    <t>(⑥＋⑦＋⑧＋⑩)</t>
  </si>
  <si>
    <t>３歳児</t>
    <rPh sb="1" eb="3">
      <t>サイジ</t>
    </rPh>
    <phoneticPr fontId="2"/>
  </si>
  <si>
    <t>3号</t>
    <rPh sb="1" eb="2">
      <t>ゴウ</t>
    </rPh>
    <phoneticPr fontId="3"/>
  </si>
  <si>
    <t>１、２歳児</t>
    <rPh sb="3" eb="5">
      <t>サイジ</t>
    </rPh>
    <phoneticPr fontId="2"/>
  </si>
  <si>
    <t>×加配人数</t>
    <rPh sb="1" eb="3">
      <t>カハイ</t>
    </rPh>
    <rPh sb="3" eb="5">
      <t>ニンズウ</t>
    </rPh>
    <phoneticPr fontId="11"/>
  </si>
  <si>
    <t>乳児</t>
    <rPh sb="0" eb="2">
      <t>ニュウジ</t>
    </rPh>
    <phoneticPr fontId="2"/>
  </si>
  <si>
    <t>　11人
　　から
　20人
　　まで</t>
    <rPh sb="3" eb="4">
      <t>ニン</t>
    </rPh>
    <rPh sb="13" eb="14">
      <t>ニン</t>
    </rPh>
    <phoneticPr fontId="2"/>
  </si>
  <si>
    <t>(⑥～㉑（⑮を除く。）)</t>
  </si>
  <si>
    <t>　21人
　　から
　30人
　　まで</t>
    <rPh sb="3" eb="4">
      <t>ニン</t>
    </rPh>
    <rPh sb="13" eb="14">
      <t>ニン</t>
    </rPh>
    <phoneticPr fontId="2"/>
  </si>
  <si>
    <t>　31人
　　から
　40人
　　まで</t>
    <rPh sb="3" eb="4">
      <t>ニン</t>
    </rPh>
    <rPh sb="13" eb="14">
      <t>ニン</t>
    </rPh>
    <phoneticPr fontId="2"/>
  </si>
  <si>
    <t>　41人
　　から
　50人
　　まで</t>
    <rPh sb="3" eb="4">
      <t>ニン</t>
    </rPh>
    <rPh sb="13" eb="14">
      <t>ニン</t>
    </rPh>
    <phoneticPr fontId="2"/>
  </si>
  <si>
    <t>　51人
　　から
　60人
　　まで</t>
    <rPh sb="3" eb="4">
      <t>ニン</t>
    </rPh>
    <rPh sb="13" eb="14">
      <t>ニン</t>
    </rPh>
    <phoneticPr fontId="2"/>
  </si>
  <si>
    <t>　61人
　　から
　70人
　　まで</t>
    <rPh sb="3" eb="4">
      <t>ニン</t>
    </rPh>
    <rPh sb="13" eb="14">
      <t>ニン</t>
    </rPh>
    <phoneticPr fontId="2"/>
  </si>
  <si>
    <t>　71人
　　から
　80人
　　まで</t>
    <rPh sb="3" eb="4">
      <t>ニン</t>
    </rPh>
    <rPh sb="13" eb="14">
      <t>ニン</t>
    </rPh>
    <phoneticPr fontId="2"/>
  </si>
  <si>
    <t>　81人
　　から
　90人
　　まで</t>
    <rPh sb="3" eb="4">
      <t>ニン</t>
    </rPh>
    <rPh sb="13" eb="14">
      <t>ニン</t>
    </rPh>
    <phoneticPr fontId="2"/>
  </si>
  <si>
    <t>÷</t>
  </si>
  <si>
    <t>各月初日の</t>
    <rPh sb="0" eb="2">
      <t>カクツキ</t>
    </rPh>
    <rPh sb="2" eb="4">
      <t>ショニチ</t>
    </rPh>
    <phoneticPr fontId="3"/>
  </si>
  <si>
    <t>利用子ども数</t>
    <rPh sb="0" eb="2">
      <t>リヨウ</t>
    </rPh>
    <rPh sb="2" eb="3">
      <t>コ</t>
    </rPh>
    <rPh sb="5" eb="6">
      <t>スウ</t>
    </rPh>
    <phoneticPr fontId="3"/>
  </si>
  <si>
    <t>(⑥＋⑦)</t>
  </si>
  <si>
    <t>　91人
　　から
　100人
　　まで</t>
    <rPh sb="3" eb="4">
      <t>ニン</t>
    </rPh>
    <rPh sb="14" eb="15">
      <t>ニン</t>
    </rPh>
    <phoneticPr fontId="2"/>
  </si>
  <si>
    <t>　101人
　　から
　110人
　　まで</t>
    <rPh sb="4" eb="5">
      <t>ニン</t>
    </rPh>
    <rPh sb="15" eb="16">
      <t>ニン</t>
    </rPh>
    <phoneticPr fontId="2"/>
  </si>
  <si>
    <t>　111人
　　から
　120人
　　まで</t>
    <rPh sb="4" eb="5">
      <t>ニン</t>
    </rPh>
    <rPh sb="15" eb="16">
      <t>ニン</t>
    </rPh>
    <phoneticPr fontId="2"/>
  </si>
  <si>
    <t>　121人
　　から
　130人
　　まで</t>
    <rPh sb="4" eb="5">
      <t>ニン</t>
    </rPh>
    <rPh sb="15" eb="16">
      <t>ニン</t>
    </rPh>
    <phoneticPr fontId="2"/>
  </si>
  <si>
    <t>　131人
　　から
　140人
　　まで</t>
    <rPh sb="4" eb="5">
      <t>ニン</t>
    </rPh>
    <rPh sb="15" eb="16">
      <t>ニン</t>
    </rPh>
    <phoneticPr fontId="2"/>
  </si>
  <si>
    <t>　141人
　　から
　150人
　　まで</t>
    <rPh sb="4" eb="5">
      <t>ニン</t>
    </rPh>
    <rPh sb="15" eb="16">
      <t>ニン</t>
    </rPh>
    <phoneticPr fontId="2"/>
  </si>
  <si>
    <t>　151人
　　から
　160人
　　まで</t>
    <rPh sb="4" eb="5">
      <t>ニン</t>
    </rPh>
    <rPh sb="15" eb="16">
      <t>ニン</t>
    </rPh>
    <phoneticPr fontId="2"/>
  </si>
  <si>
    <t>　161人
　　から
　170人
　　まで</t>
    <rPh sb="4" eb="5">
      <t>ニン</t>
    </rPh>
    <rPh sb="15" eb="16">
      <t>ニン</t>
    </rPh>
    <phoneticPr fontId="2"/>
  </si>
  <si>
    <t>　171人
　　以上</t>
    <rPh sb="4" eb="5">
      <t>ニン</t>
    </rPh>
    <rPh sb="8" eb="10">
      <t>イジョウ</t>
    </rPh>
    <phoneticPr fontId="2"/>
  </si>
  <si>
    <t xml:space="preserve">
　10人
　　まで</t>
    <rPh sb="5" eb="6">
      <t>ニン</t>
    </rPh>
    <phoneticPr fontId="2"/>
  </si>
  <si>
    <t>　4１人
　　から
　50人
　　まで</t>
    <rPh sb="3" eb="4">
      <t>ニン</t>
    </rPh>
    <rPh sb="13" eb="14">
      <t>ニン</t>
    </rPh>
    <phoneticPr fontId="2"/>
  </si>
  <si>
    <t>その他
地域</t>
    <rPh sb="2" eb="3">
      <t>タ</t>
    </rPh>
    <phoneticPr fontId="2"/>
  </si>
  <si>
    <r>
      <t>療育支援加算</t>
    </r>
    <r>
      <rPr>
        <vertAlign val="superscript"/>
        <sz val="11"/>
        <rFont val="HGｺﾞｼｯｸM"/>
        <family val="3"/>
        <charset val="128"/>
      </rPr>
      <t>(注２)</t>
    </r>
    <rPh sb="0" eb="2">
      <t>リョウイク</t>
    </rPh>
    <rPh sb="2" eb="4">
      <t>シエン</t>
    </rPh>
    <rPh sb="4" eb="6">
      <t>カサン</t>
    </rPh>
    <rPh sb="7" eb="8">
      <t>チュウ</t>
    </rPh>
    <phoneticPr fontId="3"/>
  </si>
  <si>
    <t>㉓</t>
    <phoneticPr fontId="13"/>
  </si>
  <si>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3"/>
  </si>
  <si>
    <t>㉔</t>
    <phoneticPr fontId="13"/>
  </si>
  <si>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3"/>
  </si>
  <si>
    <t xml:space="preserve">× 人数Ａ × 1/2 </t>
    <phoneticPr fontId="13"/>
  </si>
  <si>
    <t xml:space="preserve">× 人数Ｂ × 1/2 </t>
    <phoneticPr fontId="13"/>
  </si>
  <si>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3"/>
  </si>
  <si>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3"/>
  </si>
  <si>
    <t>㉘</t>
    <phoneticPr fontId="3"/>
  </si>
  <si>
    <t>㉙</t>
    <phoneticPr fontId="3"/>
  </si>
  <si>
    <t>※加算額は、高齢者等の年間総雇用時間数を基に区分
※３月初日の利用子どもの単価に加算</t>
    <phoneticPr fontId="3"/>
  </si>
  <si>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3"/>
  </si>
  <si>
    <t>㉚</t>
    <phoneticPr fontId="3"/>
  </si>
  <si>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3"/>
  </si>
  <si>
    <t>栄養管理加算</t>
    <rPh sb="0" eb="2">
      <t>エイヨウ</t>
    </rPh>
    <rPh sb="2" eb="4">
      <t>カンリ</t>
    </rPh>
    <rPh sb="4" eb="6">
      <t>カサン</t>
    </rPh>
    <phoneticPr fontId="13"/>
  </si>
  <si>
    <t>処遇改善等加算Ⅰ</t>
    <phoneticPr fontId="3"/>
  </si>
  <si>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13"/>
  </si>
  <si>
    <t>Ｂ</t>
    <phoneticPr fontId="13"/>
  </si>
  <si>
    <t>Ｃ</t>
    <phoneticPr fontId="3"/>
  </si>
  <si>
    <t>÷各月初日の利用子ども数</t>
  </si>
  <si>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3"/>
  </si>
  <si>
    <t>㉝</t>
    <phoneticPr fontId="3"/>
  </si>
  <si>
    <t>（注２）１号認定子どもの利用定員を設定しない場合、それぞれの額に「２」を乗じて算定</t>
    <phoneticPr fontId="13"/>
  </si>
  <si>
    <t>フラグ</t>
    <phoneticPr fontId="1"/>
  </si>
  <si>
    <t>基準列</t>
    <rPh sb="0" eb="2">
      <t>キジュン</t>
    </rPh>
    <rPh sb="2" eb="3">
      <t>レツ</t>
    </rPh>
    <phoneticPr fontId="1"/>
  </si>
  <si>
    <t>処遇改善等加算Ⅰ</t>
    <phoneticPr fontId="13"/>
  </si>
  <si>
    <t>基本額</t>
    <rPh sb="0" eb="3">
      <t>キホンガク</t>
    </rPh>
    <phoneticPr fontId="3"/>
  </si>
  <si>
    <t>基本額
＋処遇改善等加算Ⅰ</t>
    <rPh sb="0" eb="3">
      <t>キホンガク</t>
    </rPh>
    <phoneticPr fontId="13"/>
  </si>
  <si>
    <t>冷暖房費加算</t>
    <rPh sb="0" eb="3">
      <t>レイダンボウ</t>
    </rPh>
    <rPh sb="3" eb="4">
      <t>ヒ</t>
    </rPh>
    <rPh sb="4" eb="6">
      <t>カサン</t>
    </rPh>
    <phoneticPr fontId="1"/>
  </si>
  <si>
    <t>番号</t>
    <rPh sb="0" eb="2">
      <t>バンゴウ</t>
    </rPh>
    <phoneticPr fontId="8"/>
  </si>
  <si>
    <t>地域区分</t>
    <rPh sb="0" eb="2">
      <t>チイキ</t>
    </rPh>
    <rPh sb="2" eb="4">
      <t>クブン</t>
    </rPh>
    <phoneticPr fontId="8"/>
  </si>
  <si>
    <t>冷暖房費加算用地域区分</t>
    <rPh sb="0" eb="3">
      <t>レイダンボウ</t>
    </rPh>
    <rPh sb="3" eb="4">
      <t>ヒ</t>
    </rPh>
    <rPh sb="4" eb="6">
      <t>カサン</t>
    </rPh>
    <rPh sb="6" eb="7">
      <t>ヨウ</t>
    </rPh>
    <rPh sb="7" eb="9">
      <t>チイキ</t>
    </rPh>
    <rPh sb="9" eb="11">
      <t>クブン</t>
    </rPh>
    <phoneticPr fontId="8"/>
  </si>
  <si>
    <t>栄養管理加算</t>
    <rPh sb="0" eb="2">
      <t>エイヨウ</t>
    </rPh>
    <rPh sb="2" eb="4">
      <t>カンリ</t>
    </rPh>
    <rPh sb="4" eb="6">
      <t>カサン</t>
    </rPh>
    <phoneticPr fontId="8"/>
  </si>
  <si>
    <t>１級地</t>
    <rPh sb="1" eb="3">
      <t>キュウチ</t>
    </rPh>
    <phoneticPr fontId="8"/>
  </si>
  <si>
    <t>A</t>
    <phoneticPr fontId="8"/>
  </si>
  <si>
    <t>２級地</t>
    <rPh sb="1" eb="3">
      <t>キュウチ</t>
    </rPh>
    <phoneticPr fontId="8"/>
  </si>
  <si>
    <t>B</t>
    <phoneticPr fontId="8"/>
  </si>
  <si>
    <t>３級地</t>
    <rPh sb="1" eb="3">
      <t>キュウチ</t>
    </rPh>
    <phoneticPr fontId="8"/>
  </si>
  <si>
    <t>C</t>
    <phoneticPr fontId="8"/>
  </si>
  <si>
    <t>12/100地域</t>
  </si>
  <si>
    <t>４級地</t>
    <rPh sb="1" eb="3">
      <t>キュウチ</t>
    </rPh>
    <phoneticPr fontId="8"/>
  </si>
  <si>
    <t>10/100地域</t>
  </si>
  <si>
    <t>6/100地域</t>
  </si>
  <si>
    <t>その他地域</t>
    <rPh sb="2" eb="3">
      <t>タ</t>
    </rPh>
    <rPh sb="3" eb="5">
      <t>チイキ</t>
    </rPh>
    <phoneticPr fontId="8"/>
  </si>
  <si>
    <t>実施
形態</t>
    <rPh sb="0" eb="2">
      <t>ジッシ</t>
    </rPh>
    <rPh sb="3" eb="5">
      <t>ケイタイ</t>
    </rPh>
    <phoneticPr fontId="1"/>
  </si>
  <si>
    <t>搬入</t>
    <rPh sb="0" eb="2">
      <t>ハンニュウ</t>
    </rPh>
    <phoneticPr fontId="1"/>
  </si>
  <si>
    <t>施設内</t>
    <rPh sb="0" eb="2">
      <t>シセツ</t>
    </rPh>
    <rPh sb="2" eb="3">
      <t>ナイ</t>
    </rPh>
    <phoneticPr fontId="1"/>
  </si>
  <si>
    <t>外部監査費加算（３月のみ）</t>
    <rPh sb="9" eb="10">
      <t>ガツ</t>
    </rPh>
    <phoneticPr fontId="1"/>
  </si>
  <si>
    <t>主幹教諭等の専任化により子育て支援の取組を実施していない場合</t>
    <rPh sb="0" eb="2">
      <t>シュカン</t>
    </rPh>
    <rPh sb="2" eb="4">
      <t>キョウユ</t>
    </rPh>
    <rPh sb="4" eb="5">
      <t>トウ</t>
    </rPh>
    <rPh sb="6" eb="8">
      <t>センニン</t>
    </rPh>
    <rPh sb="8" eb="9">
      <t>カ</t>
    </rPh>
    <rPh sb="12" eb="14">
      <t>コソダ</t>
    </rPh>
    <rPh sb="15" eb="17">
      <t>シエン</t>
    </rPh>
    <rPh sb="18" eb="20">
      <t>トリクミ</t>
    </rPh>
    <rPh sb="21" eb="23">
      <t>ジッシ</t>
    </rPh>
    <rPh sb="28" eb="30">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</si>
  <si>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</si>
  <si>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利用定員（教育）</t>
    <rPh sb="0" eb="2">
      <t>リヨウ</t>
    </rPh>
    <rPh sb="2" eb="4">
      <t>テイイン</t>
    </rPh>
    <rPh sb="5" eb="7">
      <t>キョウイク</t>
    </rPh>
    <phoneticPr fontId="1"/>
  </si>
  <si>
    <t>利用定員（保育）</t>
    <rPh sb="0" eb="2">
      <t>リヨウ</t>
    </rPh>
    <rPh sb="2" eb="4">
      <t>テイイン</t>
    </rPh>
    <rPh sb="5" eb="7">
      <t>ホイク</t>
    </rPh>
    <phoneticPr fontId="1"/>
  </si>
  <si>
    <t>利用定員（保育・分園）</t>
    <rPh sb="0" eb="2">
      <t>リヨウ</t>
    </rPh>
    <rPh sb="2" eb="4">
      <t>テイイン</t>
    </rPh>
    <rPh sb="5" eb="7">
      <t>ホイク</t>
    </rPh>
    <rPh sb="8" eb="10">
      <t>ブンエン</t>
    </rPh>
    <phoneticPr fontId="1"/>
  </si>
  <si>
    <t>２号</t>
    <rPh sb="1" eb="2">
      <t>ゴウ</t>
    </rPh>
    <phoneticPr fontId="1"/>
  </si>
  <si>
    <t>＜開所／教育時間＞</t>
    <rPh sb="4" eb="6">
      <t>キョウイク</t>
    </rPh>
    <rPh sb="6" eb="8">
      <t>ジカン</t>
    </rPh>
    <phoneticPr fontId="1"/>
  </si>
  <si>
    <t>３歳児</t>
    <rPh sb="1" eb="2">
      <t>サイ</t>
    </rPh>
    <rPh sb="2" eb="3">
      <t>ジ</t>
    </rPh>
    <phoneticPr fontId="3"/>
  </si>
  <si>
    <t>満３歳児</t>
    <rPh sb="0" eb="1">
      <t>マン</t>
    </rPh>
    <rPh sb="2" eb="3">
      <t>サイ</t>
    </rPh>
    <rPh sb="3" eb="4">
      <t>ジ</t>
    </rPh>
    <phoneticPr fontId="3"/>
  </si>
  <si>
    <t>副園長・教頭配置加算</t>
    <rPh sb="6" eb="8">
      <t>ハイチ</t>
    </rPh>
    <phoneticPr fontId="1"/>
  </si>
  <si>
    <t>３歳児配置改善加算</t>
    <phoneticPr fontId="1"/>
  </si>
  <si>
    <t>満３歳児対応加配加算</t>
    <phoneticPr fontId="1"/>
  </si>
  <si>
    <t>講師配置加算</t>
    <phoneticPr fontId="1"/>
  </si>
  <si>
    <t>チーム保育加配加算</t>
    <rPh sb="3" eb="5">
      <t>ホイク</t>
    </rPh>
    <rPh sb="5" eb="7">
      <t>カハイ</t>
    </rPh>
    <rPh sb="7" eb="9">
      <t>カサン</t>
    </rPh>
    <phoneticPr fontId="1"/>
  </si>
  <si>
    <t>通園送迎加算</t>
    <phoneticPr fontId="1"/>
  </si>
  <si>
    <t>給食実施加算</t>
    <phoneticPr fontId="1"/>
  </si>
  <si>
    <t>施設関係者評価加算（３月のみ）</t>
    <rPh sb="11" eb="12">
      <t>ガツ</t>
    </rPh>
    <phoneticPr fontId="1"/>
  </si>
  <si>
    <t>公開保育</t>
    <rPh sb="0" eb="2">
      <t>コウカイ</t>
    </rPh>
    <rPh sb="2" eb="4">
      <t>ホイク</t>
    </rPh>
    <phoneticPr fontId="1"/>
  </si>
  <si>
    <t>栄養管理加算</t>
    <phoneticPr fontId="1"/>
  </si>
  <si>
    <t>単価合計（日割り対象分に限り、かつ、副食費徴収免除加算を除く）…F</t>
    <rPh sb="0" eb="2">
      <t>タンカ</t>
    </rPh>
    <rPh sb="2" eb="4">
      <t>ゴウケイ</t>
    </rPh>
    <rPh sb="5" eb="7">
      <t>ヒワ</t>
    </rPh>
    <rPh sb="8" eb="10">
      <t>タイショウ</t>
    </rPh>
    <rPh sb="10" eb="11">
      <t>ブン</t>
    </rPh>
    <rPh sb="12" eb="13">
      <t>カギ</t>
    </rPh>
    <rPh sb="18" eb="21">
      <t>フクショクヒ</t>
    </rPh>
    <rPh sb="21" eb="23">
      <t>チョウシュウ</t>
    </rPh>
    <rPh sb="23" eb="25">
      <t>メンジョ</t>
    </rPh>
    <rPh sb="25" eb="27">
      <t>カサン</t>
    </rPh>
    <rPh sb="28" eb="29">
      <t>ノゾ</t>
    </rPh>
    <phoneticPr fontId="1"/>
  </si>
  <si>
    <t>単価合計（日割り対象分に限る）…G</t>
    <rPh sb="0" eb="2">
      <t>タンカ</t>
    </rPh>
    <rPh sb="2" eb="4">
      <t>ゴウケイ</t>
    </rPh>
    <rPh sb="5" eb="7">
      <t>ヒワ</t>
    </rPh>
    <rPh sb="8" eb="10">
      <t>タイショウ</t>
    </rPh>
    <rPh sb="10" eb="11">
      <t>ブン</t>
    </rPh>
    <rPh sb="12" eb="13">
      <t>カギ</t>
    </rPh>
    <phoneticPr fontId="1"/>
  </si>
  <si>
    <t>単価合計（うち日割り対象外分）…H</t>
    <rPh sb="0" eb="2">
      <t>タンカ</t>
    </rPh>
    <rPh sb="2" eb="4">
      <t>ゴウケイ</t>
    </rPh>
    <rPh sb="7" eb="9">
      <t>ヒワ</t>
    </rPh>
    <rPh sb="10" eb="12">
      <t>タイショウ</t>
    </rPh>
    <rPh sb="12" eb="13">
      <t>ガイ</t>
    </rPh>
    <rPh sb="13" eb="14">
      <t>ブン</t>
    </rPh>
    <phoneticPr fontId="1"/>
  </si>
  <si>
    <t>請求先市区町村の児童</t>
    <rPh sb="8" eb="10">
      <t>ジドウ</t>
    </rPh>
    <phoneticPr fontId="1"/>
  </si>
  <si>
    <t>（月途中入所児童に限り、かつ、副食費徴収免除対象者を除く）…I</t>
    <phoneticPr fontId="1"/>
  </si>
  <si>
    <t>公定価格小計（月途中入退所児童分）…J（F×I÷20）</t>
    <rPh sb="0" eb="2">
      <t>コウテイ</t>
    </rPh>
    <rPh sb="2" eb="4">
      <t>カカク</t>
    </rPh>
    <rPh sb="4" eb="6">
      <t>ショウケイ</t>
    </rPh>
    <rPh sb="7" eb="8">
      <t>ツキ</t>
    </rPh>
    <rPh sb="8" eb="10">
      <t>トチュウ</t>
    </rPh>
    <rPh sb="10" eb="11">
      <t>ニュウ</t>
    </rPh>
    <rPh sb="11" eb="13">
      <t>タイショ</t>
    </rPh>
    <rPh sb="13" eb="15">
      <t>ジドウ</t>
    </rPh>
    <rPh sb="15" eb="16">
      <t>ブン</t>
    </rPh>
    <phoneticPr fontId="1"/>
  </si>
  <si>
    <t>公定価格小計（月途中入退所児童分）…L（G×K÷20）</t>
    <rPh sb="0" eb="2">
      <t>コウテイ</t>
    </rPh>
    <rPh sb="2" eb="4">
      <t>カカク</t>
    </rPh>
    <rPh sb="4" eb="6">
      <t>ショウケイ</t>
    </rPh>
    <rPh sb="7" eb="8">
      <t>ツキ</t>
    </rPh>
    <rPh sb="8" eb="10">
      <t>トチュウ</t>
    </rPh>
    <rPh sb="10" eb="11">
      <t>ニュウ</t>
    </rPh>
    <rPh sb="11" eb="13">
      <t>タイショ</t>
    </rPh>
    <rPh sb="13" eb="15">
      <t>ジドウ</t>
    </rPh>
    <rPh sb="15" eb="16">
      <t>ブン</t>
    </rPh>
    <phoneticPr fontId="1"/>
  </si>
  <si>
    <t>保育短時間認定子どもに保育を行う時間</t>
    <rPh sb="0" eb="2">
      <t>ホイク</t>
    </rPh>
    <rPh sb="2" eb="5">
      <t>タンジカン</t>
    </rPh>
    <rPh sb="5" eb="7">
      <t>ニンテイ</t>
    </rPh>
    <rPh sb="7" eb="8">
      <t>コ</t>
    </rPh>
    <rPh sb="11" eb="13">
      <t>ホイク</t>
    </rPh>
    <rPh sb="14" eb="15">
      <t>オコナ</t>
    </rPh>
    <rPh sb="16" eb="18">
      <t>ジカン</t>
    </rPh>
    <phoneticPr fontId="1"/>
  </si>
  <si>
    <t>教育</t>
    <rPh sb="0" eb="2">
      <t>キョウイク</t>
    </rPh>
    <phoneticPr fontId="1"/>
  </si>
  <si>
    <t>保育</t>
    <rPh sb="0" eb="2">
      <t>ホイク</t>
    </rPh>
    <phoneticPr fontId="1"/>
  </si>
  <si>
    <t>学級編制調整加配加算</t>
    <rPh sb="0" eb="2">
      <t>ガッキュウ</t>
    </rPh>
    <rPh sb="2" eb="4">
      <t>ヘンセイ</t>
    </rPh>
    <rPh sb="4" eb="6">
      <t>チョウセイ</t>
    </rPh>
    <rPh sb="6" eb="8">
      <t>カハイ</t>
    </rPh>
    <rPh sb="8" eb="10">
      <t>カサン</t>
    </rPh>
    <phoneticPr fontId="1"/>
  </si>
  <si>
    <t>基準セル</t>
    <rPh sb="0" eb="2">
      <t>キジュン</t>
    </rPh>
    <phoneticPr fontId="1"/>
  </si>
  <si>
    <t>基準行</t>
    <rPh sb="0" eb="2">
      <t>キジュン</t>
    </rPh>
    <rPh sb="2" eb="3">
      <t>ギョウ</t>
    </rPh>
    <phoneticPr fontId="1"/>
  </si>
  <si>
    <t>処遇改善等加算Ⅰ</t>
    <rPh sb="0" eb="2">
      <t>ショグウ</t>
    </rPh>
    <rPh sb="2" eb="4">
      <t>カイゼン</t>
    </rPh>
    <rPh sb="4" eb="5">
      <t>トウ</t>
    </rPh>
    <rPh sb="5" eb="7">
      <t>カサン</t>
    </rPh>
    <phoneticPr fontId="1"/>
  </si>
  <si>
    <r>
      <rPr>
        <sz val="11"/>
        <rFont val="HGｺﾞｼｯｸM"/>
        <family val="3"/>
        <charset val="128"/>
      </rPr>
      <t>副園長・教頭設置加算</t>
    </r>
  </si>
  <si>
    <r>
      <rPr>
        <sz val="11"/>
        <rFont val="HGｺﾞｼｯｸM"/>
        <family val="3"/>
        <charset val="128"/>
      </rPr>
      <t>基本額</t>
    </r>
    <rPh sb="0" eb="3">
      <t>キホンガク</t>
    </rPh>
    <phoneticPr fontId="13"/>
  </si>
  <si>
    <r>
      <rPr>
        <sz val="11"/>
        <rFont val="HGｺﾞｼｯｸM"/>
        <family val="3"/>
        <charset val="128"/>
      </rPr>
      <t>３歳児配置改善加算</t>
    </r>
  </si>
  <si>
    <r>
      <rPr>
        <sz val="11"/>
        <rFont val="HGｺﾞｼｯｸM"/>
        <family val="3"/>
        <charset val="128"/>
      </rPr>
      <t>満３歳児対応教諭配置加算（３歳児配置改善加算無し）</t>
    </r>
    <rPh sb="14" eb="16">
      <t>サイジ</t>
    </rPh>
    <rPh sb="16" eb="18">
      <t>ハイチ</t>
    </rPh>
    <rPh sb="18" eb="20">
      <t>カイゼン</t>
    </rPh>
    <rPh sb="20" eb="22">
      <t>カサン</t>
    </rPh>
    <rPh sb="22" eb="23">
      <t>ナ</t>
    </rPh>
    <phoneticPr fontId="1"/>
  </si>
  <si>
    <r>
      <rPr>
        <sz val="11"/>
        <rFont val="HGｺﾞｼｯｸM"/>
        <family val="3"/>
        <charset val="128"/>
      </rPr>
      <t>満３歳児対応教諭配置加算（３歳児配置改善加算あり）</t>
    </r>
    <rPh sb="14" eb="16">
      <t>サイジ</t>
    </rPh>
    <rPh sb="16" eb="18">
      <t>ハイチ</t>
    </rPh>
    <rPh sb="18" eb="20">
      <t>カイゼン</t>
    </rPh>
    <rPh sb="20" eb="22">
      <t>カサン</t>
    </rPh>
    <phoneticPr fontId="1"/>
  </si>
  <si>
    <t>講師配置加算</t>
    <rPh sb="0" eb="2">
      <t>コウシ</t>
    </rPh>
    <rPh sb="2" eb="4">
      <t>ハイチ</t>
    </rPh>
    <phoneticPr fontId="13"/>
  </si>
  <si>
    <r>
      <rPr>
        <sz val="11"/>
        <rFont val="HGｺﾞｼｯｸM"/>
        <family val="3"/>
        <charset val="128"/>
      </rPr>
      <t>チーム保育加配加算</t>
    </r>
    <phoneticPr fontId="13"/>
  </si>
  <si>
    <r>
      <rPr>
        <sz val="11"/>
        <rFont val="HGｺﾞｼｯｸM"/>
        <family val="3"/>
        <charset val="128"/>
      </rPr>
      <t>通園送迎加算</t>
    </r>
  </si>
  <si>
    <t>給食実施加算（施設内）</t>
    <rPh sb="4" eb="6">
      <t>カサン</t>
    </rPh>
    <rPh sb="7" eb="9">
      <t>シセツ</t>
    </rPh>
    <rPh sb="9" eb="10">
      <t>ナイ</t>
    </rPh>
    <phoneticPr fontId="13"/>
  </si>
  <si>
    <t>給食実施加算（搬入）</t>
    <rPh sb="4" eb="6">
      <t>カサン</t>
    </rPh>
    <rPh sb="7" eb="9">
      <t>ハンニュウ</t>
    </rPh>
    <phoneticPr fontId="13"/>
  </si>
  <si>
    <r>
      <rPr>
        <sz val="11"/>
        <rFont val="HGｺﾞｼｯｸM"/>
        <family val="3"/>
        <charset val="128"/>
      </rPr>
      <t>外部監査費
加算</t>
    </r>
  </si>
  <si>
    <r>
      <rPr>
        <sz val="11"/>
        <rFont val="ＭＳ Ｐゴシック"/>
        <family val="3"/>
        <charset val="128"/>
      </rPr>
      <t>副食費徴収免除加算</t>
    </r>
    <rPh sb="0" eb="3">
      <t>フクショクヒ</t>
    </rPh>
    <rPh sb="3" eb="5">
      <t>チョウシュウ</t>
    </rPh>
    <rPh sb="5" eb="7">
      <t>メンジョ</t>
    </rPh>
    <rPh sb="7" eb="9">
      <t>カサン</t>
    </rPh>
    <phoneticPr fontId="3"/>
  </si>
  <si>
    <r>
      <rPr>
        <sz val="11"/>
        <rFont val="HGｺﾞｼｯｸM"/>
        <family val="3"/>
        <charset val="128"/>
      </rPr>
      <t>年齢別配置基準を下回る場合</t>
    </r>
    <phoneticPr fontId="13"/>
  </si>
  <si>
    <r>
      <rPr>
        <sz val="11"/>
        <rFont val="HGｺﾞｼｯｸM"/>
        <family val="3"/>
        <charset val="128"/>
      </rPr>
      <t>定員を恒常的に超過する場合</t>
    </r>
    <phoneticPr fontId="13"/>
  </si>
  <si>
    <t>栄養管理加算</t>
    <rPh sb="0" eb="2">
      <t>エイヨウ</t>
    </rPh>
    <rPh sb="2" eb="4">
      <t>カンリ</t>
    </rPh>
    <rPh sb="4" eb="6">
      <t>カサン</t>
    </rPh>
    <phoneticPr fontId="1"/>
  </si>
  <si>
    <t>幼稚園</t>
    <rPh sb="0" eb="3">
      <t>ヨウチエン</t>
    </rPh>
    <phoneticPr fontId="8"/>
  </si>
  <si>
    <r>
      <t>20</t>
    </r>
    <r>
      <rPr>
        <sz val="11"/>
        <color indexed="8"/>
        <rFont val="ＭＳ Ｐゴシック"/>
        <family val="3"/>
        <charset val="128"/>
      </rPr>
      <t>/100地域</t>
    </r>
    <rPh sb="6" eb="8">
      <t>チイキ</t>
    </rPh>
    <phoneticPr fontId="8"/>
  </si>
  <si>
    <r>
      <t>16</t>
    </r>
    <r>
      <rPr>
        <sz val="11"/>
        <color indexed="8"/>
        <rFont val="ＭＳ Ｐゴシック"/>
        <family val="3"/>
        <charset val="128"/>
      </rPr>
      <t>/100地域</t>
    </r>
    <rPh sb="6" eb="8">
      <t>チイキ</t>
    </rPh>
    <phoneticPr fontId="8"/>
  </si>
  <si>
    <r>
      <t>15</t>
    </r>
    <r>
      <rPr>
        <sz val="11"/>
        <color indexed="8"/>
        <rFont val="ＭＳ Ｐゴシック"/>
        <family val="3"/>
        <charset val="128"/>
      </rPr>
      <t>/100地域</t>
    </r>
    <rPh sb="6" eb="8">
      <t>チイキ</t>
    </rPh>
    <phoneticPr fontId="8"/>
  </si>
  <si>
    <r>
      <t>3</t>
    </r>
    <r>
      <rPr>
        <sz val="11"/>
        <color indexed="8"/>
        <rFont val="ＭＳ Ｐゴシック"/>
        <family val="3"/>
        <charset val="128"/>
      </rPr>
      <t>/100地域</t>
    </r>
    <rPh sb="5" eb="7">
      <t>チイキ</t>
    </rPh>
    <phoneticPr fontId="8"/>
  </si>
  <si>
    <t>'１号単価表①'!F</t>
    <rPh sb="2" eb="3">
      <t>ゴウ</t>
    </rPh>
    <rPh sb="3" eb="5">
      <t>タンカ</t>
    </rPh>
    <rPh sb="5" eb="6">
      <t>ヒョウ</t>
    </rPh>
    <phoneticPr fontId="1"/>
  </si>
  <si>
    <t>学級編制調整加配加算</t>
    <rPh sb="0" eb="1">
      <t>ガッキュウ</t>
    </rPh>
    <rPh sb="1" eb="3">
      <t>ヘンセイ</t>
    </rPh>
    <rPh sb="3" eb="5">
      <t>チョウセイ</t>
    </rPh>
    <rPh sb="5" eb="7">
      <t>カハイ</t>
    </rPh>
    <rPh sb="7" eb="9">
      <t>カサン</t>
    </rPh>
    <phoneticPr fontId="1"/>
  </si>
  <si>
    <t>主幹教諭等の専任化により子育て支援の取組を実施していない場合</t>
    <rPh sb="0" eb="2">
      <t>シュカン</t>
    </rPh>
    <rPh sb="2" eb="4">
      <t>キョウユ</t>
    </rPh>
    <rPh sb="4" eb="5">
      <t>トウ</t>
    </rPh>
    <rPh sb="6" eb="8">
      <t>センニン</t>
    </rPh>
    <rPh sb="8" eb="9">
      <t>カ</t>
    </rPh>
    <rPh sb="12" eb="14">
      <t>コソダ</t>
    </rPh>
    <rPh sb="15" eb="17">
      <t>シエン</t>
    </rPh>
    <rPh sb="18" eb="20">
      <t>トリクミ</t>
    </rPh>
    <rPh sb="21" eb="23">
      <t>ジッシ</t>
    </rPh>
    <rPh sb="28" eb="30">
      <t>バアイ</t>
    </rPh>
    <phoneticPr fontId="1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</si>
  <si>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3"/>
  </si>
  <si>
    <t>非適用</t>
    <rPh sb="0" eb="1">
      <t>ヒ</t>
    </rPh>
    <rPh sb="1" eb="3">
      <t>テキヨウ</t>
    </rPh>
    <phoneticPr fontId="8"/>
  </si>
  <si>
    <t>２歳児</t>
    <rPh sb="1" eb="3">
      <t>サイジ</t>
    </rPh>
    <phoneticPr fontId="1"/>
  </si>
  <si>
    <t>１歳児</t>
    <rPh sb="1" eb="2">
      <t>サイ</t>
    </rPh>
    <rPh sb="2" eb="3">
      <t>ジ</t>
    </rPh>
    <phoneticPr fontId="1"/>
  </si>
  <si>
    <t>乳児</t>
    <rPh sb="0" eb="2">
      <t>ニュウジ</t>
    </rPh>
    <phoneticPr fontId="3"/>
  </si>
  <si>
    <t>標準</t>
    <rPh sb="0" eb="2">
      <t>ヒョウジュン</t>
    </rPh>
    <phoneticPr fontId="1"/>
  </si>
  <si>
    <t>短時間</t>
    <rPh sb="0" eb="3">
      <t>タンジカン</t>
    </rPh>
    <phoneticPr fontId="1"/>
  </si>
  <si>
    <t>基本分単価（分園）</t>
    <rPh sb="0" eb="2">
      <t>キホン</t>
    </rPh>
    <rPh sb="2" eb="3">
      <t>ブン</t>
    </rPh>
    <rPh sb="3" eb="5">
      <t>タンカ</t>
    </rPh>
    <rPh sb="6" eb="8">
      <t>ブンエン</t>
    </rPh>
    <phoneticPr fontId="3"/>
  </si>
  <si>
    <t>１・２歳児</t>
    <rPh sb="3" eb="5">
      <t>サイジ</t>
    </rPh>
    <phoneticPr fontId="1"/>
  </si>
  <si>
    <t>乳児</t>
    <rPh sb="0" eb="2">
      <t>ニュウジ</t>
    </rPh>
    <phoneticPr fontId="1"/>
  </si>
  <si>
    <t>処遇改善等加算Ⅰ（分園）</t>
    <rPh sb="0" eb="2">
      <t>ショグウ</t>
    </rPh>
    <rPh sb="2" eb="4">
      <t>カイゼン</t>
    </rPh>
    <rPh sb="4" eb="5">
      <t>トウ</t>
    </rPh>
    <rPh sb="5" eb="7">
      <t>カサン</t>
    </rPh>
    <rPh sb="9" eb="11">
      <t>ブンエン</t>
    </rPh>
    <phoneticPr fontId="1"/>
  </si>
  <si>
    <t>３歳以上児</t>
    <rPh sb="1" eb="4">
      <t>サイイジョウ</t>
    </rPh>
    <rPh sb="4" eb="5">
      <t>ジ</t>
    </rPh>
    <phoneticPr fontId="1"/>
  </si>
  <si>
    <t>休日保育加算</t>
    <rPh sb="0" eb="2">
      <t>キュウジツ</t>
    </rPh>
    <rPh sb="2" eb="4">
      <t>ホイク</t>
    </rPh>
    <rPh sb="4" eb="6">
      <t>カサン</t>
    </rPh>
    <phoneticPr fontId="1"/>
  </si>
  <si>
    <t>子ども数</t>
    <rPh sb="0" eb="1">
      <t>コ</t>
    </rPh>
    <rPh sb="3" eb="4">
      <t>スウ</t>
    </rPh>
    <phoneticPr fontId="1"/>
  </si>
  <si>
    <t>～210人</t>
    <rPh sb="4" eb="5">
      <t>ニン</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</si>
  <si>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</si>
  <si>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</si>
  <si>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</si>
  <si>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</si>
  <si>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</si>
  <si>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</si>
  <si>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</si>
  <si>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</si>
  <si>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</si>
  <si>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</si>
  <si>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</si>
  <si>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</si>
  <si>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</si>
  <si>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夜間保育加算</t>
    <rPh sb="0" eb="2">
      <t>ヤカン</t>
    </rPh>
    <rPh sb="2" eb="4">
      <t>ホイク</t>
    </rPh>
    <rPh sb="4" eb="6">
      <t>カサン</t>
    </rPh>
    <phoneticPr fontId="1"/>
  </si>
  <si>
    <t>３歳以上児</t>
    <rPh sb="1" eb="2">
      <t>サイ</t>
    </rPh>
    <rPh sb="2" eb="4">
      <t>イジョウ</t>
    </rPh>
    <rPh sb="4" eb="5">
      <t>ジ</t>
    </rPh>
    <phoneticPr fontId="1"/>
  </si>
  <si>
    <t>３歳未満児</t>
    <rPh sb="1" eb="2">
      <t>サイ</t>
    </rPh>
    <rPh sb="2" eb="4">
      <t>ミマン</t>
    </rPh>
    <rPh sb="4" eb="5">
      <t>ジ</t>
    </rPh>
    <phoneticPr fontId="1"/>
  </si>
  <si>
    <t>減価償却費加算</t>
    <rPh sb="0" eb="2">
      <t>ゲンカ</t>
    </rPh>
    <rPh sb="2" eb="4">
      <t>ショウキャク</t>
    </rPh>
    <rPh sb="4" eb="5">
      <t>ヒ</t>
    </rPh>
    <rPh sb="5" eb="7">
      <t>カサン</t>
    </rPh>
    <phoneticPr fontId="1"/>
  </si>
  <si>
    <t>都市部</t>
    <rPh sb="0" eb="3">
      <t>トシブ</t>
    </rPh>
    <phoneticPr fontId="1"/>
  </si>
  <si>
    <t>賃借料加算</t>
    <rPh sb="0" eb="3">
      <t>チンシャクリョウ</t>
    </rPh>
    <rPh sb="3" eb="5">
      <t>カサン</t>
    </rPh>
    <phoneticPr fontId="1"/>
  </si>
  <si>
    <t>a地域</t>
    <rPh sb="1" eb="3">
      <t>チイキ</t>
    </rPh>
    <phoneticPr fontId="1"/>
  </si>
  <si>
    <t>b地域</t>
    <rPh sb="1" eb="3">
      <t>チイキ</t>
    </rPh>
    <phoneticPr fontId="1"/>
  </si>
  <si>
    <t>c地域</t>
    <rPh sb="1" eb="3">
      <t>チイキ</t>
    </rPh>
    <phoneticPr fontId="1"/>
  </si>
  <si>
    <t>d地域</t>
    <rPh sb="1" eb="3">
      <t>チイキ</t>
    </rPh>
    <phoneticPr fontId="1"/>
  </si>
  <si>
    <t>分園の場合（分園の子どものみ）</t>
    <rPh sb="0" eb="2">
      <t>ブンエン</t>
    </rPh>
    <rPh sb="3" eb="5">
      <t>バアイ</t>
    </rPh>
    <rPh sb="6" eb="8">
      <t>ブンエン</t>
    </rPh>
    <rPh sb="9" eb="10">
      <t>コ</t>
    </rPh>
    <phoneticPr fontId="1"/>
  </si>
  <si>
    <t>土曜日に閉所する場合</t>
    <rPh sb="0" eb="3">
      <t>ドヨウビ</t>
    </rPh>
    <rPh sb="4" eb="6">
      <t>ヘイショ</t>
    </rPh>
    <rPh sb="8" eb="10">
      <t>バアイ</t>
    </rPh>
    <phoneticPr fontId="1"/>
  </si>
  <si>
    <t>閉所日数</t>
    <rPh sb="0" eb="2">
      <t>ヘイショ</t>
    </rPh>
    <rPh sb="2" eb="4">
      <t>ニッスウ</t>
    </rPh>
    <phoneticPr fontId="1"/>
  </si>
  <si>
    <t>0日</t>
    <rPh sb="1" eb="2">
      <t>ニチ</t>
    </rPh>
    <phoneticPr fontId="1"/>
  </si>
  <si>
    <t>1日</t>
    <rPh sb="1" eb="2">
      <t>ニチ</t>
    </rPh>
    <phoneticPr fontId="1"/>
  </si>
  <si>
    <t>2日</t>
    <rPh sb="1" eb="2">
      <t>ニチ</t>
    </rPh>
    <phoneticPr fontId="1"/>
  </si>
  <si>
    <t>3日以上</t>
    <rPh sb="1" eb="2">
      <t>ニチ</t>
    </rPh>
    <rPh sb="2" eb="4">
      <t>イジョウ</t>
    </rPh>
    <phoneticPr fontId="1"/>
  </si>
  <si>
    <t>全て</t>
    <rPh sb="0" eb="1">
      <t>スベ</t>
    </rPh>
    <phoneticPr fontId="1"/>
  </si>
  <si>
    <t>土曜日に閉所する場合（分園）</t>
    <rPh sb="0" eb="3">
      <t>ドヨウビ</t>
    </rPh>
    <rPh sb="4" eb="6">
      <t>ヘイショ</t>
    </rPh>
    <rPh sb="8" eb="10">
      <t>バアイ</t>
    </rPh>
    <rPh sb="11" eb="13">
      <t>ブンエン</t>
    </rPh>
    <phoneticPr fontId="1"/>
  </si>
  <si>
    <t>定員を恒常的に超過する場合（分園）</t>
    <rPh sb="14" eb="16">
      <t>ブンエン</t>
    </rPh>
    <phoneticPr fontId="1"/>
  </si>
  <si>
    <t>高齢者等活躍促進加算（３月のみ）</t>
    <rPh sb="0" eb="3">
      <t>コウレイシャ</t>
    </rPh>
    <rPh sb="3" eb="4">
      <t>トウ</t>
    </rPh>
    <rPh sb="4" eb="6">
      <t>カツヤク</t>
    </rPh>
    <rPh sb="6" eb="8">
      <t>ソクシン</t>
    </rPh>
    <rPh sb="8" eb="10">
      <t>カサン</t>
    </rPh>
    <rPh sb="12" eb="13">
      <t>ガツ</t>
    </rPh>
    <phoneticPr fontId="1"/>
  </si>
  <si>
    <t>時間数</t>
    <rPh sb="0" eb="3">
      <t>ジカンスウ</t>
    </rPh>
    <phoneticPr fontId="1"/>
  </si>
  <si>
    <t>400時間以上800時間未満</t>
    <rPh sb="3" eb="7">
      <t>ジカンイジョウ</t>
    </rPh>
    <rPh sb="10" eb="12">
      <t>ジカン</t>
    </rPh>
    <rPh sb="12" eb="14">
      <t>ミマン</t>
    </rPh>
    <phoneticPr fontId="1"/>
  </si>
  <si>
    <t>800時間以上1,200時間未満</t>
    <rPh sb="3" eb="7">
      <t>ジカンイジョウ</t>
    </rPh>
    <rPh sb="12" eb="14">
      <t>ジカン</t>
    </rPh>
    <rPh sb="14" eb="16">
      <t>ミマン</t>
    </rPh>
    <phoneticPr fontId="1"/>
  </si>
  <si>
    <t>1,200時間以上</t>
    <rPh sb="5" eb="7">
      <t>ジカン</t>
    </rPh>
    <rPh sb="7" eb="9">
      <t>イジョウ</t>
    </rPh>
    <phoneticPr fontId="1"/>
  </si>
  <si>
    <t>基準セル（中心園）</t>
    <rPh sb="0" eb="2">
      <t>キジュン</t>
    </rPh>
    <rPh sb="5" eb="7">
      <t>チュウシン</t>
    </rPh>
    <rPh sb="7" eb="8">
      <t>エン</t>
    </rPh>
    <phoneticPr fontId="1"/>
  </si>
  <si>
    <t>基準セル（分園）</t>
    <rPh sb="0" eb="2">
      <t>キジュン</t>
    </rPh>
    <rPh sb="5" eb="7">
      <t>ブンエン</t>
    </rPh>
    <phoneticPr fontId="1"/>
  </si>
  <si>
    <t>基準セル（合計）</t>
    <rPh sb="0" eb="2">
      <t>キジュン</t>
    </rPh>
    <rPh sb="5" eb="7">
      <t>ゴウケイ</t>
    </rPh>
    <phoneticPr fontId="1"/>
  </si>
  <si>
    <t>基準行（中心園）</t>
    <rPh sb="0" eb="2">
      <t>キジュン</t>
    </rPh>
    <rPh sb="2" eb="3">
      <t>ギョウ</t>
    </rPh>
    <rPh sb="4" eb="6">
      <t>チュウシン</t>
    </rPh>
    <rPh sb="6" eb="7">
      <t>エン</t>
    </rPh>
    <phoneticPr fontId="1"/>
  </si>
  <si>
    <t>基準行（分園）</t>
    <rPh sb="0" eb="2">
      <t>キジュン</t>
    </rPh>
    <rPh sb="2" eb="3">
      <t>ギョウ</t>
    </rPh>
    <rPh sb="4" eb="6">
      <t>ブンエン</t>
    </rPh>
    <phoneticPr fontId="1"/>
  </si>
  <si>
    <t>基準行（合計）</t>
    <rPh sb="0" eb="2">
      <t>キジュン</t>
    </rPh>
    <rPh sb="2" eb="3">
      <t>ギョウ</t>
    </rPh>
    <rPh sb="4" eb="6">
      <t>ゴウケイ</t>
    </rPh>
    <phoneticPr fontId="1"/>
  </si>
  <si>
    <t>利用定員（中心園）</t>
    <rPh sb="0" eb="2">
      <t>リヨウ</t>
    </rPh>
    <rPh sb="2" eb="4">
      <t>テイイン</t>
    </rPh>
    <rPh sb="5" eb="7">
      <t>チュウシン</t>
    </rPh>
    <rPh sb="7" eb="8">
      <t>エン</t>
    </rPh>
    <phoneticPr fontId="1"/>
  </si>
  <si>
    <t>利用定員（分園）</t>
    <rPh sb="0" eb="2">
      <t>リヨウ</t>
    </rPh>
    <rPh sb="2" eb="4">
      <t>テイイン</t>
    </rPh>
    <rPh sb="5" eb="7">
      <t>ブンエン</t>
    </rPh>
    <phoneticPr fontId="1"/>
  </si>
  <si>
    <t>利用定員（合計）</t>
    <rPh sb="0" eb="2">
      <t>リヨウ</t>
    </rPh>
    <rPh sb="2" eb="4">
      <t>テイイン</t>
    </rPh>
    <rPh sb="5" eb="7">
      <t>ゴウケイ</t>
    </rPh>
    <phoneticPr fontId="1"/>
  </si>
  <si>
    <t>基本分単価（短時間）</t>
    <rPh sb="0" eb="2">
      <t>キホン</t>
    </rPh>
    <rPh sb="2" eb="3">
      <t>ブン</t>
    </rPh>
    <rPh sb="3" eb="5">
      <t>タンカ</t>
    </rPh>
    <rPh sb="6" eb="9">
      <t>タンジカン</t>
    </rPh>
    <phoneticPr fontId="1"/>
  </si>
  <si>
    <t>処遇改善等加算Ⅰ（標準時間）</t>
    <rPh sb="0" eb="2">
      <t>ショグウ</t>
    </rPh>
    <rPh sb="2" eb="4">
      <t>カイゼン</t>
    </rPh>
    <rPh sb="4" eb="5">
      <t>トウ</t>
    </rPh>
    <rPh sb="5" eb="7">
      <t>カサン</t>
    </rPh>
    <rPh sb="9" eb="11">
      <t>ヒョウジュン</t>
    </rPh>
    <rPh sb="11" eb="13">
      <t>ジカン</t>
    </rPh>
    <phoneticPr fontId="1"/>
  </si>
  <si>
    <t>処遇改善等加算Ⅰ（短時間）</t>
    <rPh sb="0" eb="2">
      <t>ショグウ</t>
    </rPh>
    <rPh sb="2" eb="4">
      <t>カイゼン</t>
    </rPh>
    <rPh sb="4" eb="5">
      <t>トウ</t>
    </rPh>
    <rPh sb="5" eb="7">
      <t>カサン</t>
    </rPh>
    <rPh sb="9" eb="12">
      <t>タンジカン</t>
    </rPh>
    <phoneticPr fontId="1"/>
  </si>
  <si>
    <t>３歳児配置改善加算</t>
  </si>
  <si>
    <t>基本額</t>
    <rPh sb="0" eb="3">
      <t>キホンガク</t>
    </rPh>
    <phoneticPr fontId="13"/>
  </si>
  <si>
    <t>休日保育加算</t>
    <rPh sb="0" eb="1">
      <t>キュウジツ</t>
    </rPh>
    <rPh sb="1" eb="3">
      <t>ホイク</t>
    </rPh>
    <rPh sb="3" eb="5">
      <t>カサン</t>
    </rPh>
    <phoneticPr fontId="1"/>
  </si>
  <si>
    <t>夜間保育加算</t>
    <rPh sb="0" eb="1">
      <t>ヤカン</t>
    </rPh>
    <rPh sb="1" eb="3">
      <t>ホイク</t>
    </rPh>
    <rPh sb="3" eb="5">
      <t>カサン</t>
    </rPh>
    <phoneticPr fontId="1"/>
  </si>
  <si>
    <t>減価償却費加算</t>
    <rPh sb="0" eb="2">
      <t>ゲンカ</t>
    </rPh>
    <rPh sb="2" eb="4">
      <t>ショウキャク</t>
    </rPh>
    <rPh sb="4" eb="5">
      <t>ヒ</t>
    </rPh>
    <rPh sb="5" eb="7">
      <t>カサン</t>
    </rPh>
    <phoneticPr fontId="13"/>
  </si>
  <si>
    <t>賃借料加算</t>
    <rPh sb="0" eb="3">
      <t>チンシャクリョウ</t>
    </rPh>
    <rPh sb="3" eb="5">
      <t>カサン</t>
    </rPh>
    <phoneticPr fontId="13"/>
  </si>
  <si>
    <t>副食費徴収免除加算</t>
    <rPh sb="0" eb="3">
      <t>フクショクヒ</t>
    </rPh>
    <rPh sb="3" eb="5">
      <t>チョウシュウ</t>
    </rPh>
    <rPh sb="5" eb="7">
      <t>メンジョ</t>
    </rPh>
    <rPh sb="7" eb="9">
      <t>カサン</t>
    </rPh>
    <phoneticPr fontId="3"/>
  </si>
  <si>
    <t>分園</t>
    <rPh sb="0" eb="2">
      <t>ブンエン</t>
    </rPh>
    <phoneticPr fontId="1"/>
  </si>
  <si>
    <t>基本額
＋処遇改善等加算Ⅰ</t>
    <rPh sb="0" eb="2">
      <t>キホン</t>
    </rPh>
    <rPh sb="2" eb="3">
      <t>ガク</t>
    </rPh>
    <rPh sb="5" eb="7">
      <t>ショグウ</t>
    </rPh>
    <rPh sb="7" eb="9">
      <t>カイゼン</t>
    </rPh>
    <rPh sb="9" eb="10">
      <t>トウ</t>
    </rPh>
    <rPh sb="10" eb="12">
      <t>カサン</t>
    </rPh>
    <phoneticPr fontId="1"/>
  </si>
  <si>
    <t>施設長を設置していない場合</t>
    <rPh sb="0" eb="2">
      <t>シセツ</t>
    </rPh>
    <rPh sb="2" eb="3">
      <t>チョウ</t>
    </rPh>
    <rPh sb="4" eb="6">
      <t>セッチ</t>
    </rPh>
    <rPh sb="11" eb="13">
      <t>バアイ</t>
    </rPh>
    <phoneticPr fontId="13"/>
  </si>
  <si>
    <t>土曜日に閉所する場合</t>
    <rPh sb="0" eb="3">
      <t>ドヨウビ</t>
    </rPh>
    <rPh sb="4" eb="6">
      <t>ヘイショ</t>
    </rPh>
    <rPh sb="8" eb="10">
      <t>バアイ</t>
    </rPh>
    <phoneticPr fontId="13"/>
  </si>
  <si>
    <t>定員を恒常的に超過する場合</t>
    <rPh sb="0" eb="2">
      <t>テイイン</t>
    </rPh>
    <rPh sb="3" eb="6">
      <t>コウジョウテキ</t>
    </rPh>
    <rPh sb="7" eb="9">
      <t>チョウカ</t>
    </rPh>
    <rPh sb="11" eb="13">
      <t>バアイ</t>
    </rPh>
    <phoneticPr fontId="1"/>
  </si>
  <si>
    <t>高齢者等活躍促進加算</t>
    <rPh sb="0" eb="3">
      <t>コウレイシャ</t>
    </rPh>
    <rPh sb="3" eb="4">
      <t>トウ</t>
    </rPh>
    <rPh sb="4" eb="6">
      <t>カツヤク</t>
    </rPh>
    <rPh sb="6" eb="8">
      <t>ソクシン</t>
    </rPh>
    <rPh sb="8" eb="10">
      <t>カサン</t>
    </rPh>
    <phoneticPr fontId="1"/>
  </si>
  <si>
    <t>休日保育加算</t>
    <rPh sb="4" eb="6">
      <t>カサン</t>
    </rPh>
    <phoneticPr fontId="1"/>
  </si>
  <si>
    <r>
      <t>20</t>
    </r>
    <r>
      <rPr>
        <sz val="11"/>
        <color indexed="8"/>
        <rFont val="游ゴシック"/>
        <family val="3"/>
        <charset val="128"/>
      </rPr>
      <t>/100地域</t>
    </r>
    <rPh sb="6" eb="8">
      <t>チイキ</t>
    </rPh>
    <phoneticPr fontId="8"/>
  </si>
  <si>
    <r>
      <t>16</t>
    </r>
    <r>
      <rPr>
        <sz val="11"/>
        <color indexed="8"/>
        <rFont val="游ゴシック"/>
        <family val="3"/>
        <charset val="128"/>
      </rPr>
      <t>/100地域</t>
    </r>
    <rPh sb="6" eb="8">
      <t>チイキ</t>
    </rPh>
    <phoneticPr fontId="8"/>
  </si>
  <si>
    <r>
      <t>15</t>
    </r>
    <r>
      <rPr>
        <sz val="11"/>
        <color indexed="8"/>
        <rFont val="游ゴシック"/>
        <family val="3"/>
        <charset val="128"/>
      </rPr>
      <t>/100地域</t>
    </r>
    <rPh sb="6" eb="8">
      <t>チイキ</t>
    </rPh>
    <phoneticPr fontId="8"/>
  </si>
  <si>
    <r>
      <t>3</t>
    </r>
    <r>
      <rPr>
        <sz val="11"/>
        <color indexed="8"/>
        <rFont val="游ゴシック"/>
        <family val="3"/>
        <charset val="128"/>
      </rPr>
      <t>/100地域</t>
    </r>
    <rPh sb="5" eb="7">
      <t>チイキ</t>
    </rPh>
    <phoneticPr fontId="8"/>
  </si>
  <si>
    <t>＜請求金額算定内訳（教育）＞</t>
    <rPh sb="1" eb="3">
      <t>セイキュウ</t>
    </rPh>
    <rPh sb="3" eb="5">
      <t>キンガク</t>
    </rPh>
    <rPh sb="5" eb="7">
      <t>サンテイ</t>
    </rPh>
    <rPh sb="7" eb="9">
      <t>ウチワケ</t>
    </rPh>
    <rPh sb="10" eb="12">
      <t>キョウイク</t>
    </rPh>
    <phoneticPr fontId="3"/>
  </si>
  <si>
    <t>＜請求金額算定内訳（保育）＞</t>
    <rPh sb="1" eb="3">
      <t>セイキュウ</t>
    </rPh>
    <rPh sb="3" eb="5">
      <t>キンガク</t>
    </rPh>
    <rPh sb="5" eb="7">
      <t>サンテイ</t>
    </rPh>
    <rPh sb="7" eb="9">
      <t>ウチワケ</t>
    </rPh>
    <rPh sb="10" eb="12">
      <t>ホイク</t>
    </rPh>
    <phoneticPr fontId="3"/>
  </si>
  <si>
    <t>'２・３号単価表①'!F</t>
    <rPh sb="4" eb="5">
      <t>ゴウ</t>
    </rPh>
    <rPh sb="5" eb="7">
      <t>タンカ</t>
    </rPh>
    <rPh sb="7" eb="8">
      <t>ヒョウ</t>
    </rPh>
    <phoneticPr fontId="1"/>
  </si>
  <si>
    <t>利用定員（保育・合計）</t>
    <rPh sb="0" eb="2">
      <t>リヨウ</t>
    </rPh>
    <rPh sb="2" eb="4">
      <t>テイイン</t>
    </rPh>
    <rPh sb="5" eb="7">
      <t>ホイク</t>
    </rPh>
    <rPh sb="8" eb="10">
      <t>ゴウケイ</t>
    </rPh>
    <phoneticPr fontId="1"/>
  </si>
  <si>
    <t>チーム保育加配加算</t>
    <rPh sb="2" eb="4">
      <t>ホイク</t>
    </rPh>
    <rPh sb="4" eb="6">
      <t>カハイ</t>
    </rPh>
    <rPh sb="6" eb="8">
      <t>カサン</t>
    </rPh>
    <phoneticPr fontId="1"/>
  </si>
  <si>
    <t>＜認定こども園＞</t>
    <rPh sb="1" eb="3">
      <t>ニンテイ</t>
    </rPh>
    <rPh sb="6" eb="7">
      <t>エン</t>
    </rPh>
    <phoneticPr fontId="1"/>
  </si>
  <si>
    <t>標準</t>
    <rPh sb="0" eb="2">
      <t>ヒョウジュン</t>
    </rPh>
    <phoneticPr fontId="1"/>
  </si>
  <si>
    <t>都市部</t>
    <rPh sb="0" eb="3">
      <t>トシブ</t>
    </rPh>
    <phoneticPr fontId="1"/>
  </si>
  <si>
    <t>利用定員（１号＋２号）</t>
    <rPh sb="0" eb="2">
      <t>リヨウ</t>
    </rPh>
    <rPh sb="2" eb="4">
      <t>テイイン</t>
    </rPh>
    <rPh sb="6" eb="7">
      <t>ゴウ</t>
    </rPh>
    <rPh sb="9" eb="10">
      <t>ゴウ</t>
    </rPh>
    <phoneticPr fontId="1"/>
  </si>
  <si>
    <t>基準セル（チーム保育加配加算）</t>
    <rPh sb="0" eb="2">
      <t>キジュン</t>
    </rPh>
    <rPh sb="8" eb="10">
      <t>ホイク</t>
    </rPh>
    <rPh sb="10" eb="12">
      <t>カハイ</t>
    </rPh>
    <rPh sb="12" eb="14">
      <t>カサン</t>
    </rPh>
    <phoneticPr fontId="1"/>
  </si>
  <si>
    <t>基準行（チーム保育加配加算）</t>
    <rPh sb="0" eb="2">
      <t>キジュン</t>
    </rPh>
    <rPh sb="2" eb="3">
      <t>ギョウ</t>
    </rPh>
    <rPh sb="7" eb="9">
      <t>ホイク</t>
    </rPh>
    <rPh sb="9" eb="11">
      <t>カハイ</t>
    </rPh>
    <rPh sb="11" eb="13">
      <t>カサン</t>
    </rPh>
    <phoneticPr fontId="1"/>
  </si>
  <si>
    <t>利用定員（１号＋２号）</t>
    <rPh sb="0" eb="2">
      <t>リヨウ</t>
    </rPh>
    <rPh sb="2" eb="4">
      <t>テイイン</t>
    </rPh>
    <rPh sb="6" eb="7">
      <t>ゴウ</t>
    </rPh>
    <rPh sb="9" eb="10">
      <t>ゴウ</t>
    </rPh>
    <phoneticPr fontId="1"/>
  </si>
  <si>
    <t>１号認定子どもの利用定員を設定しない場合</t>
    <rPh sb="0" eb="1">
      <t>ゴウ</t>
    </rPh>
    <rPh sb="1" eb="3">
      <t>ニンテイ</t>
    </rPh>
    <rPh sb="3" eb="4">
      <t>コ</t>
    </rPh>
    <rPh sb="7" eb="9">
      <t>リヨウ</t>
    </rPh>
    <rPh sb="9" eb="11">
      <t>テイイン</t>
    </rPh>
    <rPh sb="12" eb="14">
      <t>セッテイ</t>
    </rPh>
    <rPh sb="17" eb="19">
      <t>バアイ</t>
    </rPh>
    <phoneticPr fontId="1"/>
  </si>
  <si>
    <t>請求先市区町村の児童数</t>
    <rPh sb="0" eb="2">
      <t>セイキュウ</t>
    </rPh>
    <rPh sb="2" eb="3">
      <t>サキ</t>
    </rPh>
    <rPh sb="3" eb="5">
      <t>シク</t>
    </rPh>
    <rPh sb="5" eb="7">
      <t>チョウソン</t>
    </rPh>
    <rPh sb="8" eb="10">
      <t>ジドウ</t>
    </rPh>
    <rPh sb="10" eb="11">
      <t>スウ</t>
    </rPh>
    <phoneticPr fontId="3"/>
  </si>
  <si>
    <t>請求先市区町村の児童数</t>
    <rPh sb="8" eb="10">
      <t>ジドウ</t>
    </rPh>
    <rPh sb="10" eb="11">
      <t>スウ</t>
    </rPh>
    <phoneticPr fontId="3"/>
  </si>
  <si>
    <t>単価合計</t>
    <rPh sb="0" eb="2">
      <t>タンカ</t>
    </rPh>
    <rPh sb="2" eb="4">
      <t>ゴウケイ</t>
    </rPh>
    <phoneticPr fontId="1"/>
  </si>
  <si>
    <t>（日割り対象分に限り、かつ、副食費徴収免除加算を除く）…F</t>
    <phoneticPr fontId="1"/>
  </si>
  <si>
    <t>（日割り対象分に限る）…G</t>
    <phoneticPr fontId="1"/>
  </si>
  <si>
    <t>（うち日割り対象外分）…H</t>
    <phoneticPr fontId="1"/>
  </si>
  <si>
    <t>請求先市区町村の児童
（月途中入所児童に限り、かつ、副食費徴収免除対象者を除く）…I</t>
    <rPh sb="8" eb="10">
      <t>ジドウ</t>
    </rPh>
    <phoneticPr fontId="1"/>
  </si>
  <si>
    <t>公定価格小計（月途中入所児童分）…J（F×I÷25）</t>
    <rPh sb="0" eb="2">
      <t>コウテイ</t>
    </rPh>
    <rPh sb="2" eb="4">
      <t>カカク</t>
    </rPh>
    <rPh sb="4" eb="6">
      <t>ショウケイ</t>
    </rPh>
    <rPh sb="7" eb="8">
      <t>ツキ</t>
    </rPh>
    <rPh sb="8" eb="10">
      <t>トチュウ</t>
    </rPh>
    <rPh sb="10" eb="11">
      <t>ニュウ</t>
    </rPh>
    <rPh sb="12" eb="14">
      <t>ジドウ</t>
    </rPh>
    <rPh sb="14" eb="15">
      <t>ブン</t>
    </rPh>
    <phoneticPr fontId="1"/>
  </si>
  <si>
    <t>公定価格小計（月途中入所児童分）…L（G×K÷25）</t>
    <rPh sb="0" eb="2">
      <t>コウテイ</t>
    </rPh>
    <rPh sb="2" eb="4">
      <t>カカク</t>
    </rPh>
    <rPh sb="4" eb="6">
      <t>ショウケイ</t>
    </rPh>
    <phoneticPr fontId="1"/>
  </si>
  <si>
    <t>公定価格小計（月途中退所児童分）…N（F×M÷25＋H）</t>
    <rPh sb="0" eb="2">
      <t>コウテイ</t>
    </rPh>
    <rPh sb="2" eb="4">
      <t>カカク</t>
    </rPh>
    <rPh sb="4" eb="6">
      <t>ショウケイ</t>
    </rPh>
    <rPh sb="7" eb="8">
      <t>ツキ</t>
    </rPh>
    <rPh sb="8" eb="10">
      <t>トチュウ</t>
    </rPh>
    <rPh sb="10" eb="12">
      <t>タイショ</t>
    </rPh>
    <rPh sb="12" eb="14">
      <t>ジドウ</t>
    </rPh>
    <rPh sb="14" eb="15">
      <t>ブン</t>
    </rPh>
    <phoneticPr fontId="1"/>
  </si>
  <si>
    <t>公定価格小計（月途中退所児童分）…P（G×O÷25＋H）</t>
    <rPh sb="0" eb="2">
      <t>コウテイ</t>
    </rPh>
    <rPh sb="2" eb="4">
      <t>カカク</t>
    </rPh>
    <rPh sb="4" eb="6">
      <t>ショウケイ</t>
    </rPh>
    <rPh sb="7" eb="8">
      <t>ツキ</t>
    </rPh>
    <rPh sb="8" eb="10">
      <t>トチュウ</t>
    </rPh>
    <rPh sb="10" eb="12">
      <t>タイショ</t>
    </rPh>
    <rPh sb="12" eb="14">
      <t>ジドウ</t>
    </rPh>
    <rPh sb="14" eb="15">
      <t>ブン</t>
    </rPh>
    <phoneticPr fontId="1"/>
  </si>
  <si>
    <t>保育料</t>
    <rPh sb="0" eb="3">
      <t>ホイクリョウ</t>
    </rPh>
    <phoneticPr fontId="1"/>
  </si>
  <si>
    <t>月分</t>
    <rPh sb="0" eb="1">
      <t>ゲツ</t>
    </rPh>
    <rPh sb="1" eb="2">
      <t>ブン</t>
    </rPh>
    <phoneticPr fontId="3"/>
  </si>
  <si>
    <t>※年齢は年度の初日の前日における満年齢を記入</t>
    <rPh sb="1" eb="3">
      <t>ネンレイ</t>
    </rPh>
    <rPh sb="4" eb="6">
      <t>ネンド</t>
    </rPh>
    <rPh sb="7" eb="9">
      <t>ショジツ</t>
    </rPh>
    <rPh sb="10" eb="12">
      <t>ゼンジツ</t>
    </rPh>
    <rPh sb="16" eb="19">
      <t>マンネンレイ</t>
    </rPh>
    <rPh sb="20" eb="22">
      <t>キニュウ</t>
    </rPh>
    <phoneticPr fontId="1"/>
  </si>
  <si>
    <t>※年度の初日の前日の満年齢が２歳であり、年度途中に満３歳に達した児童は年齢欄に「満３歳児」と記入</t>
    <rPh sb="1" eb="3">
      <t>ネンド</t>
    </rPh>
    <rPh sb="4" eb="6">
      <t>ショジツ</t>
    </rPh>
    <rPh sb="7" eb="9">
      <t>ゼンジツ</t>
    </rPh>
    <rPh sb="10" eb="13">
      <t>マンネンレイ</t>
    </rPh>
    <rPh sb="15" eb="16">
      <t>サイ</t>
    </rPh>
    <rPh sb="20" eb="22">
      <t>ネンド</t>
    </rPh>
    <rPh sb="22" eb="24">
      <t>トチュウ</t>
    </rPh>
    <rPh sb="25" eb="26">
      <t>マン</t>
    </rPh>
    <rPh sb="27" eb="28">
      <t>サイ</t>
    </rPh>
    <rPh sb="29" eb="30">
      <t>タッ</t>
    </rPh>
    <rPh sb="32" eb="34">
      <t>ジドウ</t>
    </rPh>
    <rPh sb="35" eb="37">
      <t>ネンレイ</t>
    </rPh>
    <rPh sb="37" eb="38">
      <t>ラン</t>
    </rPh>
    <rPh sb="40" eb="41">
      <t>マン</t>
    </rPh>
    <rPh sb="42" eb="43">
      <t>サイ</t>
    </rPh>
    <rPh sb="43" eb="44">
      <t>ジ</t>
    </rPh>
    <rPh sb="46" eb="48">
      <t>キニュウ</t>
    </rPh>
    <phoneticPr fontId="1"/>
  </si>
  <si>
    <t>No.</t>
    <phoneticPr fontId="1"/>
  </si>
  <si>
    <t>年齢</t>
    <phoneticPr fontId="1"/>
  </si>
  <si>
    <t>認定
区分</t>
    <rPh sb="0" eb="2">
      <t>ニンテイ</t>
    </rPh>
    <rPh sb="3" eb="5">
      <t>クブン</t>
    </rPh>
    <phoneticPr fontId="1"/>
  </si>
  <si>
    <t>月途中入退所のあった児童のみ</t>
    <rPh sb="0" eb="1">
      <t>ツキ</t>
    </rPh>
    <rPh sb="1" eb="3">
      <t>トチュウ</t>
    </rPh>
    <rPh sb="3" eb="4">
      <t>ニュウ</t>
    </rPh>
    <rPh sb="4" eb="6">
      <t>タイショ</t>
    </rPh>
    <rPh sb="10" eb="12">
      <t>ジドウ</t>
    </rPh>
    <phoneticPr fontId="1"/>
  </si>
  <si>
    <t>月途中入退所児童の区分</t>
    <rPh sb="0" eb="1">
      <t>ツキ</t>
    </rPh>
    <rPh sb="1" eb="3">
      <t>トチュウ</t>
    </rPh>
    <rPh sb="3" eb="4">
      <t>ニュウ</t>
    </rPh>
    <rPh sb="4" eb="6">
      <t>タイショ</t>
    </rPh>
    <rPh sb="6" eb="8">
      <t>ジドウ</t>
    </rPh>
    <rPh sb="9" eb="11">
      <t>クブン</t>
    </rPh>
    <phoneticPr fontId="1"/>
  </si>
  <si>
    <t>月途中入退所のない児童</t>
    <rPh sb="0" eb="1">
      <t>ツキ</t>
    </rPh>
    <rPh sb="1" eb="3">
      <t>トチュウ</t>
    </rPh>
    <rPh sb="3" eb="4">
      <t>ニュウ</t>
    </rPh>
    <rPh sb="4" eb="6">
      <t>タイショ</t>
    </rPh>
    <rPh sb="9" eb="11">
      <t>ジドウ</t>
    </rPh>
    <phoneticPr fontId="1"/>
  </si>
  <si>
    <t>月途中入退所のない児童で、かつ、副食費徴収免除対象者でないもの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</si>
  <si>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t>月途中入退所のない児童で、かつ、副食費徴収免除対象者であるもの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</si>
  <si>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t>月途中入所の有無</t>
    <rPh sb="0" eb="1">
      <t>ツキ</t>
    </rPh>
    <rPh sb="1" eb="3">
      <t>トチュウ</t>
    </rPh>
    <rPh sb="3" eb="5">
      <t>ニュウショ</t>
    </rPh>
    <rPh sb="6" eb="8">
      <t>ウム</t>
    </rPh>
    <phoneticPr fontId="1"/>
  </si>
  <si>
    <t>月途中退所の有無</t>
    <rPh sb="0" eb="1">
      <t>ツキ</t>
    </rPh>
    <rPh sb="1" eb="3">
      <t>トチュウ</t>
    </rPh>
    <rPh sb="3" eb="5">
      <t>タイショ</t>
    </rPh>
    <rPh sb="6" eb="8">
      <t>ウム</t>
    </rPh>
    <phoneticPr fontId="1"/>
  </si>
  <si>
    <t>在籍中開所
日数</t>
    <rPh sb="0" eb="2">
      <t>ザイセキ</t>
    </rPh>
    <rPh sb="2" eb="3">
      <t>チュウ</t>
    </rPh>
    <rPh sb="3" eb="5">
      <t>カイショ</t>
    </rPh>
    <rPh sb="6" eb="8">
      <t>ニッスウ</t>
    </rPh>
    <phoneticPr fontId="1"/>
  </si>
  <si>
    <t>D</t>
    <phoneticPr fontId="1"/>
  </si>
  <si>
    <t>対象の有無</t>
    <rPh sb="0" eb="2">
      <t>タイショウ</t>
    </rPh>
    <rPh sb="3" eb="5">
      <t>ウム</t>
    </rPh>
    <phoneticPr fontId="1"/>
  </si>
  <si>
    <t>５歳</t>
    <rPh sb="1" eb="2">
      <t>サイ</t>
    </rPh>
    <phoneticPr fontId="1"/>
  </si>
  <si>
    <t>４歳</t>
    <rPh sb="1" eb="2">
      <t>サイ</t>
    </rPh>
    <phoneticPr fontId="1"/>
  </si>
  <si>
    <t>３歳</t>
    <rPh sb="1" eb="2">
      <t>サイ</t>
    </rPh>
    <phoneticPr fontId="1"/>
  </si>
  <si>
    <t>満３歳</t>
    <rPh sb="0" eb="1">
      <t>マン</t>
    </rPh>
    <rPh sb="2" eb="3">
      <t>サイ</t>
    </rPh>
    <phoneticPr fontId="1"/>
  </si>
  <si>
    <t>令和○年○月○日</t>
    <rPh sb="0" eb="2">
      <t>レイワ</t>
    </rPh>
    <rPh sb="3" eb="4">
      <t>ネン</t>
    </rPh>
    <rPh sb="5" eb="6">
      <t>ガツ</t>
    </rPh>
    <rPh sb="7" eb="8">
      <t>ニチ</t>
    </rPh>
    <phoneticPr fontId="1"/>
  </si>
  <si>
    <t>＜児童数＞</t>
    <rPh sb="1" eb="3">
      <t>ジドウ</t>
    </rPh>
    <rPh sb="3" eb="4">
      <t>スウ</t>
    </rPh>
    <phoneticPr fontId="1"/>
  </si>
  <si>
    <t>５歳児</t>
    <rPh sb="2" eb="3">
      <t>ジ</t>
    </rPh>
    <phoneticPr fontId="1"/>
  </si>
  <si>
    <t>４歳児</t>
    <phoneticPr fontId="1"/>
  </si>
  <si>
    <t>３歳児</t>
    <rPh sb="2" eb="3">
      <t>ジ</t>
    </rPh>
    <phoneticPr fontId="1"/>
  </si>
  <si>
    <t>満３歳児</t>
    <rPh sb="0" eb="1">
      <t>マン</t>
    </rPh>
    <phoneticPr fontId="1"/>
  </si>
  <si>
    <t>請求先市区町村の児童数
（月途中入退所児童に限る）</t>
    <rPh sb="10" eb="11">
      <t>スウ</t>
    </rPh>
    <phoneticPr fontId="1"/>
  </si>
  <si>
    <t>＜月途中入退所児童の在籍中開所日数＞</t>
    <rPh sb="1" eb="2">
      <t>ツキ</t>
    </rPh>
    <rPh sb="2" eb="4">
      <t>トチュウ</t>
    </rPh>
    <rPh sb="4" eb="5">
      <t>ニュウ</t>
    </rPh>
    <rPh sb="5" eb="7">
      <t>タイショ</t>
    </rPh>
    <rPh sb="7" eb="9">
      <t>ジドウ</t>
    </rPh>
    <rPh sb="10" eb="12">
      <t>ザイセキ</t>
    </rPh>
    <rPh sb="12" eb="13">
      <t>チュウ</t>
    </rPh>
    <rPh sb="13" eb="15">
      <t>カイショ</t>
    </rPh>
    <rPh sb="15" eb="17">
      <t>ニッスウ</t>
    </rPh>
    <phoneticPr fontId="1"/>
  </si>
  <si>
    <t>請求先市区町村の児童</t>
    <phoneticPr fontId="1"/>
  </si>
  <si>
    <t>（月途中入所児童に限り、かつ、副食費徴収免除対象者を除く）</t>
    <phoneticPr fontId="1"/>
  </si>
  <si>
    <t>中心園（標準）</t>
    <rPh sb="0" eb="2">
      <t>チュウシン</t>
    </rPh>
    <rPh sb="2" eb="3">
      <t>エン</t>
    </rPh>
    <rPh sb="4" eb="6">
      <t>ヒョウジュン</t>
    </rPh>
    <phoneticPr fontId="1"/>
  </si>
  <si>
    <t>中心園（短時間）</t>
    <rPh sb="0" eb="2">
      <t>チュウシン</t>
    </rPh>
    <rPh sb="2" eb="3">
      <t>エン</t>
    </rPh>
    <rPh sb="4" eb="7">
      <t>タンジカン</t>
    </rPh>
    <phoneticPr fontId="1"/>
  </si>
  <si>
    <t>分園（標準）</t>
    <rPh sb="0" eb="2">
      <t>ブンエン</t>
    </rPh>
    <rPh sb="3" eb="5">
      <t>ヒョウジュン</t>
    </rPh>
    <phoneticPr fontId="1"/>
  </si>
  <si>
    <t>分園（短時間）</t>
    <rPh sb="0" eb="2">
      <t>ブンエン</t>
    </rPh>
    <rPh sb="3" eb="6">
      <t>タンジカン</t>
    </rPh>
    <phoneticPr fontId="1"/>
  </si>
  <si>
    <t>標準／短時間／教育</t>
    <rPh sb="0" eb="2">
      <t>ヒョウジュン</t>
    </rPh>
    <rPh sb="3" eb="6">
      <t>タンジカン</t>
    </rPh>
    <rPh sb="7" eb="9">
      <t>キョウイク</t>
    </rPh>
    <phoneticPr fontId="1"/>
  </si>
  <si>
    <t>途中入退所児童</t>
    <rPh sb="0" eb="2">
      <t>トチュウ</t>
    </rPh>
    <rPh sb="2" eb="3">
      <t>ニュウ</t>
    </rPh>
    <rPh sb="3" eb="5">
      <t>タイショ</t>
    </rPh>
    <rPh sb="5" eb="7">
      <t>ジドウ</t>
    </rPh>
    <phoneticPr fontId="1"/>
  </si>
  <si>
    <t>２歳</t>
    <rPh sb="1" eb="2">
      <t>サイ</t>
    </rPh>
    <phoneticPr fontId="1"/>
  </si>
  <si>
    <t>１歳</t>
    <rPh sb="1" eb="2">
      <t>サイ</t>
    </rPh>
    <phoneticPr fontId="1"/>
  </si>
  <si>
    <t>３号</t>
    <rPh sb="1" eb="2">
      <t>ゴウ</t>
    </rPh>
    <phoneticPr fontId="1"/>
  </si>
  <si>
    <t>保育標準時間認定子ども</t>
    <rPh sb="0" eb="2">
      <t>ホイク</t>
    </rPh>
    <rPh sb="2" eb="4">
      <t>ヒョウジュン</t>
    </rPh>
    <rPh sb="4" eb="6">
      <t>ジカン</t>
    </rPh>
    <rPh sb="6" eb="8">
      <t>ニンテイ</t>
    </rPh>
    <rPh sb="8" eb="9">
      <t>コ</t>
    </rPh>
    <phoneticPr fontId="1"/>
  </si>
  <si>
    <t>＜月途中入退所児童の在籍中開所日数＞</t>
    <phoneticPr fontId="1"/>
  </si>
  <si>
    <t>保育短時間認定子ども</t>
    <rPh sb="0" eb="2">
      <t>ホイク</t>
    </rPh>
    <rPh sb="2" eb="3">
      <t>タン</t>
    </rPh>
    <rPh sb="3" eb="5">
      <t>ジカン</t>
    </rPh>
    <rPh sb="5" eb="7">
      <t>ニンテイ</t>
    </rPh>
    <rPh sb="7" eb="8">
      <t>コ</t>
    </rPh>
    <phoneticPr fontId="1"/>
  </si>
  <si>
    <t>保育標短時間認定子ども</t>
    <rPh sb="0" eb="2">
      <t>ホイク</t>
    </rPh>
    <rPh sb="2" eb="3">
      <t>シルベ</t>
    </rPh>
    <rPh sb="3" eb="4">
      <t>タン</t>
    </rPh>
    <rPh sb="4" eb="6">
      <t>ジカン</t>
    </rPh>
    <rPh sb="6" eb="8">
      <t>ニンテイ</t>
    </rPh>
    <rPh sb="8" eb="9">
      <t>コ</t>
    </rPh>
    <phoneticPr fontId="1"/>
  </si>
  <si>
    <t>※年度途中に３歳になる児童は３号と記入</t>
    <rPh sb="1" eb="3">
      <t>ネンド</t>
    </rPh>
    <rPh sb="3" eb="5">
      <t>トチュウ</t>
    </rPh>
    <rPh sb="7" eb="8">
      <t>サイ</t>
    </rPh>
    <rPh sb="11" eb="13">
      <t>ジドウ</t>
    </rPh>
    <rPh sb="15" eb="16">
      <t>ゴウ</t>
    </rPh>
    <rPh sb="17" eb="19">
      <t>キニュウ</t>
    </rPh>
    <phoneticPr fontId="1"/>
  </si>
  <si>
    <t>在籍児童一覧（保育）</t>
    <rPh sb="2" eb="4">
      <t>ジドウ</t>
    </rPh>
    <rPh sb="4" eb="6">
      <t>イチラン</t>
    </rPh>
    <rPh sb="7" eb="9">
      <t>ホイク</t>
    </rPh>
    <phoneticPr fontId="3"/>
  </si>
  <si>
    <t>在籍児童一覧（教育）</t>
    <rPh sb="2" eb="4">
      <t>ジドウ</t>
    </rPh>
    <rPh sb="4" eb="6">
      <t>イチラン</t>
    </rPh>
    <rPh sb="7" eb="9">
      <t>キョウイク</t>
    </rPh>
    <phoneticPr fontId="3"/>
  </si>
  <si>
    <t>単価合計（副食費徴収免除加算を除く）…A</t>
    <rPh sb="0" eb="2">
      <t>タンカ</t>
    </rPh>
    <rPh sb="2" eb="4">
      <t>ゴウケイ</t>
    </rPh>
    <rPh sb="5" eb="8">
      <t>フクショクヒ</t>
    </rPh>
    <rPh sb="8" eb="10">
      <t>チョウシュウ</t>
    </rPh>
    <rPh sb="10" eb="12">
      <t>メンジョ</t>
    </rPh>
    <rPh sb="12" eb="14">
      <t>カサン</t>
    </rPh>
    <rPh sb="15" eb="16">
      <t>ノゾ</t>
    </rPh>
    <phoneticPr fontId="1"/>
  </si>
  <si>
    <t>単価合計
（副食費徴収免除加算を除く）…A</t>
    <rPh sb="0" eb="2">
      <t>タンカ</t>
    </rPh>
    <rPh sb="2" eb="4">
      <t>ゴウケイ</t>
    </rPh>
    <rPh sb="6" eb="9">
      <t>フクショクヒ</t>
    </rPh>
    <rPh sb="9" eb="11">
      <t>チョウシュウ</t>
    </rPh>
    <rPh sb="11" eb="13">
      <t>メンジョ</t>
    </rPh>
    <rPh sb="13" eb="15">
      <t>カサン</t>
    </rPh>
    <rPh sb="16" eb="17">
      <t>ノゾ</t>
    </rPh>
    <phoneticPr fontId="1"/>
  </si>
  <si>
    <t>利用定員（１号＋２号＋３号）</t>
    <rPh sb="0" eb="2">
      <t>リヨウ</t>
    </rPh>
    <rPh sb="2" eb="4">
      <t>テイイン</t>
    </rPh>
    <rPh sb="6" eb="7">
      <t>ゴウ</t>
    </rPh>
    <rPh sb="9" eb="10">
      <t>ゴウ</t>
    </rPh>
    <rPh sb="12" eb="13">
      <t>ゴウ</t>
    </rPh>
    <phoneticPr fontId="1"/>
  </si>
  <si>
    <t>基準セル（外部監査費加算）</t>
    <rPh sb="0" eb="2">
      <t>キジュン</t>
    </rPh>
    <rPh sb="5" eb="7">
      <t>ガイブ</t>
    </rPh>
    <rPh sb="7" eb="9">
      <t>カンサ</t>
    </rPh>
    <rPh sb="9" eb="10">
      <t>ヒ</t>
    </rPh>
    <rPh sb="10" eb="12">
      <t>カサン</t>
    </rPh>
    <phoneticPr fontId="1"/>
  </si>
  <si>
    <t>基準行（外部監査費加算））</t>
    <rPh sb="0" eb="2">
      <t>キジュン</t>
    </rPh>
    <rPh sb="2" eb="3">
      <t>ギョウ</t>
    </rPh>
    <rPh sb="4" eb="6">
      <t>ガイブ</t>
    </rPh>
    <rPh sb="6" eb="8">
      <t>カンサ</t>
    </rPh>
    <rPh sb="8" eb="9">
      <t>ヒ</t>
    </rPh>
    <rPh sb="9" eb="11">
      <t>カサン</t>
    </rPh>
    <phoneticPr fontId="1"/>
  </si>
  <si>
    <t>認定こども園</t>
    <rPh sb="0" eb="2">
      <t>ニンテイ</t>
    </rPh>
    <rPh sb="5" eb="6">
      <t>エン</t>
    </rPh>
    <phoneticPr fontId="8"/>
  </si>
  <si>
    <t>外部監査費加算</t>
    <rPh sb="0" eb="2">
      <t>ガイブ</t>
    </rPh>
    <rPh sb="2" eb="4">
      <t>カンサ</t>
    </rPh>
    <rPh sb="4" eb="5">
      <t>ヒ</t>
    </rPh>
    <rPh sb="5" eb="7">
      <t>カサン</t>
    </rPh>
    <phoneticPr fontId="1"/>
  </si>
  <si>
    <t>基本額</t>
    <rPh sb="0" eb="2">
      <t>キホン</t>
    </rPh>
    <rPh sb="2" eb="3">
      <t>ガク</t>
    </rPh>
    <phoneticPr fontId="1"/>
  </si>
  <si>
    <t>基準行（外部監査費加算）</t>
    <rPh sb="0" eb="2">
      <t>キジュン</t>
    </rPh>
    <rPh sb="2" eb="3">
      <t>ギョウ</t>
    </rPh>
    <rPh sb="4" eb="6">
      <t>ガイブ</t>
    </rPh>
    <rPh sb="6" eb="8">
      <t>カンサ</t>
    </rPh>
    <rPh sb="8" eb="9">
      <t>ヒ</t>
    </rPh>
    <rPh sb="9" eb="11">
      <t>カサン</t>
    </rPh>
    <phoneticPr fontId="1"/>
  </si>
  <si>
    <t>チーム保育加配加算・外部監査費加算</t>
    <rPh sb="3" eb="5">
      <t>ホイク</t>
    </rPh>
    <rPh sb="5" eb="7">
      <t>カハイ</t>
    </rPh>
    <rPh sb="7" eb="9">
      <t>カサン</t>
    </rPh>
    <rPh sb="10" eb="12">
      <t>ガイブ</t>
    </rPh>
    <rPh sb="12" eb="14">
      <t>カンサ</t>
    </rPh>
    <rPh sb="14" eb="15">
      <t>ヒ</t>
    </rPh>
    <rPh sb="15" eb="17">
      <t>カサン</t>
    </rPh>
    <phoneticPr fontId="8"/>
  </si>
  <si>
    <t>複数月一括請求</t>
    <rPh sb="0" eb="2">
      <t>フクスウ</t>
    </rPh>
    <rPh sb="2" eb="3">
      <t>ツキ</t>
    </rPh>
    <rPh sb="3" eb="5">
      <t>イッカツ</t>
    </rPh>
    <rPh sb="5" eb="7">
      <t>セイキュウ</t>
    </rPh>
    <phoneticPr fontId="1"/>
  </si>
  <si>
    <t>　子ども・子育て支援法附則第６条等の規定に基づき、次のとおり私立保育所に係る委託費等を請求します。</t>
    <rPh sb="16" eb="17">
      <t>トウ</t>
    </rPh>
    <rPh sb="41" eb="42">
      <t>トウ</t>
    </rPh>
    <phoneticPr fontId="1"/>
  </si>
  <si>
    <t>あり（市町村指定の様式を提出します）</t>
    <rPh sb="3" eb="6">
      <t>シチョウソン</t>
    </rPh>
    <rPh sb="6" eb="8">
      <t>シテイ</t>
    </rPh>
    <rPh sb="9" eb="11">
      <t>ヨウシキ</t>
    </rPh>
    <rPh sb="12" eb="14">
      <t>テイシュツ</t>
    </rPh>
    <phoneticPr fontId="1"/>
  </si>
  <si>
    <t>私立保育所に係る委託費を請求するための明細書（私立保育所に係る委託費請求明細書）</t>
    <rPh sb="0" eb="2">
      <t>シリツ</t>
    </rPh>
    <rPh sb="2" eb="4">
      <t>ホイク</t>
    </rPh>
    <rPh sb="4" eb="5">
      <t>ショ</t>
    </rPh>
    <rPh sb="6" eb="7">
      <t>カカ</t>
    </rPh>
    <rPh sb="8" eb="10">
      <t>イタク</t>
    </rPh>
    <rPh sb="10" eb="11">
      <t>ヒ</t>
    </rPh>
    <rPh sb="23" eb="25">
      <t>シリツ</t>
    </rPh>
    <rPh sb="25" eb="27">
      <t>ホイク</t>
    </rPh>
    <rPh sb="27" eb="28">
      <t>ショ</t>
    </rPh>
    <rPh sb="29" eb="30">
      <t>カカ</t>
    </rPh>
    <rPh sb="31" eb="33">
      <t>イタク</t>
    </rPh>
    <rPh sb="33" eb="34">
      <t>ヒ</t>
    </rPh>
    <phoneticPr fontId="1"/>
  </si>
  <si>
    <t>児童氏名</t>
    <rPh sb="0" eb="2">
      <t>ジドウ</t>
    </rPh>
    <rPh sb="2" eb="4">
      <t>シメイ</t>
    </rPh>
    <phoneticPr fontId="1"/>
  </si>
  <si>
    <t>生年月日</t>
    <rPh sb="0" eb="2">
      <t>セイネン</t>
    </rPh>
    <rPh sb="2" eb="4">
      <t>ガッピ</t>
    </rPh>
    <phoneticPr fontId="1"/>
  </si>
  <si>
    <t>請求先市区町村の児童数（月途中入退所児童及び副食費徴収免除対象者を除く）…C</t>
    <rPh sb="0" eb="2">
      <t>セイキュウ</t>
    </rPh>
    <rPh sb="2" eb="3">
      <t>サキ</t>
    </rPh>
    <rPh sb="3" eb="5">
      <t>シク</t>
    </rPh>
    <rPh sb="5" eb="7">
      <t>チョウソン</t>
    </rPh>
    <rPh sb="8" eb="10">
      <t>ジドウ</t>
    </rPh>
    <rPh sb="10" eb="11">
      <t>スウ</t>
    </rPh>
    <rPh sb="12" eb="13">
      <t>ツキ</t>
    </rPh>
    <rPh sb="13" eb="15">
      <t>トチュウ</t>
    </rPh>
    <rPh sb="15" eb="16">
      <t>ニュウ</t>
    </rPh>
    <rPh sb="16" eb="18">
      <t>タイショ</t>
    </rPh>
    <rPh sb="18" eb="20">
      <t>ジドウ</t>
    </rPh>
    <rPh sb="20" eb="21">
      <t>オヨ</t>
    </rPh>
    <rPh sb="33" eb="34">
      <t>ノゾ</t>
    </rPh>
    <phoneticPr fontId="3"/>
  </si>
  <si>
    <t>請求先市区町村の児童数（月途中入退所児童を除き、かつ、副食費徴収免除対象者に限る）…D</t>
    <rPh sb="8" eb="10">
      <t>ジドウ</t>
    </rPh>
    <rPh sb="10" eb="11">
      <t>スウ</t>
    </rPh>
    <rPh sb="12" eb="13">
      <t>ツキ</t>
    </rPh>
    <rPh sb="13" eb="15">
      <t>トチュウ</t>
    </rPh>
    <rPh sb="15" eb="16">
      <t>ニュウ</t>
    </rPh>
    <rPh sb="16" eb="18">
      <t>タイショ</t>
    </rPh>
    <rPh sb="18" eb="20">
      <t>ジドウ</t>
    </rPh>
    <rPh sb="21" eb="22">
      <t>ノゾ</t>
    </rPh>
    <rPh sb="38" eb="39">
      <t>カギ</t>
    </rPh>
    <phoneticPr fontId="3"/>
  </si>
  <si>
    <t>（月途中入退所児童及び副食費徴収免除対象者を除く）…C</t>
  </si>
  <si>
    <t>（月途中入退所児童を除き、かつ、副食費徴収免除対象者に限る）…D</t>
  </si>
  <si>
    <t>請求先市区町村の児童数
（月途中入退所児童を除き、かつ、副食費徴収免除対象者を除く）</t>
    <rPh sb="10" eb="11">
      <t>スウ</t>
    </rPh>
    <phoneticPr fontId="1"/>
  </si>
  <si>
    <t>請求先市区町村の児童数
（月途中入退所児童を除き、かつ、副食費徴収免除対象者に限る）</t>
    <rPh sb="10" eb="11">
      <t>スウ</t>
    </rPh>
    <phoneticPr fontId="1"/>
  </si>
  <si>
    <t>○〇認定こども園</t>
    <rPh sb="2" eb="4">
      <t>ニンテイ</t>
    </rPh>
    <rPh sb="7" eb="8">
      <t>エン</t>
    </rPh>
    <phoneticPr fontId="1"/>
  </si>
  <si>
    <t>ﾌﾘｶﾞﾅ</t>
    <phoneticPr fontId="1"/>
  </si>
  <si>
    <t>○○ﾎｳｼﾞﾝ　○○</t>
    <phoneticPr fontId="1"/>
  </si>
  <si>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1"/>
  </si>
  <si>
    <t>基本加算部分</t>
    <rPh sb="0" eb="2">
      <t>キホン</t>
    </rPh>
    <rPh sb="2" eb="4">
      <t>カサン</t>
    </rPh>
    <rPh sb="4" eb="6">
      <t>ブブン</t>
    </rPh>
    <phoneticPr fontId="1"/>
  </si>
  <si>
    <t>調整部分</t>
    <rPh sb="0" eb="2">
      <t>チョウセイ</t>
    </rPh>
    <rPh sb="2" eb="4">
      <t>ブブン</t>
    </rPh>
    <phoneticPr fontId="1"/>
  </si>
  <si>
    <t>特定加算部分</t>
    <rPh sb="0" eb="2">
      <t>トクテイ</t>
    </rPh>
    <rPh sb="2" eb="4">
      <t>カサン</t>
    </rPh>
    <rPh sb="4" eb="6">
      <t>ブブン</t>
    </rPh>
    <phoneticPr fontId="1"/>
  </si>
  <si>
    <t>（月途中入所児童に限り、かつ、副食費徴収免除対象者であるものに限る）…K</t>
    <rPh sb="9" eb="10">
      <t>カギ</t>
    </rPh>
    <phoneticPr fontId="1"/>
  </si>
  <si>
    <t>（月途中退所児童に限り、かつ、副食費徴収免除対象者を除く）…M</t>
    <phoneticPr fontId="1"/>
  </si>
  <si>
    <t>公定価格小計（月途中退所児童分）…N（F×M÷20＋H）</t>
    <rPh sb="0" eb="2">
      <t>コウテイ</t>
    </rPh>
    <rPh sb="2" eb="4">
      <t>カカク</t>
    </rPh>
    <rPh sb="4" eb="6">
      <t>ショウケイ</t>
    </rPh>
    <rPh sb="7" eb="8">
      <t>ツキ</t>
    </rPh>
    <rPh sb="8" eb="10">
      <t>トチュウ</t>
    </rPh>
    <rPh sb="10" eb="12">
      <t>タイショ</t>
    </rPh>
    <rPh sb="12" eb="14">
      <t>ジドウ</t>
    </rPh>
    <rPh sb="14" eb="15">
      <t>ブン</t>
    </rPh>
    <phoneticPr fontId="1"/>
  </si>
  <si>
    <t>（月途中退所児童に限り、かつ、副食費徴収免除対象者であるものに限る）…O</t>
    <phoneticPr fontId="1"/>
  </si>
  <si>
    <t>公定価格小計（月途中退所児童分）…P（G×O÷20＋H）</t>
    <rPh sb="0" eb="2">
      <t>コウテイ</t>
    </rPh>
    <rPh sb="2" eb="4">
      <t>カカク</t>
    </rPh>
    <rPh sb="4" eb="6">
      <t>ショウケイ</t>
    </rPh>
    <rPh sb="7" eb="8">
      <t>ツキ</t>
    </rPh>
    <rPh sb="8" eb="10">
      <t>トチュウ</t>
    </rPh>
    <rPh sb="10" eb="12">
      <t>タイショ</t>
    </rPh>
    <rPh sb="12" eb="14">
      <t>ジドウ</t>
    </rPh>
    <rPh sb="14" eb="15">
      <t>ブン</t>
    </rPh>
    <phoneticPr fontId="1"/>
  </si>
  <si>
    <t>＜精算の要因＞</t>
    <rPh sb="1" eb="3">
      <t>セイサン</t>
    </rPh>
    <rPh sb="4" eb="6">
      <t>ヨウイン</t>
    </rPh>
    <phoneticPr fontId="1"/>
  </si>
  <si>
    <t>請求先市区町村の児童
（月途中入所児童に限り、かつ、副食費徴収免除対象者であるものに限る）…K</t>
    <rPh sb="8" eb="10">
      <t>ジドウ</t>
    </rPh>
    <rPh sb="12" eb="13">
      <t>ツキ</t>
    </rPh>
    <rPh sb="13" eb="15">
      <t>トチュウ</t>
    </rPh>
    <rPh sb="15" eb="17">
      <t>ニュウショ</t>
    </rPh>
    <rPh sb="17" eb="19">
      <t>ジドウ</t>
    </rPh>
    <rPh sb="20" eb="21">
      <t>カギ</t>
    </rPh>
    <rPh sb="26" eb="29">
      <t>フクショクヒ</t>
    </rPh>
    <rPh sb="29" eb="31">
      <t>チョウシュウ</t>
    </rPh>
    <rPh sb="31" eb="33">
      <t>メンジョ</t>
    </rPh>
    <rPh sb="33" eb="36">
      <t>タイショウシャ</t>
    </rPh>
    <rPh sb="42" eb="43">
      <t>カギ</t>
    </rPh>
    <phoneticPr fontId="1"/>
  </si>
  <si>
    <t>請求先市区町村の児童
（月途中退所児童に限り、かつ、副食費徴収免除対象者を除く）…M</t>
    <rPh sb="8" eb="10">
      <t>ジドウ</t>
    </rPh>
    <phoneticPr fontId="1"/>
  </si>
  <si>
    <t>請求先市区町村の児童（月途中退所児童に限り、かつ、副食費徴収免除対象者であるものに限る）…O</t>
    <rPh sb="8" eb="10">
      <t>ジドウ</t>
    </rPh>
    <phoneticPr fontId="1"/>
  </si>
  <si>
    <t>（月途中入所児童に限り、かつ、副食費徴収免除対象者であるものに限る）</t>
    <rPh sb="9" eb="10">
      <t>カギ</t>
    </rPh>
    <phoneticPr fontId="1"/>
  </si>
  <si>
    <t>（月途中退所児童に限り、かつ、副食費徴収免除対象者を除く）</t>
    <phoneticPr fontId="1"/>
  </si>
  <si>
    <t>（月途中退所児童に限り、かつ、副食費徴収免除対象者であるものに限る）</t>
    <phoneticPr fontId="1"/>
  </si>
  <si>
    <t>除雪費加算（３月のみ）</t>
    <rPh sb="0" eb="2">
      <t>ジョセツ</t>
    </rPh>
    <rPh sb="2" eb="3">
      <t>ヒ</t>
    </rPh>
    <rPh sb="7" eb="8">
      <t>ガツ</t>
    </rPh>
    <phoneticPr fontId="1"/>
  </si>
  <si>
    <t>降灰除去費加算（３月のみ）</t>
    <rPh sb="0" eb="2">
      <t>コウハイ</t>
    </rPh>
    <rPh sb="2" eb="4">
      <t>ジョキョ</t>
    </rPh>
    <rPh sb="4" eb="5">
      <t>ヒ</t>
    </rPh>
    <rPh sb="5" eb="7">
      <t>カサン</t>
    </rPh>
    <rPh sb="9" eb="10">
      <t>ガツ</t>
    </rPh>
    <phoneticPr fontId="1"/>
  </si>
  <si>
    <t>基本分単価</t>
    <rPh sb="0" eb="2">
      <t>キホン</t>
    </rPh>
    <rPh sb="2" eb="3">
      <t>ブン</t>
    </rPh>
    <rPh sb="3" eb="4">
      <t>タン</t>
    </rPh>
    <rPh sb="4" eb="5">
      <t>アタイ</t>
    </rPh>
    <phoneticPr fontId="3"/>
  </si>
  <si>
    <t>処遇改善等加算Ⅰ</t>
    <phoneticPr fontId="1"/>
  </si>
  <si>
    <r>
      <t xml:space="preserve">学級編制調整加配加算
</t>
    </r>
    <r>
      <rPr>
        <sz val="11"/>
        <rFont val="游ゴシック"/>
        <family val="3"/>
        <charset val="128"/>
        <scheme val="minor"/>
      </rPr>
      <t>※1号･2号の利用定員の合計が
36人以上300人以下の場合に加算</t>
    </r>
    <rPh sb="0" eb="2">
      <t>ガッキュウ</t>
    </rPh>
    <rPh sb="2" eb="4">
      <t>ヘンセイ</t>
    </rPh>
    <rPh sb="4" eb="6">
      <t>チョウセイ</t>
    </rPh>
    <rPh sb="6" eb="8">
      <t>カハイ</t>
    </rPh>
    <rPh sb="8" eb="10">
      <t>カサン</t>
    </rPh>
    <phoneticPr fontId="6"/>
  </si>
  <si>
    <t>給食実施加算（施設内調理）</t>
    <rPh sb="0" eb="2">
      <t>キュウショク</t>
    </rPh>
    <rPh sb="2" eb="4">
      <t>ジッシ</t>
    </rPh>
    <rPh sb="4" eb="6">
      <t>カサン</t>
    </rPh>
    <rPh sb="7" eb="9">
      <t>シセツ</t>
    </rPh>
    <rPh sb="9" eb="10">
      <t>ナイ</t>
    </rPh>
    <rPh sb="10" eb="12">
      <t>チョウリ</t>
    </rPh>
    <phoneticPr fontId="13"/>
  </si>
  <si>
    <t>給食実施加算（外部搬入）</t>
    <rPh sb="0" eb="2">
      <t>キュウショク</t>
    </rPh>
    <rPh sb="2" eb="4">
      <t>ジッシ</t>
    </rPh>
    <rPh sb="4" eb="6">
      <t>カサン</t>
    </rPh>
    <rPh sb="7" eb="9">
      <t>ガイブ</t>
    </rPh>
    <rPh sb="9" eb="11">
      <t>ハンニュウ</t>
    </rPh>
    <phoneticPr fontId="13"/>
  </si>
  <si>
    <t>外部監査費
加算
※認定こども園全体の利用定員の区分に応じて加算
※3月分の単価に加算</t>
    <rPh sb="0" eb="2">
      <t>ガイブ</t>
    </rPh>
    <rPh sb="2" eb="4">
      <t>カンサ</t>
    </rPh>
    <rPh sb="4" eb="5">
      <t>ヒ</t>
    </rPh>
    <rPh sb="6" eb="8">
      <t>カサン</t>
    </rPh>
    <rPh sb="24" eb="26">
      <t>クブン</t>
    </rPh>
    <rPh sb="27" eb="28">
      <t>オウ</t>
    </rPh>
    <rPh sb="30" eb="32">
      <t>カサン</t>
    </rPh>
    <phoneticPr fontId="13"/>
  </si>
  <si>
    <t>（注）</t>
    <rPh sb="0" eb="3">
      <t>チュウ</t>
    </rPh>
    <phoneticPr fontId="3"/>
  </si>
  <si>
    <t>⑥</t>
    <phoneticPr fontId="13"/>
  </si>
  <si>
    <t>⑭</t>
    <phoneticPr fontId="13"/>
  </si>
  <si>
    <t>⑭'</t>
    <phoneticPr fontId="13"/>
  </si>
  <si>
    <t>⑮</t>
    <phoneticPr fontId="13"/>
  </si>
  <si>
    <t>×加算率</t>
    <rPh sb="1" eb="4">
      <t>カサンリツ</t>
    </rPh>
    <phoneticPr fontId="13"/>
  </si>
  <si>
    <t xml:space="preserve"> 　　 ～　15人</t>
    <rPh sb="8" eb="9">
      <t>ニン</t>
    </rPh>
    <phoneticPr fontId="13"/>
  </si>
  <si>
    <t>×週当たり実施日数×加算率</t>
    <rPh sb="1" eb="2">
      <t>シュウ</t>
    </rPh>
    <rPh sb="2" eb="3">
      <t>ア</t>
    </rPh>
    <rPh sb="5" eb="7">
      <t>ジッシ</t>
    </rPh>
    <rPh sb="7" eb="9">
      <t>ニッスウ</t>
    </rPh>
    <rPh sb="10" eb="13">
      <t>カサンリツ</t>
    </rPh>
    <phoneticPr fontId="1"/>
  </si>
  <si>
    <t>＋</t>
    <phoneticPr fontId="13"/>
  </si>
  <si>
    <t xml:space="preserve">  16人～　25人</t>
    <rPh sb="4" eb="5">
      <t>ニン</t>
    </rPh>
    <rPh sb="9" eb="10">
      <t>ニン</t>
    </rPh>
    <phoneticPr fontId="13"/>
  </si>
  <si>
    <t xml:space="preserve">  26人～　35人</t>
    <rPh sb="4" eb="5">
      <t>ニン</t>
    </rPh>
    <rPh sb="9" eb="10">
      <t>ニン</t>
    </rPh>
    <phoneticPr fontId="13"/>
  </si>
  <si>
    <t xml:space="preserve">  36人～　45人</t>
    <rPh sb="4" eb="5">
      <t>ニン</t>
    </rPh>
    <rPh sb="9" eb="10">
      <t>ニン</t>
    </rPh>
    <phoneticPr fontId="13"/>
  </si>
  <si>
    <t xml:space="preserve">  46人～　60人</t>
    <rPh sb="4" eb="5">
      <t>ニン</t>
    </rPh>
    <rPh sb="9" eb="10">
      <t>ニン</t>
    </rPh>
    <phoneticPr fontId="13"/>
  </si>
  <si>
    <t xml:space="preserve">  61人～　75人</t>
    <rPh sb="4" eb="5">
      <t>ニン</t>
    </rPh>
    <rPh sb="9" eb="10">
      <t>ニン</t>
    </rPh>
    <phoneticPr fontId="13"/>
  </si>
  <si>
    <t xml:space="preserve">  76人～　90人</t>
    <rPh sb="4" eb="5">
      <t>ニン</t>
    </rPh>
    <rPh sb="9" eb="10">
      <t>ニン</t>
    </rPh>
    <phoneticPr fontId="13"/>
  </si>
  <si>
    <t xml:space="preserve">  91人～ 105人</t>
    <rPh sb="4" eb="5">
      <t>ニン</t>
    </rPh>
    <rPh sb="10" eb="11">
      <t>ニン</t>
    </rPh>
    <phoneticPr fontId="13"/>
  </si>
  <si>
    <t xml:space="preserve"> 106人～ 120人</t>
    <rPh sb="4" eb="5">
      <t>ニン</t>
    </rPh>
    <rPh sb="10" eb="11">
      <t>ニン</t>
    </rPh>
    <phoneticPr fontId="13"/>
  </si>
  <si>
    <t xml:space="preserve"> 121人～ 135人</t>
    <rPh sb="4" eb="5">
      <t>ニン</t>
    </rPh>
    <rPh sb="10" eb="11">
      <t>ニン</t>
    </rPh>
    <phoneticPr fontId="13"/>
  </si>
  <si>
    <t xml:space="preserve"> 136人～ 150人</t>
    <rPh sb="4" eb="5">
      <t>ニン</t>
    </rPh>
    <rPh sb="10" eb="11">
      <t>ニン</t>
    </rPh>
    <phoneticPr fontId="13"/>
  </si>
  <si>
    <t xml:space="preserve"> 151人～ 180人</t>
    <rPh sb="4" eb="5">
      <t>ニン</t>
    </rPh>
    <rPh sb="10" eb="11">
      <t>ニン</t>
    </rPh>
    <phoneticPr fontId="13"/>
  </si>
  <si>
    <t xml:space="preserve"> 181人～ 210人</t>
    <rPh sb="4" eb="5">
      <t>ニン</t>
    </rPh>
    <rPh sb="10" eb="11">
      <t>ニン</t>
    </rPh>
    <phoneticPr fontId="13"/>
  </si>
  <si>
    <t xml:space="preserve"> 211人～ 240人</t>
    <rPh sb="4" eb="5">
      <t>ニン</t>
    </rPh>
    <rPh sb="10" eb="11">
      <t>ニン</t>
    </rPh>
    <phoneticPr fontId="13"/>
  </si>
  <si>
    <t xml:space="preserve"> 241人～ 270人</t>
    <rPh sb="4" eb="5">
      <t>ニン</t>
    </rPh>
    <rPh sb="10" eb="11">
      <t>ニン</t>
    </rPh>
    <phoneticPr fontId="13"/>
  </si>
  <si>
    <t xml:space="preserve"> 271人～ 300人</t>
    <rPh sb="4" eb="5">
      <t>ニン</t>
    </rPh>
    <rPh sb="10" eb="11">
      <t>ニン</t>
    </rPh>
    <phoneticPr fontId="13"/>
  </si>
  <si>
    <t xml:space="preserve"> 301人～</t>
    <rPh sb="4" eb="5">
      <t>ニン</t>
    </rPh>
    <phoneticPr fontId="13"/>
  </si>
  <si>
    <r>
      <t xml:space="preserve">副食費徴収
免除加算
</t>
    </r>
    <r>
      <rPr>
        <sz val="11"/>
        <rFont val="游ゴシック"/>
        <family val="3"/>
        <charset val="128"/>
        <scheme val="minor"/>
      </rPr>
      <t>※副食費の徴収が免除される
子どもの単価に加算</t>
    </r>
    <rPh sb="0" eb="3">
      <t>フクショクヒ</t>
    </rPh>
    <rPh sb="3" eb="5">
      <t>チョウシュウ</t>
    </rPh>
    <rPh sb="6" eb="8">
      <t>メンジョ</t>
    </rPh>
    <rPh sb="8" eb="10">
      <t>カサン</t>
    </rPh>
    <phoneticPr fontId="6"/>
  </si>
  <si>
    <t>保育必要量区分　⑤</t>
    <rPh sb="0" eb="2">
      <t>ホイク</t>
    </rPh>
    <rPh sb="2" eb="5">
      <t>ヒツヨウリョウ</t>
    </rPh>
    <rPh sb="5" eb="7">
      <t>クブン</t>
    </rPh>
    <phoneticPr fontId="13"/>
  </si>
  <si>
    <t>外部監査費加算</t>
    <rPh sb="0" eb="2">
      <t>ガイブ</t>
    </rPh>
    <rPh sb="2" eb="4">
      <t>カンサ</t>
    </rPh>
    <rPh sb="4" eb="5">
      <t>ヒ</t>
    </rPh>
    <rPh sb="5" eb="7">
      <t>カサン</t>
    </rPh>
    <phoneticPr fontId="13"/>
  </si>
  <si>
    <t>副食費徴収
免除加算
※副食費の徴収が免除される子どもの単価に加算</t>
    <rPh sb="0" eb="3">
      <t>フクショクヒ</t>
    </rPh>
    <rPh sb="3" eb="5">
      <t>チョウシュウ</t>
    </rPh>
    <rPh sb="6" eb="8">
      <t>メンジョ</t>
    </rPh>
    <rPh sb="8" eb="10">
      <t>カサン</t>
    </rPh>
    <phoneticPr fontId="1"/>
  </si>
  <si>
    <t>保育標準時間認定</t>
    <rPh sb="0" eb="2">
      <t>ホイク</t>
    </rPh>
    <rPh sb="2" eb="4">
      <t>ヒョウジュン</t>
    </rPh>
    <rPh sb="4" eb="6">
      <t>ジカン</t>
    </rPh>
    <rPh sb="6" eb="8">
      <t>ニンテイ</t>
    </rPh>
    <phoneticPr fontId="13"/>
  </si>
  <si>
    <t>保育短時間認定</t>
    <rPh sb="0" eb="2">
      <t>ホイク</t>
    </rPh>
    <rPh sb="2" eb="3">
      <t>タン</t>
    </rPh>
    <rPh sb="3" eb="5">
      <t>ジカン</t>
    </rPh>
    <rPh sb="5" eb="7">
      <t>ニンテイ</t>
    </rPh>
    <phoneticPr fontId="13"/>
  </si>
  <si>
    <t>加算額</t>
    <phoneticPr fontId="13"/>
  </si>
  <si>
    <t>認可施設</t>
    <rPh sb="0" eb="2">
      <t>ニンカ</t>
    </rPh>
    <rPh sb="2" eb="4">
      <t>シセツ</t>
    </rPh>
    <phoneticPr fontId="13"/>
  </si>
  <si>
    <t>機能部分</t>
    <rPh sb="0" eb="2">
      <t>キノウ</t>
    </rPh>
    <rPh sb="2" eb="4">
      <t>ブブン</t>
    </rPh>
    <phoneticPr fontId="13"/>
  </si>
  <si>
    <t>(注１)</t>
    <rPh sb="1" eb="2">
      <t>チュウ</t>
    </rPh>
    <phoneticPr fontId="3"/>
  </si>
  <si>
    <t>標　準</t>
    <rPh sb="0" eb="1">
      <t>シルベ</t>
    </rPh>
    <rPh sb="2" eb="3">
      <t>ジュン</t>
    </rPh>
    <phoneticPr fontId="13"/>
  </si>
  <si>
    <t>都市部</t>
    <rPh sb="0" eb="3">
      <t>トシブ</t>
    </rPh>
    <phoneticPr fontId="13"/>
  </si>
  <si>
    <t>⑦</t>
    <phoneticPr fontId="13"/>
  </si>
  <si>
    <t>⑫</t>
    <phoneticPr fontId="13"/>
  </si>
  <si>
    <t>⑬</t>
    <phoneticPr fontId="13"/>
  </si>
  <si>
    <t>×加算率</t>
    <rPh sb="1" eb="3">
      <t>カサン</t>
    </rPh>
    <rPh sb="3" eb="4">
      <t>リツ</t>
    </rPh>
    <phoneticPr fontId="13"/>
  </si>
  <si>
    <t>ａ地域</t>
    <rPh sb="1" eb="3">
      <t>チイキ</t>
    </rPh>
    <phoneticPr fontId="13"/>
  </si>
  <si>
    <t>(⑥～㉑（⑮を除く。）)</t>
    <rPh sb="7" eb="8">
      <t>ノゾ</t>
    </rPh>
    <phoneticPr fontId="6"/>
  </si>
  <si>
    <t>ｂ地域</t>
    <rPh sb="1" eb="3">
      <t>チイキ</t>
    </rPh>
    <phoneticPr fontId="13"/>
  </si>
  <si>
    <t>ｃ地域</t>
    <rPh sb="1" eb="3">
      <t>チイキ</t>
    </rPh>
    <phoneticPr fontId="13"/>
  </si>
  <si>
    <t>ｄ地域</t>
    <rPh sb="1" eb="3">
      <t>チイキ</t>
    </rPh>
    <phoneticPr fontId="13"/>
  </si>
  <si>
    <t>認定こども園全体の利用定員</t>
    <rPh sb="0" eb="2">
      <t>ニンテイ</t>
    </rPh>
    <rPh sb="5" eb="6">
      <t>エン</t>
    </rPh>
    <rPh sb="6" eb="8">
      <t>ゼンタイ</t>
    </rPh>
    <rPh sb="9" eb="11">
      <t>リヨウ</t>
    </rPh>
    <rPh sb="11" eb="13">
      <t>テイイン</t>
    </rPh>
    <phoneticPr fontId="13"/>
  </si>
  <si>
    <t>　 　　 ～　210人</t>
    <rPh sb="10" eb="11">
      <t>ニン</t>
    </rPh>
    <phoneticPr fontId="6"/>
  </si>
  <si>
    <t>　 211人～　279人</t>
    <rPh sb="5" eb="6">
      <t>ニン</t>
    </rPh>
    <rPh sb="11" eb="12">
      <t>ニン</t>
    </rPh>
    <phoneticPr fontId="6"/>
  </si>
  <si>
    <t>　 280人～　349人</t>
    <rPh sb="5" eb="6">
      <t>ニン</t>
    </rPh>
    <rPh sb="11" eb="12">
      <t>ニン</t>
    </rPh>
    <phoneticPr fontId="6"/>
  </si>
  <si>
    <t xml:space="preserve"> 　350人～　419人</t>
    <rPh sb="5" eb="6">
      <t>ニン</t>
    </rPh>
    <rPh sb="11" eb="12">
      <t>ニン</t>
    </rPh>
    <phoneticPr fontId="6"/>
  </si>
  <si>
    <t>　 420人～　489人</t>
    <rPh sb="5" eb="6">
      <t>ニン</t>
    </rPh>
    <rPh sb="11" eb="12">
      <t>ニン</t>
    </rPh>
    <phoneticPr fontId="6"/>
  </si>
  <si>
    <t xml:space="preserve"> 　490人～　559人</t>
    <rPh sb="5" eb="6">
      <t>ニン</t>
    </rPh>
    <rPh sb="11" eb="12">
      <t>ニン</t>
    </rPh>
    <phoneticPr fontId="6"/>
  </si>
  <si>
    <t>　 560人～　629人</t>
    <rPh sb="5" eb="6">
      <t>ニン</t>
    </rPh>
    <rPh sb="11" eb="12">
      <t>ニン</t>
    </rPh>
    <phoneticPr fontId="6"/>
  </si>
  <si>
    <t>　 630人～　699人</t>
    <rPh sb="5" eb="6">
      <t>ニン</t>
    </rPh>
    <rPh sb="11" eb="12">
      <t>ニン</t>
    </rPh>
    <phoneticPr fontId="6"/>
  </si>
  <si>
    <t xml:space="preserve"> 　700人～　769人</t>
    <rPh sb="5" eb="6">
      <t>ニン</t>
    </rPh>
    <rPh sb="11" eb="12">
      <t>ニン</t>
    </rPh>
    <phoneticPr fontId="6"/>
  </si>
  <si>
    <t xml:space="preserve"> 　770人～　839人</t>
    <rPh sb="5" eb="6">
      <t>ニン</t>
    </rPh>
    <rPh sb="11" eb="12">
      <t>ニン</t>
    </rPh>
    <phoneticPr fontId="6"/>
  </si>
  <si>
    <t>　 840人～　909人</t>
    <rPh sb="5" eb="6">
      <t>ニン</t>
    </rPh>
    <rPh sb="11" eb="12">
      <t>ニン</t>
    </rPh>
    <phoneticPr fontId="6"/>
  </si>
  <si>
    <t xml:space="preserve"> 　910人～　979人</t>
    <rPh sb="5" eb="6">
      <t>ニン</t>
    </rPh>
    <rPh sb="11" eb="12">
      <t>ニン</t>
    </rPh>
    <phoneticPr fontId="6"/>
  </si>
  <si>
    <t>　 980人～1,049人</t>
    <rPh sb="5" eb="6">
      <t>ニン</t>
    </rPh>
    <rPh sb="12" eb="13">
      <t>ニン</t>
    </rPh>
    <phoneticPr fontId="6"/>
  </si>
  <si>
    <t xml:space="preserve"> 1,050人～</t>
    <rPh sb="6" eb="7">
      <t>ニン</t>
    </rPh>
    <phoneticPr fontId="6"/>
  </si>
  <si>
    <t>※3月分の単価に加算</t>
    <rPh sb="2" eb="4">
      <t>ガツブン</t>
    </rPh>
    <rPh sb="5" eb="7">
      <t>タンカ</t>
    </rPh>
    <rPh sb="8" eb="10">
      <t>カサン</t>
    </rPh>
    <phoneticPr fontId="13"/>
  </si>
  <si>
    <t>(⑥＋⑦＋⑧)</t>
    <phoneticPr fontId="13"/>
  </si>
  <si>
    <t xml:space="preserve"> 136人～　150人</t>
    <rPh sb="4" eb="5">
      <t>ニン</t>
    </rPh>
    <rPh sb="10" eb="11">
      <t>ニン</t>
    </rPh>
    <phoneticPr fontId="13"/>
  </si>
  <si>
    <t>副食費徴収
免除加算</t>
    <rPh sb="0" eb="3">
      <t>フクショクヒ</t>
    </rPh>
    <rPh sb="3" eb="5">
      <t>チョウシュウ</t>
    </rPh>
    <rPh sb="6" eb="8">
      <t>メンジョ</t>
    </rPh>
    <rPh sb="8" eb="10">
      <t>カサン</t>
    </rPh>
    <phoneticPr fontId="1"/>
  </si>
  <si>
    <t xml:space="preserve">○○　○○                         </t>
    <phoneticPr fontId="1"/>
  </si>
  <si>
    <t>(支)店</t>
    <rPh sb="1" eb="2">
      <t>シ</t>
    </rPh>
    <rPh sb="3" eb="4">
      <t>テン</t>
    </rPh>
    <phoneticPr fontId="1"/>
  </si>
  <si>
    <t>出張所</t>
    <rPh sb="0" eb="2">
      <t>シュッチョウ</t>
    </rPh>
    <rPh sb="2" eb="3">
      <t>ジョ</t>
    </rPh>
    <phoneticPr fontId="1"/>
  </si>
  <si>
    <t>うち管外児童数</t>
    <rPh sb="2" eb="3">
      <t>カン</t>
    </rPh>
    <rPh sb="3" eb="4">
      <t>ガイ</t>
    </rPh>
    <rPh sb="4" eb="6">
      <t>ジドウ</t>
    </rPh>
    <rPh sb="6" eb="7">
      <t>スウ</t>
    </rPh>
    <phoneticPr fontId="1"/>
  </si>
  <si>
    <t>△</t>
    <phoneticPr fontId="1"/>
  </si>
  <si>
    <t>処遇改善等加算Ⅲ</t>
    <phoneticPr fontId="1"/>
  </si>
  <si>
    <t>処遇改善等加算Ⅲ(分園)</t>
    <rPh sb="9" eb="11">
      <t>ブンエン</t>
    </rPh>
    <phoneticPr fontId="1"/>
  </si>
  <si>
    <t>処遇改善等加算Ⅲ</t>
    <rPh sb="0" eb="2">
      <t>ショグウ</t>
    </rPh>
    <rPh sb="2" eb="4">
      <t>カイゼン</t>
    </rPh>
    <rPh sb="4" eb="5">
      <t>トウ</t>
    </rPh>
    <rPh sb="5" eb="7">
      <t>カサン</t>
    </rPh>
    <phoneticPr fontId="13"/>
  </si>
  <si>
    <t>㉖</t>
    <phoneticPr fontId="1"/>
  </si>
  <si>
    <t>別に定める額</t>
    <rPh sb="0" eb="1">
      <t>ベツ</t>
    </rPh>
    <rPh sb="2" eb="3">
      <t>サダ</t>
    </rPh>
    <rPh sb="5" eb="6">
      <t>ガク</t>
    </rPh>
    <phoneticPr fontId="3"/>
  </si>
  <si>
    <t>×</t>
    <phoneticPr fontId="13"/>
  </si>
  <si>
    <t>平均年齢別利用子ども数</t>
    <rPh sb="0" eb="2">
      <t>ヘイキン</t>
    </rPh>
    <rPh sb="2" eb="4">
      <t>ネンレイ</t>
    </rPh>
    <rPh sb="4" eb="5">
      <t>ベツ</t>
    </rPh>
    <rPh sb="5" eb="7">
      <t>リヨウ</t>
    </rPh>
    <rPh sb="7" eb="8">
      <t>コ</t>
    </rPh>
    <rPh sb="10" eb="11">
      <t>スウ</t>
    </rPh>
    <phoneticPr fontId="3"/>
  </si>
  <si>
    <t>※１　各月初日の利用子どもの単価に加算
※２　平均年齢別利用子ども数については、別に定める</t>
    <phoneticPr fontId="3"/>
  </si>
  <si>
    <t>㉕</t>
    <phoneticPr fontId="13"/>
  </si>
  <si>
    <t>㉖</t>
    <phoneticPr fontId="3"/>
  </si>
  <si>
    <t>㉗</t>
    <phoneticPr fontId="13"/>
  </si>
  <si>
    <t>㉛</t>
    <phoneticPr fontId="3"/>
  </si>
  <si>
    <t>㉜</t>
    <phoneticPr fontId="13"/>
  </si>
  <si>
    <t>㉞</t>
    <phoneticPr fontId="3"/>
  </si>
  <si>
    <t>㉗</t>
    <phoneticPr fontId="1"/>
  </si>
  <si>
    <t>㉘</t>
    <phoneticPr fontId="1"/>
  </si>
  <si>
    <t>㉙</t>
    <phoneticPr fontId="1"/>
  </si>
  <si>
    <t>㉚</t>
    <phoneticPr fontId="1"/>
  </si>
  <si>
    <t>㉛</t>
    <phoneticPr fontId="1"/>
  </si>
  <si>
    <t>㉜</t>
    <phoneticPr fontId="1"/>
  </si>
  <si>
    <t>㉝</t>
    <phoneticPr fontId="1"/>
  </si>
  <si>
    <t>うち分園</t>
    <rPh sb="2" eb="4">
      <t>ブンエン</t>
    </rPh>
    <phoneticPr fontId="1"/>
  </si>
  <si>
    <t>'１号単価表③'!C</t>
    <phoneticPr fontId="1"/>
  </si>
  <si>
    <t>利用定員（１号）</t>
    <rPh sb="0" eb="2">
      <t>リヨウ</t>
    </rPh>
    <rPh sb="2" eb="4">
      <t>テイイン</t>
    </rPh>
    <rPh sb="6" eb="7">
      <t>ゴウ</t>
    </rPh>
    <phoneticPr fontId="1"/>
  </si>
  <si>
    <t>処遇改善等加算Ⅲ（分園）</t>
    <rPh sb="9" eb="11">
      <t>ブンエン</t>
    </rPh>
    <phoneticPr fontId="1"/>
  </si>
  <si>
    <t>'２・３号単価表③'!C</t>
    <phoneticPr fontId="1"/>
  </si>
  <si>
    <t>なし</t>
  </si>
  <si>
    <t>※新座市の児童のみ記入</t>
    <rPh sb="1" eb="4">
      <t>ニイザシ</t>
    </rPh>
    <rPh sb="5" eb="7">
      <t>ジドウ</t>
    </rPh>
    <rPh sb="9" eb="11">
      <t>キニュウ</t>
    </rPh>
    <phoneticPr fontId="1"/>
  </si>
  <si>
    <t>その他（精算分等）</t>
    <rPh sb="2" eb="3">
      <t>タ</t>
    </rPh>
    <rPh sb="4" eb="6">
      <t>セイサン</t>
    </rPh>
    <rPh sb="6" eb="7">
      <t>ブン</t>
    </rPh>
    <rPh sb="7" eb="8">
      <t>トウ</t>
    </rPh>
    <phoneticPr fontId="1"/>
  </si>
  <si>
    <t>対象
職員数(教育)</t>
    <rPh sb="0" eb="2">
      <t>タイショウ</t>
    </rPh>
    <rPh sb="3" eb="6">
      <t>ショクインスウ</t>
    </rPh>
    <rPh sb="7" eb="9">
      <t>キョウイク</t>
    </rPh>
    <phoneticPr fontId="1"/>
  </si>
  <si>
    <t>新座市長　並木　傑　宛て</t>
    <rPh sb="0" eb="3">
      <t>ニイザシ</t>
    </rPh>
    <rPh sb="3" eb="4">
      <t>チョウ</t>
    </rPh>
    <rPh sb="5" eb="7">
      <t>ナミキ</t>
    </rPh>
    <rPh sb="8" eb="9">
      <t>マサル</t>
    </rPh>
    <rPh sb="10" eb="11">
      <t>ア</t>
    </rPh>
    <phoneticPr fontId="1"/>
  </si>
  <si>
    <t>月分</t>
    <rPh sb="0" eb="1">
      <t>ゲツ</t>
    </rPh>
    <rPh sb="1" eb="2">
      <t>ブン</t>
    </rPh>
    <phoneticPr fontId="1"/>
  </si>
  <si>
    <t>請求額計(教育)</t>
    <rPh sb="5" eb="7">
      <t>キョウイク</t>
    </rPh>
    <phoneticPr fontId="3"/>
  </si>
  <si>
    <t>子どものための教育・保育給付請求明細書（幼保連携型認定こども園）</t>
    <rPh sb="20" eb="22">
      <t>ヨウホ</t>
    </rPh>
    <rPh sb="22" eb="25">
      <t>レンケイガタ</t>
    </rPh>
    <rPh sb="25" eb="27">
      <t>ニンテイ</t>
    </rPh>
    <rPh sb="30" eb="31">
      <t>エン</t>
    </rPh>
    <phoneticPr fontId="1"/>
  </si>
  <si>
    <t>子どものための教育・保育給付請求明細書（幼稚園型認定こども園）</t>
    <rPh sb="20" eb="23">
      <t>ヨウチエン</t>
    </rPh>
    <rPh sb="23" eb="24">
      <t>ガタ</t>
    </rPh>
    <rPh sb="24" eb="26">
      <t>ニンテイ</t>
    </rPh>
    <rPh sb="29" eb="30">
      <t>エン</t>
    </rPh>
    <phoneticPr fontId="1"/>
  </si>
  <si>
    <t>子どものための教育・保育給付請求明細書（保育所型認定こども園）</t>
    <rPh sb="20" eb="22">
      <t>ホイク</t>
    </rPh>
    <rPh sb="22" eb="23">
      <t>ショ</t>
    </rPh>
    <rPh sb="23" eb="24">
      <t>ガタ</t>
    </rPh>
    <rPh sb="24" eb="26">
      <t>ニンテイ</t>
    </rPh>
    <rPh sb="29" eb="30">
      <t>エン</t>
    </rPh>
    <phoneticPr fontId="1"/>
  </si>
  <si>
    <t>子どものための教育・保育給付請求明細書（地方裁量型認定こども園）</t>
    <rPh sb="20" eb="22">
      <t>チホウ</t>
    </rPh>
    <rPh sb="22" eb="24">
      <t>サイリョウ</t>
    </rPh>
    <rPh sb="24" eb="25">
      <t>ガタ</t>
    </rPh>
    <rPh sb="25" eb="27">
      <t>ニンテイ</t>
    </rPh>
    <rPh sb="30" eb="31">
      <t>エン</t>
    </rPh>
    <phoneticPr fontId="1"/>
  </si>
  <si>
    <t>（注）</t>
  </si>
  <si>
    <t>⑤</t>
  </si>
  <si>
    <t>⑥</t>
  </si>
  <si>
    <t>×週当たり実施日数</t>
  </si>
  <si>
    <t>×週当たり実施日数×加算率</t>
    <rPh sb="1" eb="2">
      <t>シュウ</t>
    </rPh>
    <rPh sb="2" eb="3">
      <t>ア</t>
    </rPh>
    <rPh sb="5" eb="7">
      <t>ジッシ</t>
    </rPh>
    <rPh sb="7" eb="9">
      <t>ニッスウ</t>
    </rPh>
    <rPh sb="10" eb="13">
      <t>カサンリツ</t>
    </rPh>
    <phoneticPr fontId="2"/>
  </si>
  <si>
    <t xml:space="preserve"> 　　 ～　15人</t>
    <rPh sb="8" eb="9">
      <t>ニン</t>
    </rPh>
    <phoneticPr fontId="4"/>
  </si>
  <si>
    <t xml:space="preserve">  16人～　25人</t>
    <rPh sb="4" eb="5">
      <t>ニン</t>
    </rPh>
    <rPh sb="9" eb="10">
      <t>ニン</t>
    </rPh>
    <phoneticPr fontId="4"/>
  </si>
  <si>
    <t xml:space="preserve">  26人～　35人</t>
    <rPh sb="4" eb="5">
      <t>ニン</t>
    </rPh>
    <rPh sb="9" eb="10">
      <t>ニン</t>
    </rPh>
    <phoneticPr fontId="4"/>
  </si>
  <si>
    <t xml:space="preserve">  36人～　45人</t>
    <rPh sb="4" eb="5">
      <t>ニン</t>
    </rPh>
    <rPh sb="9" eb="10">
      <t>ニン</t>
    </rPh>
    <phoneticPr fontId="4"/>
  </si>
  <si>
    <t xml:space="preserve">  46人～　60人</t>
    <rPh sb="4" eb="5">
      <t>ニン</t>
    </rPh>
    <rPh sb="9" eb="10">
      <t>ニン</t>
    </rPh>
    <phoneticPr fontId="4"/>
  </si>
  <si>
    <t xml:space="preserve">  61人～　75人</t>
    <rPh sb="4" eb="5">
      <t>ニン</t>
    </rPh>
    <rPh sb="9" eb="10">
      <t>ニン</t>
    </rPh>
    <phoneticPr fontId="4"/>
  </si>
  <si>
    <t xml:space="preserve">  76人～　90人</t>
    <rPh sb="4" eb="5">
      <t>ニン</t>
    </rPh>
    <rPh sb="9" eb="10">
      <t>ニン</t>
    </rPh>
    <phoneticPr fontId="4"/>
  </si>
  <si>
    <t xml:space="preserve">  91人～ 105人</t>
    <rPh sb="4" eb="5">
      <t>ニン</t>
    </rPh>
    <rPh sb="10" eb="11">
      <t>ニン</t>
    </rPh>
    <phoneticPr fontId="4"/>
  </si>
  <si>
    <t xml:space="preserve"> 106人～ 120人</t>
    <rPh sb="4" eb="5">
      <t>ニン</t>
    </rPh>
    <rPh sb="10" eb="11">
      <t>ニン</t>
    </rPh>
    <phoneticPr fontId="4"/>
  </si>
  <si>
    <t xml:space="preserve"> 121人～ 135人</t>
    <rPh sb="4" eb="5">
      <t>ニン</t>
    </rPh>
    <rPh sb="10" eb="11">
      <t>ニン</t>
    </rPh>
    <phoneticPr fontId="4"/>
  </si>
  <si>
    <t xml:space="preserve"> 136人～ 150人</t>
    <rPh sb="4" eb="5">
      <t>ニン</t>
    </rPh>
    <rPh sb="10" eb="11">
      <t>ニン</t>
    </rPh>
    <phoneticPr fontId="4"/>
  </si>
  <si>
    <t xml:space="preserve"> 151人～ 180人</t>
    <rPh sb="4" eb="5">
      <t>ニン</t>
    </rPh>
    <rPh sb="10" eb="11">
      <t>ニン</t>
    </rPh>
    <phoneticPr fontId="4"/>
  </si>
  <si>
    <t xml:space="preserve"> 181人～ 210人</t>
    <rPh sb="4" eb="5">
      <t>ニン</t>
    </rPh>
    <rPh sb="10" eb="11">
      <t>ニン</t>
    </rPh>
    <phoneticPr fontId="4"/>
  </si>
  <si>
    <t xml:space="preserve"> 211人～ 240人</t>
    <rPh sb="4" eb="5">
      <t>ニン</t>
    </rPh>
    <rPh sb="10" eb="11">
      <t>ニン</t>
    </rPh>
    <phoneticPr fontId="4"/>
  </si>
  <si>
    <t xml:space="preserve"> 241人～ 270人</t>
    <rPh sb="4" eb="5">
      <t>ニン</t>
    </rPh>
    <rPh sb="10" eb="11">
      <t>ニン</t>
    </rPh>
    <phoneticPr fontId="4"/>
  </si>
  <si>
    <t xml:space="preserve"> 271人～ 300人</t>
    <rPh sb="4" eb="5">
      <t>ニン</t>
    </rPh>
    <rPh sb="10" eb="11">
      <t>ニン</t>
    </rPh>
    <phoneticPr fontId="4"/>
  </si>
  <si>
    <t xml:space="preserve"> 301人～</t>
    <rPh sb="4" eb="5">
      <t>ニン</t>
    </rPh>
    <phoneticPr fontId="4"/>
  </si>
  <si>
    <t xml:space="preserve">   実施日数　　</t>
    <rPh sb="3" eb="5">
      <t>ジッシ</t>
    </rPh>
    <rPh sb="5" eb="7">
      <t>ニッスウ</t>
    </rPh>
    <phoneticPr fontId="2"/>
  </si>
  <si>
    <t>×</t>
  </si>
  <si>
    <t>　加算Ⅲ算定対象人数　×　1/2</t>
  </si>
  <si>
    <t>÷３月初日の利用子ども数</t>
  </si>
  <si>
    <t>対象
職員数
(保育)</t>
    <rPh sb="0" eb="2">
      <t>タイショウ</t>
    </rPh>
    <rPh sb="3" eb="6">
      <t>ショクインスウ</t>
    </rPh>
    <rPh sb="8" eb="10">
      <t>ホイク</t>
    </rPh>
    <phoneticPr fontId="1"/>
  </si>
  <si>
    <t>①</t>
    <phoneticPr fontId="1"/>
  </si>
  <si>
    <t>②</t>
    <phoneticPr fontId="1"/>
  </si>
  <si>
    <t>③</t>
    <phoneticPr fontId="1"/>
  </si>
  <si>
    <t>④</t>
    <phoneticPr fontId="1"/>
  </si>
  <si>
    <t>請求額計(保育)</t>
    <rPh sb="5" eb="7">
      <t>ホイク</t>
    </rPh>
    <phoneticPr fontId="3"/>
  </si>
  <si>
    <t>×加算率</t>
    <rPh sb="1" eb="3">
      <t>カサン</t>
    </rPh>
    <rPh sb="3" eb="4">
      <t>リツ</t>
    </rPh>
    <phoneticPr fontId="5"/>
  </si>
  <si>
    <t>　 　　 ～　210人</t>
    <rPh sb="10" eb="11">
      <t>ニン</t>
    </rPh>
    <phoneticPr fontId="5"/>
  </si>
  <si>
    <t>　 211人～　279人</t>
    <rPh sb="5" eb="6">
      <t>ニン</t>
    </rPh>
    <rPh sb="11" eb="12">
      <t>ニン</t>
    </rPh>
    <phoneticPr fontId="5"/>
  </si>
  <si>
    <t>　 280人～　349人</t>
    <rPh sb="5" eb="6">
      <t>ニン</t>
    </rPh>
    <rPh sb="11" eb="12">
      <t>ニン</t>
    </rPh>
    <phoneticPr fontId="5"/>
  </si>
  <si>
    <t xml:space="preserve"> 　350人～　419人</t>
    <rPh sb="5" eb="6">
      <t>ニン</t>
    </rPh>
    <rPh sb="11" eb="12">
      <t>ニン</t>
    </rPh>
    <phoneticPr fontId="5"/>
  </si>
  <si>
    <t>　 420人～　489人</t>
    <rPh sb="5" eb="6">
      <t>ニン</t>
    </rPh>
    <rPh sb="11" eb="12">
      <t>ニン</t>
    </rPh>
    <phoneticPr fontId="5"/>
  </si>
  <si>
    <t xml:space="preserve"> 　490人～　559人</t>
    <rPh sb="5" eb="6">
      <t>ニン</t>
    </rPh>
    <rPh sb="11" eb="12">
      <t>ニン</t>
    </rPh>
    <phoneticPr fontId="5"/>
  </si>
  <si>
    <t>　 560人～　629人</t>
    <rPh sb="5" eb="6">
      <t>ニン</t>
    </rPh>
    <rPh sb="11" eb="12">
      <t>ニン</t>
    </rPh>
    <phoneticPr fontId="5"/>
  </si>
  <si>
    <t>　 630人～　699人</t>
    <rPh sb="5" eb="6">
      <t>ニン</t>
    </rPh>
    <rPh sb="11" eb="12">
      <t>ニン</t>
    </rPh>
    <phoneticPr fontId="5"/>
  </si>
  <si>
    <t xml:space="preserve"> 　700人～　769人</t>
    <rPh sb="5" eb="6">
      <t>ニン</t>
    </rPh>
    <rPh sb="11" eb="12">
      <t>ニン</t>
    </rPh>
    <phoneticPr fontId="5"/>
  </si>
  <si>
    <t xml:space="preserve"> 　770人～　839人</t>
    <rPh sb="5" eb="6">
      <t>ニン</t>
    </rPh>
    <rPh sb="11" eb="12">
      <t>ニン</t>
    </rPh>
    <phoneticPr fontId="5"/>
  </si>
  <si>
    <t>　 840人～　909人</t>
    <rPh sb="5" eb="6">
      <t>ニン</t>
    </rPh>
    <rPh sb="11" eb="12">
      <t>ニン</t>
    </rPh>
    <phoneticPr fontId="5"/>
  </si>
  <si>
    <t xml:space="preserve"> 　910人～　979人</t>
    <rPh sb="5" eb="6">
      <t>ニン</t>
    </rPh>
    <rPh sb="11" eb="12">
      <t>ニン</t>
    </rPh>
    <phoneticPr fontId="5"/>
  </si>
  <si>
    <t>　 980人～1,049人</t>
    <rPh sb="5" eb="6">
      <t>ニン</t>
    </rPh>
    <rPh sb="12" eb="13">
      <t>ニン</t>
    </rPh>
    <phoneticPr fontId="5"/>
  </si>
  <si>
    <t xml:space="preserve"> 1,050人～</t>
    <rPh sb="6" eb="7">
      <t>ニン</t>
    </rPh>
    <phoneticPr fontId="5"/>
  </si>
  <si>
    <t xml:space="preserve"> 　　 ～　15人</t>
    <rPh sb="8" eb="9">
      <t>ニン</t>
    </rPh>
    <phoneticPr fontId="5"/>
  </si>
  <si>
    <t xml:space="preserve">  16人～　25人</t>
    <rPh sb="4" eb="5">
      <t>ニン</t>
    </rPh>
    <rPh sb="9" eb="10">
      <t>ニン</t>
    </rPh>
    <phoneticPr fontId="5"/>
  </si>
  <si>
    <t xml:space="preserve">  26人～　35人</t>
    <rPh sb="4" eb="5">
      <t>ニン</t>
    </rPh>
    <rPh sb="9" eb="10">
      <t>ニン</t>
    </rPh>
    <phoneticPr fontId="5"/>
  </si>
  <si>
    <t xml:space="preserve">  36人～　45人</t>
    <rPh sb="4" eb="5">
      <t>ニン</t>
    </rPh>
    <rPh sb="9" eb="10">
      <t>ニン</t>
    </rPh>
    <phoneticPr fontId="5"/>
  </si>
  <si>
    <t xml:space="preserve">  46人～　60人</t>
    <rPh sb="4" eb="5">
      <t>ニン</t>
    </rPh>
    <rPh sb="9" eb="10">
      <t>ニン</t>
    </rPh>
    <phoneticPr fontId="5"/>
  </si>
  <si>
    <t xml:space="preserve">  61人～　75人</t>
    <rPh sb="4" eb="5">
      <t>ニン</t>
    </rPh>
    <rPh sb="9" eb="10">
      <t>ニン</t>
    </rPh>
    <phoneticPr fontId="5"/>
  </si>
  <si>
    <t xml:space="preserve">  76人～　90人</t>
    <rPh sb="4" eb="5">
      <t>ニン</t>
    </rPh>
    <rPh sb="9" eb="10">
      <t>ニン</t>
    </rPh>
    <phoneticPr fontId="5"/>
  </si>
  <si>
    <t xml:space="preserve">  91人～ 105人</t>
    <rPh sb="4" eb="5">
      <t>ニン</t>
    </rPh>
    <rPh sb="10" eb="11">
      <t>ニン</t>
    </rPh>
    <phoneticPr fontId="5"/>
  </si>
  <si>
    <t xml:space="preserve"> 106人～ 120人</t>
    <rPh sb="4" eb="5">
      <t>ニン</t>
    </rPh>
    <rPh sb="10" eb="11">
      <t>ニン</t>
    </rPh>
    <phoneticPr fontId="5"/>
  </si>
  <si>
    <t xml:space="preserve"> 121人～ 135人</t>
    <rPh sb="4" eb="5">
      <t>ニン</t>
    </rPh>
    <rPh sb="10" eb="11">
      <t>ニン</t>
    </rPh>
    <phoneticPr fontId="5"/>
  </si>
  <si>
    <t xml:space="preserve"> 136人～ 150人</t>
    <rPh sb="4" eb="5">
      <t>ニン</t>
    </rPh>
    <rPh sb="10" eb="11">
      <t>ニン</t>
    </rPh>
    <phoneticPr fontId="5"/>
  </si>
  <si>
    <t xml:space="preserve"> 151人～ 180人</t>
    <rPh sb="4" eb="5">
      <t>ニン</t>
    </rPh>
    <rPh sb="10" eb="11">
      <t>ニン</t>
    </rPh>
    <phoneticPr fontId="5"/>
  </si>
  <si>
    <t xml:space="preserve"> 181人～ 210人</t>
    <rPh sb="4" eb="5">
      <t>ニン</t>
    </rPh>
    <rPh sb="10" eb="11">
      <t>ニン</t>
    </rPh>
    <phoneticPr fontId="5"/>
  </si>
  <si>
    <t xml:space="preserve"> 211人～ 240人</t>
    <rPh sb="4" eb="5">
      <t>ニン</t>
    </rPh>
    <rPh sb="10" eb="11">
      <t>ニン</t>
    </rPh>
    <phoneticPr fontId="5"/>
  </si>
  <si>
    <t xml:space="preserve"> 241人～ 270人</t>
    <rPh sb="4" eb="5">
      <t>ニン</t>
    </rPh>
    <rPh sb="10" eb="11">
      <t>ニン</t>
    </rPh>
    <phoneticPr fontId="5"/>
  </si>
  <si>
    <t xml:space="preserve"> 271人～ 300人</t>
    <rPh sb="4" eb="5">
      <t>ニン</t>
    </rPh>
    <rPh sb="10" eb="11">
      <t>ニン</t>
    </rPh>
    <phoneticPr fontId="5"/>
  </si>
  <si>
    <t xml:space="preserve"> 301人～</t>
    <rPh sb="4" eb="5">
      <t>ニン</t>
    </rPh>
    <phoneticPr fontId="5"/>
  </si>
  <si>
    <t>日数(月)</t>
    <rPh sb="0" eb="2">
      <t>ニッスウ</t>
    </rPh>
    <rPh sb="3" eb="4">
      <t>ツキ</t>
    </rPh>
    <phoneticPr fontId="1"/>
  </si>
  <si>
    <t>日数(週)</t>
    <rPh sb="0" eb="2">
      <t>ニッスウ</t>
    </rPh>
    <rPh sb="3" eb="4">
      <t>シュウ</t>
    </rPh>
    <phoneticPr fontId="1"/>
  </si>
  <si>
    <t>①</t>
    <phoneticPr fontId="1"/>
  </si>
  <si>
    <t>③</t>
    <phoneticPr fontId="1"/>
  </si>
  <si>
    <t>④</t>
    <phoneticPr fontId="1"/>
  </si>
  <si>
    <t>②</t>
    <phoneticPr fontId="1"/>
  </si>
  <si>
    <t>その他市区町村長が必要と認める書類</t>
  </si>
  <si>
    <t>その他市区町村長が必要と認める書類</t>
    <phoneticPr fontId="1"/>
  </si>
  <si>
    <t>(精算が必要な場合のみ記載)</t>
    <rPh sb="1" eb="3">
      <t>セイサン</t>
    </rPh>
    <rPh sb="4" eb="6">
      <t>ヒツヨウ</t>
    </rPh>
    <rPh sb="7" eb="9">
      <t>バアイ</t>
    </rPh>
    <rPh sb="11" eb="13">
      <t>キサイ</t>
    </rPh>
    <phoneticPr fontId="1"/>
  </si>
  <si>
    <t>保育料</t>
    <rPh sb="0" eb="3">
      <t>ホイクリョウ</t>
    </rPh>
    <phoneticPr fontId="1"/>
  </si>
  <si>
    <t>記入方法</t>
    <rPh sb="0" eb="2">
      <t>キニュウ</t>
    </rPh>
    <rPh sb="2" eb="4">
      <t>ホウホウ</t>
    </rPh>
    <phoneticPr fontId="1"/>
  </si>
  <si>
    <t>２つのシート（請求書及び在籍児童一覧）の色付きセルに必要事項を記入すると、金額が自動計算されます。</t>
    <rPh sb="7" eb="10">
      <t>セイキュウショ</t>
    </rPh>
    <rPh sb="10" eb="11">
      <t>オヨ</t>
    </rPh>
    <rPh sb="12" eb="14">
      <t>ザイセキ</t>
    </rPh>
    <rPh sb="14" eb="16">
      <t>ジドウ</t>
    </rPh>
    <rPh sb="16" eb="18">
      <t>イチラン</t>
    </rPh>
    <rPh sb="20" eb="22">
      <t>イロツ</t>
    </rPh>
    <rPh sb="26" eb="28">
      <t>ヒツヨウ</t>
    </rPh>
    <rPh sb="28" eb="30">
      <t>ジコウ</t>
    </rPh>
    <rPh sb="31" eb="33">
      <t>キニュウ</t>
    </rPh>
    <rPh sb="37" eb="39">
      <t>キンガク</t>
    </rPh>
    <rPh sb="40" eb="42">
      <t>ジドウ</t>
    </rPh>
    <rPh sb="42" eb="44">
      <t>ケイサン</t>
    </rPh>
    <phoneticPr fontId="1"/>
  </si>
  <si>
    <t>＜請求書について＞</t>
    <rPh sb="1" eb="4">
      <t>セイキュウショ</t>
    </rPh>
    <phoneticPr fontId="1"/>
  </si>
  <si>
    <t>複数月分の請求書を1枚にまとめて作成する場合、請求期間内に園全体での在籍児童数・加算項目の変動があると正しい金額になりません。</t>
    <rPh sb="0" eb="2">
      <t>フクスウ</t>
    </rPh>
    <rPh sb="2" eb="3">
      <t>ツキ</t>
    </rPh>
    <rPh sb="3" eb="4">
      <t>ブン</t>
    </rPh>
    <rPh sb="5" eb="8">
      <t>セイキュウショ</t>
    </rPh>
    <rPh sb="10" eb="11">
      <t>マイ</t>
    </rPh>
    <rPh sb="16" eb="18">
      <t>サクセイ</t>
    </rPh>
    <rPh sb="20" eb="22">
      <t>バアイ</t>
    </rPh>
    <rPh sb="23" eb="25">
      <t>セイキュウ</t>
    </rPh>
    <rPh sb="25" eb="27">
      <t>キカン</t>
    </rPh>
    <rPh sb="27" eb="28">
      <t>ナイ</t>
    </rPh>
    <rPh sb="29" eb="30">
      <t>エン</t>
    </rPh>
    <rPh sb="30" eb="32">
      <t>ゼンタイ</t>
    </rPh>
    <rPh sb="34" eb="36">
      <t>ザイセキ</t>
    </rPh>
    <rPh sb="36" eb="38">
      <t>ジドウ</t>
    </rPh>
    <rPh sb="38" eb="39">
      <t>スウ</t>
    </rPh>
    <rPh sb="40" eb="42">
      <t>カサン</t>
    </rPh>
    <rPh sb="42" eb="44">
      <t>コウモク</t>
    </rPh>
    <rPh sb="45" eb="47">
      <t>ヘンドウ</t>
    </rPh>
    <rPh sb="51" eb="52">
      <t>タダ</t>
    </rPh>
    <rPh sb="54" eb="56">
      <t>キンガク</t>
    </rPh>
    <phoneticPr fontId="1"/>
  </si>
  <si>
    <t>変動がある場合や、月途中入退所児童がいる場合は、ファイルを分けて各月分の請求書を作成してください。</t>
    <rPh sb="0" eb="2">
      <t>ヘンドウ</t>
    </rPh>
    <rPh sb="5" eb="7">
      <t>バアイ</t>
    </rPh>
    <rPh sb="9" eb="10">
      <t>ツキ</t>
    </rPh>
    <rPh sb="10" eb="12">
      <t>トチュウ</t>
    </rPh>
    <rPh sb="12" eb="13">
      <t>ニュウ</t>
    </rPh>
    <rPh sb="13" eb="15">
      <t>タイショ</t>
    </rPh>
    <rPh sb="15" eb="17">
      <t>ジドウ</t>
    </rPh>
    <rPh sb="20" eb="22">
      <t>バアイ</t>
    </rPh>
    <rPh sb="29" eb="30">
      <t>ワ</t>
    </rPh>
    <rPh sb="32" eb="34">
      <t>カクツキ</t>
    </rPh>
    <rPh sb="34" eb="35">
      <t>ブン</t>
    </rPh>
    <rPh sb="36" eb="39">
      <t>セイキュウショ</t>
    </rPh>
    <rPh sb="40" eb="42">
      <t>サクセイ</t>
    </rPh>
    <phoneticPr fontId="1"/>
  </si>
  <si>
    <t>＜在籍児童一覧について＞</t>
    <rPh sb="1" eb="3">
      <t>ザイセキ</t>
    </rPh>
    <rPh sb="3" eb="5">
      <t>ジドウ</t>
    </rPh>
    <rPh sb="5" eb="7">
      <t>イチラン</t>
    </rPh>
    <phoneticPr fontId="1"/>
  </si>
  <si>
    <t>在籍児童一覧の「年齢」及び「認定区分」が未記入の場合、自動計算がされません。必ず記入してください。</t>
    <rPh sb="0" eb="2">
      <t>ザイセキ</t>
    </rPh>
    <rPh sb="2" eb="4">
      <t>ジドウ</t>
    </rPh>
    <rPh sb="4" eb="6">
      <t>イチラン</t>
    </rPh>
    <rPh sb="8" eb="10">
      <t>ネンレイ</t>
    </rPh>
    <rPh sb="11" eb="12">
      <t>オヨ</t>
    </rPh>
    <rPh sb="14" eb="16">
      <t>ニンテイ</t>
    </rPh>
    <rPh sb="16" eb="18">
      <t>クブン</t>
    </rPh>
    <rPh sb="20" eb="23">
      <t>ミキニュウ</t>
    </rPh>
    <rPh sb="24" eb="26">
      <t>バアイ</t>
    </rPh>
    <rPh sb="27" eb="29">
      <t>ジドウ</t>
    </rPh>
    <rPh sb="29" eb="31">
      <t>ケイサン</t>
    </rPh>
    <rPh sb="38" eb="39">
      <t>カナラ</t>
    </rPh>
    <rPh sb="40" eb="42">
      <t>キニュウ</t>
    </rPh>
    <phoneticPr fontId="1"/>
  </si>
  <si>
    <t>副食費の徴収免除対象者がいる場合、副食費徴収免除加算の「対象の有無」の欄で〇を選択してください。</t>
    <rPh sb="0" eb="3">
      <t>フクショクヒ</t>
    </rPh>
    <rPh sb="4" eb="6">
      <t>チョウシュウ</t>
    </rPh>
    <rPh sb="6" eb="8">
      <t>メンジョ</t>
    </rPh>
    <rPh sb="8" eb="11">
      <t>タイショウシャ</t>
    </rPh>
    <rPh sb="14" eb="16">
      <t>バアイ</t>
    </rPh>
    <rPh sb="17" eb="20">
      <t>フクショクヒ</t>
    </rPh>
    <rPh sb="20" eb="22">
      <t>チョウシュウ</t>
    </rPh>
    <rPh sb="22" eb="24">
      <t>メンジョ</t>
    </rPh>
    <rPh sb="24" eb="26">
      <t>カサン</t>
    </rPh>
    <rPh sb="28" eb="30">
      <t>タイショウ</t>
    </rPh>
    <rPh sb="31" eb="33">
      <t>ウム</t>
    </rPh>
    <rPh sb="35" eb="36">
      <t>ラン</t>
    </rPh>
    <rPh sb="39" eb="41">
      <t>センタク</t>
    </rPh>
    <phoneticPr fontId="1"/>
  </si>
  <si>
    <t>月途中退所(入所)の児童がいた場合は、「月途中退所（入所）の有無」で○を選択し、下部の表の当てはまる欄に在籍中開所日数を記入してください。</t>
    <rPh sb="0" eb="1">
      <t>ツキ</t>
    </rPh>
    <rPh sb="1" eb="3">
      <t>トチュウ</t>
    </rPh>
    <rPh sb="3" eb="5">
      <t>タイショ</t>
    </rPh>
    <rPh sb="6" eb="8">
      <t>ニュウショ</t>
    </rPh>
    <rPh sb="10" eb="12">
      <t>ジドウ</t>
    </rPh>
    <rPh sb="15" eb="17">
      <t>バアイ</t>
    </rPh>
    <rPh sb="26" eb="28">
      <t>ニュウショ</t>
    </rPh>
    <rPh sb="36" eb="38">
      <t>センタク</t>
    </rPh>
    <rPh sb="40" eb="42">
      <t>カブ</t>
    </rPh>
    <rPh sb="43" eb="44">
      <t>ヒョウ</t>
    </rPh>
    <rPh sb="45" eb="46">
      <t>ア</t>
    </rPh>
    <rPh sb="50" eb="51">
      <t>ラン</t>
    </rPh>
    <rPh sb="52" eb="55">
      <t>ザイセキチュウ</t>
    </rPh>
    <rPh sb="55" eb="57">
      <t>カイショ</t>
    </rPh>
    <rPh sb="57" eb="59">
      <t>ニッスウ</t>
    </rPh>
    <rPh sb="60" eb="62">
      <t>キニュウ</t>
    </rPh>
    <phoneticPr fontId="1"/>
  </si>
  <si>
    <t>定員を恒常的に超過する場合の調整用</t>
    <rPh sb="0" eb="2">
      <t>テイイン</t>
    </rPh>
    <rPh sb="3" eb="6">
      <t>コウジョウテキ</t>
    </rPh>
    <rPh sb="7" eb="9">
      <t>チョウカ</t>
    </rPh>
    <rPh sb="11" eb="13">
      <t>バアイ</t>
    </rPh>
    <rPh sb="14" eb="16">
      <t>チョウセイ</t>
    </rPh>
    <rPh sb="16" eb="17">
      <t>ヨウ</t>
    </rPh>
    <phoneticPr fontId="1"/>
  </si>
  <si>
    <t>初日利用人数</t>
    <rPh sb="0" eb="2">
      <t>ショニチ</t>
    </rPh>
    <rPh sb="2" eb="4">
      <t>リヨウ</t>
    </rPh>
    <rPh sb="4" eb="6">
      <t>ニンズウ</t>
    </rPh>
    <phoneticPr fontId="1"/>
  </si>
  <si>
    <t>列数</t>
    <rPh sb="0" eb="2">
      <t>レツスウ</t>
    </rPh>
    <phoneticPr fontId="1"/>
  </si>
  <si>
    <t>'保育単価表③（定員を恒常的に超過する場合）'!E</t>
    <rPh sb="1" eb="3">
      <t>ホイク</t>
    </rPh>
    <rPh sb="3" eb="5">
      <t>タンカ</t>
    </rPh>
    <rPh sb="5" eb="6">
      <t>ヒョウ</t>
    </rPh>
    <phoneticPr fontId="1"/>
  </si>
  <si>
    <t>定員を恒常的に超過する場合に係る別に定める調整率 　認定こども園（保育認定）</t>
  </si>
  <si>
    <t>地域
区分</t>
  </si>
  <si>
    <t>定員区分</t>
  </si>
  <si>
    <t>認定
区分</t>
  </si>
  <si>
    <t>年齢区分</t>
  </si>
  <si>
    <t>利用子ども数</t>
  </si>
  <si>
    <t>　10人
　　まで</t>
  </si>
  <si>
    <t>　11人
　　から
　20人
　　まで</t>
  </si>
  <si>
    <t>　21人
　　から
　30人
　　まで</t>
  </si>
  <si>
    <t>　31人
　　から
　40人
　　まで</t>
  </si>
  <si>
    <t>　41人
　　から
　50人
　　まで</t>
  </si>
  <si>
    <t>　51人
　　から
　60人
　　まで</t>
  </si>
  <si>
    <t>　61人
　　から
　70人
　　まで</t>
  </si>
  <si>
    <t>　71人
　　から
　80人
　　まで</t>
  </si>
  <si>
    <t>　81人
　　から
　90人
　　まで</t>
  </si>
  <si>
    <t>　91人
　　から
　100人
　　まで</t>
  </si>
  <si>
    <t>　101人
　　から
　110人
　　まで</t>
  </si>
  <si>
    <t>　111人
　　から
　120人
　　まで</t>
  </si>
  <si>
    <t>　121人
　　から
　130人
　　まで</t>
  </si>
  <si>
    <t>　131人
　　から
　140人
　　まで</t>
  </si>
  <si>
    <t>　141人
　　から
　150人
　　まで</t>
  </si>
  <si>
    <t>　151人
　　から
　160人
　　まで</t>
  </si>
  <si>
    <t>　161人
　　から
　170人
　　まで</t>
  </si>
  <si>
    <t>　171人
　　以上</t>
  </si>
  <si>
    <t xml:space="preserve">
　10人
　　まで</t>
  </si>
  <si>
    <t>2号</t>
  </si>
  <si>
    <t>４歳以上児</t>
  </si>
  <si>
    <t>３歳児</t>
  </si>
  <si>
    <t>3号</t>
  </si>
  <si>
    <t>１、２歳児</t>
  </si>
  <si>
    <t>乳児</t>
  </si>
  <si>
    <t xml:space="preserve">
　10人
　　まで</t>
  </si>
  <si>
    <t>　4１人
　　から
　50人
　　まで</t>
  </si>
  <si>
    <t>その他
地域</t>
  </si>
  <si>
    <t>定員を恒常的に超過する場合に係る別に定める調整率 　認定こども園（教育標準時間認定）</t>
  </si>
  <si>
    <t>15人
　まで</t>
  </si>
  <si>
    <t>16人
　から
25人
　まで</t>
  </si>
  <si>
    <t>26人
　から
35人
　まで</t>
  </si>
  <si>
    <t>36人
　から
45人
　まで</t>
  </si>
  <si>
    <t>46人
　から
60人
　まで</t>
  </si>
  <si>
    <t>61人
　から
75人
　まで</t>
  </si>
  <si>
    <t>76人
　から
90人
　まで</t>
  </si>
  <si>
    <t>91人
　から
105人
　まで</t>
  </si>
  <si>
    <t>106人
　から
120人
　まで</t>
  </si>
  <si>
    <t>121人
　から
135人
　まで</t>
  </si>
  <si>
    <t>136人
　から
150人
　まで</t>
  </si>
  <si>
    <t>151人
　から
180人
　まで</t>
  </si>
  <si>
    <t>181人
　から
210人
　まで</t>
  </si>
  <si>
    <t>211人
　から
240人
　まで</t>
  </si>
  <si>
    <t>241人
　から
270人
　まで</t>
  </si>
  <si>
    <t>271人
　から
300人
　まで</t>
  </si>
  <si>
    <t>301人
　以上</t>
  </si>
  <si>
    <t>　15人
　　まで</t>
  </si>
  <si>
    <t>1号</t>
  </si>
  <si>
    <t>　16人
　　から
　25人
　　まで</t>
  </si>
  <si>
    <t>　26人
　　から
　35人
　　まで</t>
  </si>
  <si>
    <t>　36人
　　から
　45人
　　まで</t>
  </si>
  <si>
    <t>　46人
　　から
　60人
　　まで</t>
  </si>
  <si>
    <t>　61人
　　から
　75人
　　まで</t>
  </si>
  <si>
    <t>　76人
　　から
　90人
　　まで</t>
  </si>
  <si>
    <t>　91人
　　から
　105人
　　まで</t>
  </si>
  <si>
    <t>　106人
　　から
　120人
　　まで</t>
  </si>
  <si>
    <t>　121人
　　から
　135人
　　まで</t>
  </si>
  <si>
    <t>　136人
　　から
　150人
　　まで</t>
  </si>
  <si>
    <t>　151人
　　から
　180人
　　まで</t>
  </si>
  <si>
    <t>　181人
　　から
　210人
　　まで</t>
  </si>
  <si>
    <t>　211人
　　から
　240人
　　まで</t>
  </si>
  <si>
    <t>　241人
　　から
　270人
　　まで</t>
  </si>
  <si>
    <t>　271人
　　から
　300人
　　まで</t>
  </si>
  <si>
    <t>その他地域</t>
  </si>
  <si>
    <t>債権者コード
(新座市で登録がある場合のみ記載)</t>
    <rPh sb="0" eb="3">
      <t>サイケンシャ</t>
    </rPh>
    <rPh sb="8" eb="11">
      <t>ニイザシ</t>
    </rPh>
    <rPh sb="12" eb="14">
      <t>トウロク</t>
    </rPh>
    <rPh sb="17" eb="19">
      <t>バアイ</t>
    </rPh>
    <rPh sb="21" eb="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</si>
</sst>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quot;円&quot;"/>
    <numFmt numFmtId="177" formatCode="#,##0_ &quot;人&quot;"/>
    <numFmt numFmtId="178" formatCode="#,##0;&quot;▲ &quot;#,##0"/>
    <numFmt numFmtId="179" formatCode="#,##0&quot;人&quot;"/>
    <numFmt numFmtId="180" formatCode="#&quot;月&quot;"/>
    <numFmt numFmtId="181" formatCode="#&quot;%&quot;"/>
    <numFmt numFmtId="182" formatCode="0.00_);[Red]\(0.00\)"/>
    <numFmt numFmtId="183" formatCode="#0&quot;日&quot;"/>
    <numFmt numFmtId="184" formatCode="#&quot;日&quot;"/>
    <numFmt numFmtId="185" formatCode="#,##0_ "/>
    <numFmt numFmtId="186" formatCode="#\ ?/100"/>
    <numFmt numFmtId="187" formatCode="\(#,###\)"/>
    <numFmt numFmtId="188" formatCode="#,##0_);\(#,##0\)"/>
    <numFmt numFmtId="189" formatCode="#,##0&quot;×加算率&quot;"/>
    <numFmt numFmtId="190" formatCode="#,##0&quot;÷３月初日の利用子ども数&quot;"/>
    <numFmt numFmtId="191" formatCode="#,##0&quot;（限度額）÷３月初日の利用子ども数&quot;"/>
    <numFmt numFmtId="192" formatCode="&quot;チーム保育加配加算（上限：&quot;0&quot;人）&quot;"/>
    <numFmt numFmtId="193" formatCode="#,##0.00&quot;人&quot;"/>
    <numFmt numFmtId="194" formatCode="0.00_ "/>
    <numFmt numFmtId="195" formatCode="#&quot;人&quot;"/>
    <numFmt numFmtId="196" formatCode="#0&quot;人&quot;"/>
    <numFmt numFmtId="197" formatCode="\(#,##0\)"/>
    <numFmt numFmtId="198" formatCode="#,##0&quot;×週当たり実施日数&quot;"/>
    <numFmt numFmtId="199" formatCode="#,##0\×&quot;加&quot;&quot;算&quot;&quot;率&quot;"/>
    <numFmt numFmtId="200" formatCode="&quot;×&quot;#\ ?/100"/>
    <numFmt numFmtId="201" formatCode="#,##0&quot;×加配人数&quot;"/>
    <numFmt numFmtId="202" formatCode="##,###&quot;×加配人数&quot;"/>
    <numFmt numFmtId="203" formatCode="#&quot;か月分&quot;"/>
  </numFmts>
  <fonts count="39">
    <font>
      <sz val="11"/>
      <color theme="1"/>
      <name val="游ゴシック"/>
      <family val="2"/>
      <charset val="128"/>
      <scheme val="minor"/>
    </font>
    <font>
      <sz val="6"/>
      <name val="游ゴシック"/>
      <family val="2"/>
      <charset val="128"/>
      <scheme val="minor"/>
    </font>
    <font>
      <sz val="11"/>
      <name val="明朝"/>
      <family val="3"/>
      <charset val="128"/>
    </font>
    <font>
      <sz val="6"/>
      <name val="ＭＳ Ｐゴシック"/>
      <family val="3"/>
      <charset val="128"/>
    </font>
    <font>
      <sz val="11"/>
      <name val="ＭＳ Ｐ明朝"/>
      <family val="1"/>
      <charset val="128"/>
    </font>
    <font>
      <sz val="10"/>
      <color rgb="FF000000"/>
      <name val="Times New Roman"/>
      <family val="1"/>
    </font>
    <font>
      <sz val="11"/>
      <color theme="1"/>
      <name val="游ゴシック"/>
      <family val="2"/>
      <charset val="128"/>
      <scheme val="minor"/>
    </font>
    <font>
      <sz val="11"/>
      <name val="游ゴシック"/>
      <family val="2"/>
      <charset val="128"/>
      <scheme val="minor"/>
    </font>
    <font>
      <sz val="14"/>
      <name val="ＭＳ Ｐ明朝"/>
      <family val="1"/>
      <charset val="128"/>
    </font>
    <font>
      <sz val="11"/>
      <color theme="1"/>
      <name val="游ゴシック"/>
      <family val="3"/>
      <charset val="128"/>
      <scheme val="minor"/>
    </font>
    <font>
      <sz val="10"/>
      <name val="HGｺﾞｼｯｸM"/>
      <family val="3"/>
      <charset val="128"/>
    </font>
    <font>
      <sz val="6"/>
      <name val="游ゴシック"/>
      <family val="3"/>
      <charset val="128"/>
      <scheme val="minor"/>
    </font>
    <font>
      <b/>
      <sz val="16"/>
      <name val="HGｺﾞｼｯｸM"/>
      <family val="3"/>
      <charset val="128"/>
    </font>
    <font>
      <sz val="6"/>
      <name val="明朝"/>
      <family val="3"/>
      <charset val="128"/>
    </font>
    <font>
      <sz val="11"/>
      <name val="HGｺﾞｼｯｸM"/>
      <family val="3"/>
      <charset val="128"/>
    </font>
    <font>
      <vertAlign val="superscript"/>
      <sz val="11"/>
      <name val="HGｺﾞｼｯｸM"/>
      <family val="3"/>
      <charset val="128"/>
    </font>
    <font>
      <sz val="11"/>
      <name val="Verdana"/>
      <family val="2"/>
    </font>
    <font>
      <sz val="11"/>
      <name val="ＭＳ Ｐゴシック"/>
      <family val="3"/>
      <charset val="128"/>
    </font>
    <font>
      <sz val="11"/>
      <color indexed="8"/>
      <name val="ＭＳ Ｐゴシック"/>
      <family val="3"/>
      <charset val="128"/>
    </font>
    <font>
      <sz val="11"/>
      <color theme="1"/>
      <name val="游ゴシック"/>
      <family val="3"/>
      <charset val="128"/>
    </font>
    <font>
      <sz val="11"/>
      <name val="游ゴシック"/>
      <family val="3"/>
      <charset val="128"/>
    </font>
    <font>
      <sz val="11"/>
      <color indexed="8"/>
      <name val="游ゴシック"/>
      <family val="3"/>
      <charset val="128"/>
    </font>
    <font>
      <sz val="11"/>
      <name val="游ゴシック"/>
      <family val="3"/>
      <charset val="128"/>
      <scheme val="minor"/>
    </font>
    <font>
      <sz val="9"/>
      <color theme="1"/>
      <name val="游ゴシック"/>
      <family val="3"/>
      <charset val="128"/>
      <scheme val="minor"/>
    </font>
    <font>
      <sz val="9"/>
      <name val="游ゴシック"/>
      <family val="3"/>
      <charset val="128"/>
      <scheme val="minor"/>
    </font>
    <font>
      <sz val="12"/>
      <name val="HGｺﾞｼｯｸM"/>
      <family val="3"/>
      <charset val="128"/>
    </font>
    <font>
      <sz val="8"/>
      <name val="HGｺﾞｼｯｸM"/>
      <family val="3"/>
      <charset val="128"/>
    </font>
    <font>
      <sz val="11"/>
      <name val="BIZ UDP明朝 Medium"/>
      <family val="1"/>
      <charset val="128"/>
    </font>
    <font>
      <sz val="14"/>
      <name val="BIZ UDP明朝 Medium"/>
      <family val="1"/>
      <charset val="128"/>
    </font>
    <font>
      <strike/>
      <sz val="11"/>
      <name val="BIZ UDP明朝 Medium"/>
      <family val="1"/>
      <charset val="128"/>
    </font>
    <font>
      <sz val="10"/>
      <name val="BIZ UDP明朝 Medium"/>
      <family val="1"/>
      <charset val="128"/>
    </font>
    <font>
      <sz val="9"/>
      <name val="BIZ UDP明朝 Medium"/>
      <family val="1"/>
      <charset val="128"/>
    </font>
    <font>
      <b/>
      <sz val="12"/>
      <name val="BIZ UDP明朝 Medium"/>
      <family val="1"/>
      <charset val="128"/>
    </font>
    <font>
      <b/>
      <sz val="11"/>
      <name val="BIZ UDP明朝 Medium"/>
      <family val="1"/>
      <charset val="128"/>
    </font>
    <font>
      <b/>
      <sz val="14"/>
      <color theme="1"/>
      <name val="BIZ UDP明朝 Medium"/>
      <family val="1"/>
      <charset val="128"/>
    </font>
    <font>
      <sz val="11"/>
      <color theme="1"/>
      <name val="BIZ UDP明朝 Medium"/>
      <family val="1"/>
      <charset val="128"/>
    </font>
    <font>
      <b/>
      <sz val="12"/>
      <color theme="1"/>
      <name val="BIZ UDP明朝 Medium"/>
      <family val="1"/>
      <charset val="128"/>
    </font>
    <font>
      <sz val="12"/>
      <name val="BIZ UDP明朝 Medium"/>
      <family val="1"/>
      <charset val="128"/>
    </font>
    <font>
      <sz val="8"/>
      <name val="BIZ UDP明朝 Medium"/>
      <family val="1"/>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24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style="thin">
        <color theme="1"/>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right/>
      <top style="thin">
        <color auto="1"/>
      </top>
      <bottom style="thin">
        <color theme="1"/>
      </bottom>
      <diagonal/>
    </border>
    <border>
      <left/>
      <right style="thin">
        <color auto="1"/>
      </right>
      <top style="thin">
        <color theme="1"/>
      </top>
      <bottom/>
      <diagonal/>
    </border>
    <border>
      <left style="thin">
        <color auto="1"/>
      </left>
      <right/>
      <top style="thin">
        <color theme="1"/>
      </top>
      <bottom/>
      <diagonal/>
    </border>
    <border diagonalDown="1">
      <left/>
      <right/>
      <top/>
      <bottom style="thin">
        <color theme="1"/>
      </bottom>
      <diagonal style="thin">
        <color theme="1"/>
      </diagonal>
    </border>
    <border>
      <left style="thin">
        <color auto="1"/>
      </left>
      <right/>
      <top/>
      <bottom style="thin">
        <color theme="1"/>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theme="1"/>
      </bottom>
      <diagonal/>
    </border>
    <border>
      <left/>
      <right/>
      <top style="hair">
        <color indexed="64"/>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auto="1"/>
      </top>
      <bottom style="thin">
        <color theme="1"/>
      </bottom>
      <diagonal/>
    </border>
    <border>
      <left style="thin">
        <color theme="1"/>
      </left>
      <right style="hair">
        <color auto="1"/>
      </right>
      <top/>
      <bottom style="thin">
        <color theme="1"/>
      </bottom>
      <diagonal/>
    </border>
    <border>
      <left/>
      <right style="thin">
        <color theme="1"/>
      </right>
      <top/>
      <bottom/>
      <diagonal/>
    </border>
    <border>
      <left style="thin">
        <color theme="1"/>
      </left>
      <right/>
      <top/>
      <bottom style="hair">
        <color indexed="64"/>
      </bottom>
      <diagonal/>
    </border>
    <border diagonalDown="1">
      <left style="thin">
        <color theme="1"/>
      </left>
      <right/>
      <top/>
      <bottom/>
      <diagonal style="thin">
        <color theme="1"/>
      </diagonal>
    </border>
    <border diagonalDown="1">
      <left/>
      <right/>
      <top/>
      <bottom/>
      <diagonal style="thin">
        <color theme="1"/>
      </diagonal>
    </border>
    <border diagonalDown="1">
      <left style="thin">
        <color theme="1"/>
      </left>
      <right/>
      <top/>
      <bottom style="thin">
        <color indexed="64"/>
      </bottom>
      <diagonal style="thin">
        <color theme="1"/>
      </diagonal>
    </border>
    <border diagonalDown="1">
      <left/>
      <right/>
      <top/>
      <bottom style="thin">
        <color indexed="64"/>
      </bottom>
      <diagonal style="thin">
        <color theme="1"/>
      </diagonal>
    </border>
    <border>
      <left style="thin">
        <color theme="1"/>
      </left>
      <right/>
      <top/>
      <bottom style="thin">
        <color theme="1"/>
      </bottom>
      <diagonal/>
    </border>
    <border>
      <left/>
      <right style="thin">
        <color theme="1"/>
      </right>
      <top/>
      <bottom style="thin">
        <color theme="1"/>
      </bottom>
      <diagonal/>
    </border>
    <border>
      <left style="hair">
        <color theme="1"/>
      </left>
      <right/>
      <top style="hair">
        <color theme="1"/>
      </top>
      <bottom style="thin">
        <color auto="1"/>
      </bottom>
      <diagonal/>
    </border>
    <border>
      <left/>
      <right/>
      <top style="hair">
        <color theme="1"/>
      </top>
      <bottom style="thin">
        <color auto="1"/>
      </bottom>
      <diagonal/>
    </border>
    <border diagonalDown="1">
      <left/>
      <right/>
      <top style="thin">
        <color theme="1"/>
      </top>
      <bottom/>
      <diagonal style="thin">
        <color theme="1"/>
      </diagonal>
    </border>
    <border>
      <left style="thin">
        <color theme="1"/>
      </left>
      <right/>
      <top style="thin">
        <color auto="1"/>
      </top>
      <bottom/>
      <diagonal/>
    </border>
    <border>
      <left/>
      <right style="thin">
        <color theme="1"/>
      </right>
      <top style="thin">
        <color auto="1"/>
      </top>
      <bottom style="thin">
        <color theme="1"/>
      </bottom>
      <diagonal/>
    </border>
    <border>
      <left/>
      <right/>
      <top/>
      <bottom style="hair">
        <color indexed="64"/>
      </bottom>
      <diagonal/>
    </border>
    <border>
      <left/>
      <right style="thin">
        <color theme="1"/>
      </right>
      <top/>
      <bottom style="hair">
        <color indexed="64"/>
      </bottom>
      <diagonal/>
    </border>
    <border>
      <left style="thin">
        <color theme="1"/>
      </left>
      <right/>
      <top style="hair">
        <color auto="1"/>
      </top>
      <bottom style="thin">
        <color theme="1"/>
      </bottom>
      <diagonal/>
    </border>
    <border>
      <left/>
      <right style="thin">
        <color theme="1"/>
      </right>
      <top style="thin">
        <color theme="1"/>
      </top>
      <bottom style="thin">
        <color auto="1"/>
      </bottom>
      <diagonal/>
    </border>
    <border diagonalDown="1">
      <left style="thin">
        <color theme="1"/>
      </left>
      <right/>
      <top style="thin">
        <color theme="1"/>
      </top>
      <bottom/>
      <diagonal style="thin">
        <color theme="1"/>
      </diagonal>
    </border>
    <border diagonalDown="1">
      <left/>
      <right style="thin">
        <color theme="1"/>
      </right>
      <top style="thin">
        <color theme="1"/>
      </top>
      <bottom/>
      <diagonal style="thin">
        <color theme="1"/>
      </diagonal>
    </border>
    <border>
      <left style="thin">
        <color theme="1"/>
      </left>
      <right/>
      <top style="thin">
        <color theme="1"/>
      </top>
      <bottom style="hair">
        <color theme="1"/>
      </bottom>
      <diagonal/>
    </border>
    <border>
      <left/>
      <right style="thin">
        <color theme="1"/>
      </right>
      <top style="thin">
        <color theme="1"/>
      </top>
      <bottom style="hair">
        <color theme="1"/>
      </bottom>
      <diagonal/>
    </border>
    <border>
      <left style="thin">
        <color theme="1"/>
      </left>
      <right/>
      <top/>
      <bottom style="thin">
        <color auto="1"/>
      </bottom>
      <diagonal/>
    </border>
    <border>
      <left/>
      <right style="thin">
        <color theme="1"/>
      </right>
      <top/>
      <bottom style="thin">
        <color auto="1"/>
      </bottom>
      <diagonal/>
    </border>
    <border diagonalDown="1">
      <left/>
      <right style="thin">
        <color theme="1"/>
      </right>
      <top/>
      <bottom style="thin">
        <color auto="1"/>
      </bottom>
      <diagonal style="thin">
        <color theme="1"/>
      </diagonal>
    </border>
    <border>
      <left/>
      <right style="thin">
        <color theme="1"/>
      </right>
      <top style="thin">
        <color auto="1"/>
      </top>
      <bottom/>
      <diagonal/>
    </border>
    <border>
      <left style="thin">
        <color theme="1"/>
      </left>
      <right/>
      <top style="thin">
        <color auto="1"/>
      </top>
      <bottom style="hair">
        <color theme="1"/>
      </bottom>
      <diagonal/>
    </border>
    <border diagonalDown="1">
      <left/>
      <right style="thin">
        <color theme="1"/>
      </right>
      <top/>
      <bottom/>
      <diagonal style="thin">
        <color theme="1"/>
      </diagonal>
    </border>
    <border diagonalDown="1">
      <left style="thin">
        <color theme="1"/>
      </left>
      <right/>
      <top style="hair">
        <color theme="1"/>
      </top>
      <bottom/>
      <diagonal style="thin">
        <color theme="1"/>
      </diagonal>
    </border>
    <border diagonalDown="1">
      <left/>
      <right style="thin">
        <color theme="1"/>
      </right>
      <top style="hair">
        <color theme="1"/>
      </top>
      <bottom/>
      <diagonal style="thin">
        <color theme="1"/>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bottom style="hair">
        <color theme="1"/>
      </bottom>
      <diagonal/>
    </border>
    <border>
      <left/>
      <right style="thin">
        <color theme="1"/>
      </right>
      <top/>
      <bottom style="hair">
        <color theme="1"/>
      </bottom>
      <diagonal/>
    </border>
    <border>
      <left style="thin">
        <color theme="1"/>
      </left>
      <right/>
      <top style="hair">
        <color theme="1"/>
      </top>
      <bottom/>
      <diagonal/>
    </border>
    <border>
      <left/>
      <right style="thin">
        <color theme="1"/>
      </right>
      <top style="hair">
        <color theme="1"/>
      </top>
      <bottom/>
      <diagonal/>
    </border>
    <border diagonalDown="1">
      <left/>
      <right/>
      <top style="hair">
        <color theme="1"/>
      </top>
      <bottom/>
      <diagonal style="thin">
        <color theme="1"/>
      </diagonal>
    </border>
    <border>
      <left/>
      <right/>
      <top style="thin">
        <color theme="1"/>
      </top>
      <bottom style="hair">
        <color theme="1"/>
      </bottom>
      <diagonal/>
    </border>
    <border>
      <left style="thin">
        <color theme="1"/>
      </left>
      <right/>
      <top style="hair">
        <color theme="1"/>
      </top>
      <bottom style="thin">
        <color auto="1"/>
      </bottom>
      <diagonal/>
    </border>
    <border>
      <left/>
      <right style="thin">
        <color theme="1"/>
      </right>
      <top style="hair">
        <color theme="1"/>
      </top>
      <bottom style="thin">
        <color auto="1"/>
      </bottom>
      <diagonal/>
    </border>
    <border>
      <left/>
      <right style="thin">
        <color theme="1"/>
      </right>
      <top style="thin">
        <color auto="1"/>
      </top>
      <bottom style="hair">
        <color theme="1"/>
      </bottom>
      <diagonal/>
    </border>
    <border>
      <left/>
      <right style="hair">
        <color theme="1"/>
      </right>
      <top/>
      <bottom/>
      <diagonal/>
    </border>
    <border>
      <left style="hair">
        <color theme="1"/>
      </left>
      <right/>
      <top style="hair">
        <color theme="1"/>
      </top>
      <bottom style="hair">
        <color theme="1"/>
      </bottom>
      <diagonal/>
    </border>
    <border>
      <left/>
      <right style="hair">
        <color theme="1"/>
      </right>
      <top/>
      <bottom style="thin">
        <color auto="1"/>
      </bottom>
      <diagonal/>
    </border>
    <border>
      <left style="hair">
        <color theme="1"/>
      </left>
      <right/>
      <top/>
      <bottom style="thin">
        <color theme="1"/>
      </bottom>
      <diagonal/>
    </border>
    <border diagonalDown="1">
      <left style="thin">
        <color theme="1"/>
      </left>
      <right/>
      <top/>
      <bottom style="thin">
        <color theme="1"/>
      </bottom>
      <diagonal style="thin">
        <color theme="1"/>
      </diagonal>
    </border>
    <border diagonalDown="1">
      <left/>
      <right style="thin">
        <color theme="1"/>
      </right>
      <top/>
      <bottom style="thin">
        <color theme="1"/>
      </bottom>
      <diagonal style="thin">
        <color theme="1"/>
      </diagonal>
    </border>
    <border>
      <left/>
      <right/>
      <top/>
      <bottom style="hair">
        <color theme="1"/>
      </bottom>
      <diagonal/>
    </border>
    <border>
      <left style="thin">
        <color theme="1"/>
      </left>
      <right/>
      <top style="hair">
        <color theme="1"/>
      </top>
      <bottom style="hair">
        <color auto="1"/>
      </bottom>
      <diagonal/>
    </border>
    <border>
      <left/>
      <right/>
      <top style="hair">
        <color theme="1"/>
      </top>
      <bottom style="hair">
        <color auto="1"/>
      </bottom>
      <diagonal/>
    </border>
    <border>
      <left/>
      <right style="thin">
        <color theme="1"/>
      </right>
      <top style="hair">
        <color theme="1"/>
      </top>
      <bottom style="hair">
        <color auto="1"/>
      </bottom>
      <diagonal/>
    </border>
    <border>
      <left/>
      <right/>
      <top style="hair">
        <color theme="1"/>
      </top>
      <bottom/>
      <diagonal/>
    </border>
    <border diagonalDown="1">
      <left style="thin">
        <color theme="1"/>
      </left>
      <right/>
      <top style="hair">
        <color theme="1"/>
      </top>
      <bottom style="thin">
        <color theme="1"/>
      </bottom>
      <diagonal style="thin">
        <color theme="1"/>
      </diagonal>
    </border>
    <border diagonalDown="1">
      <left/>
      <right style="thin">
        <color theme="1"/>
      </right>
      <top style="hair">
        <color theme="1"/>
      </top>
      <bottom style="thin">
        <color theme="1"/>
      </bottom>
      <diagonal style="thin">
        <color theme="1"/>
      </diagonal>
    </border>
    <border>
      <left style="thin">
        <color theme="1"/>
      </left>
      <right/>
      <top style="hair">
        <color theme="1"/>
      </top>
      <bottom style="thin">
        <color theme="1"/>
      </bottom>
      <diagonal/>
    </border>
    <border>
      <left/>
      <right style="thin">
        <color theme="1"/>
      </right>
      <top style="hair">
        <color theme="1"/>
      </top>
      <bottom style="thin">
        <color theme="1"/>
      </bottom>
      <diagonal/>
    </border>
    <border diagonalDown="1">
      <left/>
      <right/>
      <top style="hair">
        <color theme="1"/>
      </top>
      <bottom style="thin">
        <color theme="1"/>
      </bottom>
      <diagonal style="thin">
        <color theme="1"/>
      </diagonal>
    </border>
    <border>
      <left style="thin">
        <color theme="1"/>
      </left>
      <right style="hair">
        <color auto="1"/>
      </right>
      <top/>
      <bottom style="thin">
        <color auto="1"/>
      </bottom>
      <diagonal/>
    </border>
    <border>
      <left style="hair">
        <color auto="1"/>
      </left>
      <right/>
      <top style="hair">
        <color theme="1"/>
      </top>
      <bottom style="thin">
        <color auto="1"/>
      </bottom>
      <diagonal/>
    </border>
    <border>
      <left style="thin">
        <color theme="1"/>
      </left>
      <right/>
      <top style="hair">
        <color auto="1"/>
      </top>
      <bottom style="hair">
        <color theme="1"/>
      </bottom>
      <diagonal/>
    </border>
    <border>
      <left/>
      <right style="thin">
        <color theme="1"/>
      </right>
      <top style="hair">
        <color indexed="64"/>
      </top>
      <bottom style="hair">
        <color theme="1"/>
      </bottom>
      <diagonal/>
    </border>
    <border>
      <left style="hair">
        <color auto="1"/>
      </left>
      <right/>
      <top style="hair">
        <color theme="1"/>
      </top>
      <bottom style="thin">
        <color theme="1"/>
      </bottom>
      <diagonal/>
    </border>
    <border>
      <left/>
      <right/>
      <top style="hair">
        <color indexed="64"/>
      </top>
      <bottom style="hair">
        <color theme="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right style="thin">
        <color auto="1"/>
      </right>
      <top style="hair">
        <color theme="1"/>
      </top>
      <bottom style="hair">
        <color theme="1"/>
      </bottom>
      <diagonal/>
    </border>
    <border>
      <left/>
      <right style="thin">
        <color auto="1"/>
      </right>
      <top/>
      <bottom style="hair">
        <color theme="1"/>
      </bottom>
      <diagonal/>
    </border>
    <border>
      <left style="thin">
        <color theme="1"/>
      </left>
      <right style="thin">
        <color theme="1"/>
      </right>
      <top style="thin">
        <color theme="1"/>
      </top>
      <bottom style="thin">
        <color auto="1"/>
      </bottom>
      <diagonal/>
    </border>
    <border>
      <left/>
      <right style="thin">
        <color auto="1"/>
      </right>
      <top/>
      <bottom style="thin">
        <color theme="1"/>
      </bottom>
      <diagonal/>
    </border>
    <border>
      <left style="thin">
        <color theme="1"/>
      </left>
      <right style="hair">
        <color auto="1"/>
      </right>
      <top/>
      <bottom style="hair">
        <color theme="1"/>
      </bottom>
      <diagonal/>
    </border>
    <border>
      <left style="hair">
        <color auto="1"/>
      </left>
      <right/>
      <top style="hair">
        <color theme="1"/>
      </top>
      <bottom/>
      <diagonal/>
    </border>
    <border>
      <left style="hair">
        <color auto="1"/>
      </left>
      <right/>
      <top style="hair">
        <color theme="1"/>
      </top>
      <bottom style="hair">
        <color theme="1"/>
      </bottom>
      <diagonal/>
    </border>
    <border>
      <left style="thin">
        <color auto="1"/>
      </left>
      <right/>
      <top/>
      <bottom style="hair">
        <color theme="1"/>
      </bottom>
      <diagonal/>
    </border>
    <border>
      <left style="thin">
        <color auto="1"/>
      </left>
      <right/>
      <top/>
      <bottom style="hair">
        <color auto="1"/>
      </bottom>
      <diagonal/>
    </border>
    <border>
      <left/>
      <right style="thin">
        <color auto="1"/>
      </right>
      <top style="thin">
        <color theme="1"/>
      </top>
      <bottom style="hair">
        <color theme="1"/>
      </bottom>
      <diagonal/>
    </border>
    <border diagonalDown="1">
      <left/>
      <right style="thin">
        <color indexed="64"/>
      </right>
      <top style="thin">
        <color theme="1"/>
      </top>
      <bottom/>
      <diagonal style="thin">
        <color theme="1"/>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thin">
        <color theme="1"/>
      </right>
      <top style="thin">
        <color indexed="64"/>
      </top>
      <bottom style="hair">
        <color indexed="64"/>
      </bottom>
      <diagonal/>
    </border>
    <border diagonalDown="1">
      <left/>
      <right style="thin">
        <color auto="1"/>
      </right>
      <top/>
      <bottom style="thin">
        <color auto="1"/>
      </bottom>
      <diagonal style="thin">
        <color theme="1"/>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thin">
        <color auto="1"/>
      </right>
      <top style="thin">
        <color auto="1"/>
      </top>
      <bottom style="hair">
        <color theme="1"/>
      </bottom>
      <diagonal/>
    </border>
    <border>
      <left style="thin">
        <color auto="1"/>
      </left>
      <right/>
      <top style="thin">
        <color auto="1"/>
      </top>
      <bottom style="hair">
        <color theme="1"/>
      </bottom>
      <diagonal/>
    </border>
    <border>
      <left/>
      <right/>
      <top style="thin">
        <color auto="1"/>
      </top>
      <bottom style="hair">
        <color theme="1"/>
      </bottom>
      <diagonal/>
    </border>
    <border diagonalDown="1">
      <left style="thin">
        <color theme="1"/>
      </left>
      <right/>
      <top style="thin">
        <color auto="1"/>
      </top>
      <bottom style="hair">
        <color theme="1"/>
      </bottom>
      <diagonal style="thin">
        <color theme="1"/>
      </diagonal>
    </border>
    <border diagonalDown="1">
      <left/>
      <right/>
      <top style="thin">
        <color auto="1"/>
      </top>
      <bottom style="hair">
        <color theme="1"/>
      </bottom>
      <diagonal style="thin">
        <color theme="1"/>
      </diagonal>
    </border>
    <border diagonalDown="1">
      <left/>
      <right style="thin">
        <color theme="1"/>
      </right>
      <top style="thin">
        <color auto="1"/>
      </top>
      <bottom style="hair">
        <color theme="1"/>
      </bottom>
      <diagonal style="thin">
        <color theme="1"/>
      </diagonal>
    </border>
    <border diagonalDown="1">
      <left style="thin">
        <color theme="1"/>
      </left>
      <right/>
      <top/>
      <bottom style="hair">
        <color theme="1"/>
      </bottom>
      <diagonal style="thin">
        <color theme="1"/>
      </diagonal>
    </border>
    <border diagonalDown="1">
      <left/>
      <right style="thin">
        <color theme="1"/>
      </right>
      <top/>
      <bottom style="hair">
        <color theme="1"/>
      </bottom>
      <diagonal style="thin">
        <color theme="1"/>
      </diagonal>
    </border>
    <border diagonalDown="1">
      <left style="thin">
        <color theme="1"/>
      </left>
      <right/>
      <top style="thin">
        <color auto="1"/>
      </top>
      <bottom/>
      <diagonal style="thin">
        <color theme="1"/>
      </diagonal>
    </border>
    <border diagonalDown="1">
      <left/>
      <right/>
      <top style="thin">
        <color auto="1"/>
      </top>
      <bottom/>
      <diagonal style="thin">
        <color theme="1"/>
      </diagonal>
    </border>
    <border diagonalDown="1">
      <left style="thin">
        <color auto="1"/>
      </left>
      <right/>
      <top style="thin">
        <color indexed="64"/>
      </top>
      <bottom/>
      <diagonal style="thin">
        <color auto="1"/>
      </diagonal>
    </border>
    <border diagonalDown="1">
      <left/>
      <right/>
      <top style="thin">
        <color auto="1"/>
      </top>
      <bottom/>
      <diagonal style="thin">
        <color auto="1"/>
      </diagonal>
    </border>
    <border diagonalDown="1">
      <left/>
      <right style="thin">
        <color theme="1"/>
      </right>
      <top style="thin">
        <color auto="1"/>
      </top>
      <bottom/>
      <diagonal style="thin">
        <color auto="1"/>
      </diagonal>
    </border>
    <border>
      <left style="thin">
        <color auto="1"/>
      </left>
      <right/>
      <top style="hair">
        <color indexed="64"/>
      </top>
      <bottom style="hair">
        <color auto="1"/>
      </bottom>
      <diagonal/>
    </border>
    <border>
      <left/>
      <right/>
      <top style="hair">
        <color indexed="64"/>
      </top>
      <bottom style="hair">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theme="1"/>
      </right>
      <top/>
      <bottom/>
      <diagonal style="thin">
        <color auto="1"/>
      </diagonal>
    </border>
    <border diagonalDown="1">
      <left style="thin">
        <color auto="1"/>
      </left>
      <right/>
      <top/>
      <bottom style="thin">
        <color theme="1"/>
      </bottom>
      <diagonal style="thin">
        <color auto="1"/>
      </diagonal>
    </border>
    <border diagonalDown="1">
      <left/>
      <right/>
      <top/>
      <bottom style="thin">
        <color theme="1"/>
      </bottom>
      <diagonal style="thin">
        <color auto="1"/>
      </diagonal>
    </border>
    <border diagonalDown="1">
      <left/>
      <right style="thin">
        <color theme="1"/>
      </right>
      <top/>
      <bottom style="thin">
        <color theme="1"/>
      </bottom>
      <diagonal style="thin">
        <color auto="1"/>
      </diagonal>
    </border>
    <border diagonalDown="1">
      <left style="thin">
        <color theme="1"/>
      </left>
      <right/>
      <top style="hair">
        <color theme="1"/>
      </top>
      <bottom style="hair">
        <color theme="1"/>
      </bottom>
      <diagonal style="thin">
        <color theme="1"/>
      </diagonal>
    </border>
    <border diagonalDown="1">
      <left/>
      <right/>
      <top style="hair">
        <color theme="1"/>
      </top>
      <bottom style="hair">
        <color theme="1"/>
      </bottom>
      <diagonal style="thin">
        <color theme="1"/>
      </diagonal>
    </border>
    <border diagonalDown="1">
      <left/>
      <right style="thin">
        <color theme="1"/>
      </right>
      <top style="hair">
        <color theme="1"/>
      </top>
      <bottom style="hair">
        <color theme="1"/>
      </bottom>
      <diagonal style="thin">
        <color theme="1"/>
      </diagonal>
    </border>
    <border>
      <left style="hair">
        <color theme="1"/>
      </left>
      <right/>
      <top style="hair">
        <color theme="1"/>
      </top>
      <bottom/>
      <diagonal/>
    </border>
    <border>
      <left style="hair">
        <color theme="1"/>
      </left>
      <right/>
      <top/>
      <bottom style="hair">
        <color theme="1"/>
      </bottom>
      <diagonal/>
    </border>
    <border>
      <left style="thin">
        <color theme="1"/>
      </left>
      <right/>
      <top style="thin">
        <color auto="1"/>
      </top>
      <bottom style="hair">
        <color auto="1"/>
      </bottom>
      <diagonal/>
    </border>
    <border diagonalDown="1">
      <left style="thin">
        <color theme="1"/>
      </left>
      <right/>
      <top style="hair">
        <color indexed="64"/>
      </top>
      <bottom/>
      <diagonal style="thin">
        <color theme="1"/>
      </diagonal>
    </border>
    <border diagonalDown="1">
      <left/>
      <right style="thin">
        <color theme="1"/>
      </right>
      <top style="hair">
        <color indexed="64"/>
      </top>
      <bottom/>
      <diagonal style="thin">
        <color theme="1"/>
      </diagonal>
    </border>
    <border>
      <left style="thin">
        <color auto="1"/>
      </left>
      <right style="hair">
        <color theme="1"/>
      </right>
      <top/>
      <bottom/>
      <diagonal/>
    </border>
    <border>
      <left style="hair">
        <color theme="1"/>
      </left>
      <right/>
      <top style="hair">
        <color indexed="64"/>
      </top>
      <bottom/>
      <diagonal/>
    </border>
    <border>
      <left/>
      <right/>
      <top style="hair">
        <color indexed="64"/>
      </top>
      <bottom/>
      <diagonal/>
    </border>
    <border>
      <left/>
      <right style="thin">
        <color theme="1"/>
      </right>
      <top style="hair">
        <color indexed="64"/>
      </top>
      <bottom/>
      <diagonal/>
    </border>
    <border>
      <left style="hair">
        <color theme="1"/>
      </left>
      <right/>
      <top/>
      <bottom/>
      <diagonal/>
    </border>
    <border>
      <left style="thin">
        <color auto="1"/>
      </left>
      <right style="hair">
        <color theme="1"/>
      </right>
      <top/>
      <bottom style="thin">
        <color auto="1"/>
      </bottom>
      <diagonal/>
    </border>
    <border>
      <left style="hair">
        <color theme="1"/>
      </left>
      <right/>
      <top/>
      <bottom style="thin">
        <color auto="1"/>
      </bottom>
      <diagonal/>
    </border>
    <border diagonalDown="1">
      <left/>
      <right style="thin">
        <color theme="1"/>
      </right>
      <top style="thin">
        <color auto="1"/>
      </top>
      <bottom/>
      <diagonal style="thin">
        <color theme="1"/>
      </diagonal>
    </border>
    <border diagonalDown="1">
      <left style="thin">
        <color theme="1"/>
      </left>
      <right/>
      <top/>
      <bottom/>
      <diagonal style="thin">
        <color auto="1"/>
      </diagonal>
    </border>
    <border diagonalDown="1">
      <left style="thin">
        <color theme="1"/>
      </left>
      <right/>
      <top/>
      <bottom style="thin">
        <color auto="1"/>
      </bottom>
      <diagonal style="thin">
        <color auto="1"/>
      </diagonal>
    </border>
    <border diagonalDown="1">
      <left/>
      <right/>
      <top/>
      <bottom style="thin">
        <color auto="1"/>
      </bottom>
      <diagonal style="thin">
        <color auto="1"/>
      </diagonal>
    </border>
    <border diagonalDown="1">
      <left/>
      <right style="thin">
        <color theme="1"/>
      </right>
      <top/>
      <bottom style="thin">
        <color auto="1"/>
      </bottom>
      <diagonal style="thin">
        <color auto="1"/>
      </diagonal>
    </border>
    <border>
      <left style="thin">
        <color auto="1"/>
      </left>
      <right/>
      <top style="thin">
        <color theme="1"/>
      </top>
      <bottom style="thin">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thin">
        <color auto="1"/>
      </top>
      <bottom style="hair">
        <color theme="1"/>
      </bottom>
      <diagonal/>
    </border>
    <border>
      <left style="thin">
        <color theme="1"/>
      </left>
      <right style="hair">
        <color theme="1"/>
      </right>
      <top/>
      <bottom/>
      <diagonal/>
    </border>
    <border>
      <left style="thin">
        <color theme="1"/>
      </left>
      <right style="hair">
        <color theme="1"/>
      </right>
      <top/>
      <bottom style="hair">
        <color theme="1"/>
      </bottom>
      <diagonal/>
    </border>
    <border>
      <left style="thin">
        <color theme="1"/>
      </left>
      <right style="thin">
        <color theme="1"/>
      </right>
      <top style="thin">
        <color auto="1"/>
      </top>
      <bottom/>
      <diagonal/>
    </border>
    <border>
      <left style="thin">
        <color theme="1"/>
      </left>
      <right style="thin">
        <color theme="1"/>
      </right>
      <top/>
      <bottom/>
      <diagonal/>
    </border>
    <border>
      <left style="thin">
        <color theme="1"/>
      </left>
      <right style="thin">
        <color theme="1"/>
      </right>
      <top style="thin">
        <color theme="1"/>
      </top>
      <bottom/>
      <diagonal/>
    </border>
    <border>
      <left/>
      <right style="hair">
        <color theme="1"/>
      </right>
      <top/>
      <bottom style="hair">
        <color theme="1"/>
      </bottom>
      <diagonal/>
    </border>
    <border>
      <left/>
      <right style="hair">
        <color auto="1"/>
      </right>
      <top/>
      <bottom style="thin">
        <color auto="1"/>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diagonalDown="1">
      <left style="thin">
        <color theme="1"/>
      </left>
      <right style="thin">
        <color theme="1"/>
      </right>
      <top style="hair">
        <color theme="1"/>
      </top>
      <bottom/>
      <diagonal style="thin">
        <color theme="1"/>
      </diagonal>
    </border>
    <border diagonalDown="1">
      <left style="thin">
        <color theme="1"/>
      </left>
      <right style="thin">
        <color theme="1"/>
      </right>
      <top/>
      <bottom/>
      <diagonal style="thin">
        <color theme="1"/>
      </diagonal>
    </border>
    <border diagonalDown="1">
      <left style="thin">
        <color theme="1"/>
      </left>
      <right style="thin">
        <color theme="1"/>
      </right>
      <top/>
      <bottom style="hair">
        <color theme="1"/>
      </bottom>
      <diagonal style="thin">
        <color theme="1"/>
      </diagonal>
    </border>
    <border>
      <left style="thin">
        <color theme="1"/>
      </left>
      <right style="thin">
        <color theme="1"/>
      </right>
      <top style="hair">
        <color theme="1"/>
      </top>
      <bottom style="hair">
        <color auto="1"/>
      </bottom>
      <diagonal/>
    </border>
    <border>
      <left style="thin">
        <color theme="1"/>
      </left>
      <right style="hair">
        <color theme="1"/>
      </right>
      <top/>
      <bottom style="thin">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diagonalDown="1">
      <left style="thin">
        <color theme="1"/>
      </left>
      <right style="thin">
        <color theme="1"/>
      </right>
      <top style="thin">
        <color theme="1"/>
      </top>
      <bottom/>
      <diagonal style="thin">
        <color theme="1"/>
      </diagonal>
    </border>
    <border>
      <left style="thin">
        <color theme="1"/>
      </left>
      <right/>
      <top style="hair">
        <color indexed="64"/>
      </top>
      <bottom/>
      <diagonal/>
    </border>
    <border>
      <left style="thin">
        <color theme="1"/>
      </left>
      <right style="hair">
        <color theme="1"/>
      </right>
      <top/>
      <bottom style="thin">
        <color auto="1"/>
      </bottom>
      <diagonal/>
    </border>
    <border>
      <left style="thin">
        <color indexed="64"/>
      </left>
      <right/>
      <top style="hair">
        <color theme="1"/>
      </top>
      <bottom/>
      <diagonal/>
    </border>
    <border>
      <left style="thin">
        <color indexed="64"/>
      </left>
      <right style="hair">
        <color auto="1"/>
      </right>
      <top/>
      <bottom style="thin">
        <color indexed="64"/>
      </bottom>
      <diagonal/>
    </border>
    <border>
      <left style="thin">
        <color theme="1"/>
      </left>
      <right style="thin">
        <color theme="1"/>
      </right>
      <top style="hair">
        <color theme="1"/>
      </top>
      <bottom/>
      <diagonal/>
    </border>
    <border diagonalDown="1">
      <left style="thin">
        <color theme="1"/>
      </left>
      <right style="thin">
        <color theme="1"/>
      </right>
      <top style="thin">
        <color indexed="64"/>
      </top>
      <bottom/>
      <diagonal style="thin">
        <color theme="1"/>
      </diagonal>
    </border>
    <border diagonalDown="1">
      <left style="thin">
        <color theme="1"/>
      </left>
      <right style="thin">
        <color theme="1"/>
      </right>
      <top/>
      <bottom style="thin">
        <color indexed="64"/>
      </bottom>
      <diagonal style="thin">
        <color theme="1"/>
      </diagonal>
    </border>
    <border>
      <left style="thin">
        <color theme="1"/>
      </left>
      <right style="thin">
        <color theme="1"/>
      </right>
      <top style="thin">
        <color auto="1"/>
      </top>
      <bottom style="hair">
        <color indexed="64"/>
      </bottom>
      <diagonal/>
    </border>
    <border>
      <left/>
      <right style="hair">
        <color theme="1"/>
      </right>
      <top/>
      <bottom style="thin">
        <color theme="1"/>
      </bottom>
      <diagonal/>
    </border>
    <border>
      <left/>
      <right style="hair">
        <color auto="1"/>
      </right>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thin">
        <color theme="1"/>
      </left>
      <right style="thin">
        <color theme="1"/>
      </right>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auto="1"/>
      </right>
      <top style="thin">
        <color theme="1"/>
      </top>
      <bottom style="thin">
        <color theme="1"/>
      </bottom>
      <diagonal/>
    </border>
    <border>
      <left style="thin">
        <color auto="1"/>
      </left>
      <right/>
      <top style="thin">
        <color theme="1"/>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auto="1"/>
      </left>
      <right/>
      <top/>
      <bottom style="thin">
        <color auto="1"/>
      </bottom>
      <diagonal/>
    </border>
    <border diagonalUp="1">
      <left style="thin">
        <color auto="1"/>
      </left>
      <right style="hair">
        <color auto="1"/>
      </right>
      <top style="thin">
        <color auto="1"/>
      </top>
      <bottom/>
      <diagonal style="hair">
        <color auto="1"/>
      </diagonal>
    </border>
    <border>
      <left style="hair">
        <color auto="1"/>
      </left>
      <right/>
      <top style="thin">
        <color auto="1"/>
      </top>
      <bottom/>
      <diagonal/>
    </border>
    <border diagonalUp="1">
      <left style="thin">
        <color auto="1"/>
      </left>
      <right style="hair">
        <color auto="1"/>
      </right>
      <top/>
      <bottom/>
      <diagonal style="hair">
        <color auto="1"/>
      </diagonal>
    </border>
    <border>
      <left style="hair">
        <color auto="1"/>
      </left>
      <right/>
      <top/>
      <bottom/>
      <diagonal/>
    </border>
    <border>
      <left style="thin">
        <color auto="1"/>
      </left>
      <right style="thin">
        <color auto="1"/>
      </right>
      <top style="hair">
        <color auto="1"/>
      </top>
      <bottom/>
      <diagonal/>
    </border>
    <border diagonalUp="1">
      <left style="thin">
        <color auto="1"/>
      </left>
      <right style="hair">
        <color auto="1"/>
      </right>
      <top/>
      <bottom style="thin">
        <color auto="1"/>
      </bottom>
      <diagonal style="hair">
        <color auto="1"/>
      </diagonal>
    </border>
    <border diagonalUp="1">
      <left style="thin">
        <color auto="1"/>
      </left>
      <right style="hair">
        <color auto="1"/>
      </right>
      <top style="thin">
        <color auto="1"/>
      </top>
      <bottom style="thin">
        <color auto="1"/>
      </bottom>
      <diagonal style="hair">
        <color auto="1"/>
      </diagonal>
    </border>
    <border diagonalUp="1">
      <left style="hair">
        <color auto="1"/>
      </left>
      <right style="hair">
        <color auto="1"/>
      </right>
      <top style="thin">
        <color auto="1"/>
      </top>
      <bottom style="thin">
        <color auto="1"/>
      </bottom>
      <diagonal style="hair">
        <color auto="1"/>
      </diagonal>
    </border>
    <border diagonalUp="1">
      <left style="hair">
        <color auto="1"/>
      </left>
      <right style="hair">
        <color auto="1"/>
      </right>
      <top style="thin">
        <color auto="1"/>
      </top>
      <bottom/>
      <diagonal style="hair">
        <color auto="1"/>
      </diagonal>
    </border>
    <border diagonalUp="1">
      <left style="hair">
        <color auto="1"/>
      </left>
      <right style="hair">
        <color auto="1"/>
      </right>
      <top/>
      <bottom/>
      <diagonal style="hair">
        <color auto="1"/>
      </diagonal>
    </border>
    <border diagonalUp="1">
      <left style="hair">
        <color auto="1"/>
      </left>
      <right style="hair">
        <color auto="1"/>
      </right>
      <top/>
      <bottom style="thin">
        <color auto="1"/>
      </bottom>
      <diagonal style="hair">
        <color auto="1"/>
      </diagonal>
    </border>
    <border diagonalUp="1">
      <left style="hair">
        <color auto="1"/>
      </left>
      <right/>
      <top style="thin">
        <color auto="1"/>
      </top>
      <bottom/>
      <diagonal style="hair">
        <color auto="1"/>
      </diagonal>
    </border>
    <border diagonalUp="1">
      <left style="hair">
        <color auto="1"/>
      </left>
      <right style="thin">
        <color auto="1"/>
      </right>
      <top style="thin">
        <color auto="1"/>
      </top>
      <bottom/>
      <diagonal style="hair">
        <color auto="1"/>
      </diagonal>
    </border>
    <border diagonalUp="1">
      <left style="hair">
        <color auto="1"/>
      </left>
      <right/>
      <top/>
      <bottom/>
      <diagonal style="hair">
        <color auto="1"/>
      </diagonal>
    </border>
    <border diagonalUp="1">
      <left style="hair">
        <color auto="1"/>
      </left>
      <right style="thin">
        <color auto="1"/>
      </right>
      <top/>
      <bottom/>
      <diagonal style="hair">
        <color auto="1"/>
      </diagonal>
    </border>
    <border diagonalUp="1">
      <left style="hair">
        <color auto="1"/>
      </left>
      <right/>
      <top/>
      <bottom style="thin">
        <color auto="1"/>
      </bottom>
      <diagonal style="hair">
        <color auto="1"/>
      </diagonal>
    </border>
    <border diagonalUp="1">
      <left style="hair">
        <color auto="1"/>
      </left>
      <right style="thin">
        <color auto="1"/>
      </right>
      <top/>
      <bottom style="thin">
        <color auto="1"/>
      </bottom>
      <diagonal style="hair">
        <color auto="1"/>
      </diagonal>
    </border>
  </borders>
  <cellStyleXfs count="15">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9" fillId="0" borderId="0">
      <alignment vertical="center"/>
    </xf>
    <xf numFmtId="0" fontId="2" fillId="0" borderId="0"/>
    <xf numFmtId="0" fontId="9" fillId="0" borderId="0">
      <alignment vertical="center"/>
    </xf>
    <xf numFmtId="0" fontId="17" fillId="0" borderId="0">
      <alignment vertical="center"/>
    </xf>
    <xf numFmtId="0" fontId="6" fillId="0" borderId="0">
      <alignment vertical="center"/>
    </xf>
    <xf numFmtId="0" fontId="2" fillId="0" borderId="0"/>
    <xf numFmtId="0" fontId="6" fillId="0" borderId="0">
      <alignment vertical="center"/>
    </xf>
    <xf numFmtId="0" fontId="6" fillId="0" borderId="0">
      <alignment vertical="center"/>
    </xf>
    <xf numFmtId="0" fontId="6" fillId="0" borderId="0">
      <alignment vertical="center"/>
    </xf>
  </cellStyleXfs>
  <cellXfs count="1721">
    <xf numFmtId="0" fontId="0" fillId="0" borderId="0" xfId="0">
      <alignment vertical="center"/>
    </xf>
    <xf numFmtId="0" fontId="9" fillId="0" borderId="0" xfId="6" applyAlignment="1">
      <alignment horizontal="center" vertical="center" wrapText="1"/>
    </xf>
    <xf numFmtId="0" fontId="9" fillId="0" borderId="0" xfId="6" applyAlignment="1">
      <alignment horizontal="center" vertical="center"/>
    </xf>
    <xf numFmtId="178" fontId="12" fillId="0" borderId="0" xfId="7" applyNumberFormat="1" applyFont="1" applyFill="1" applyBorder="1" applyAlignment="1">
      <alignment vertical="center"/>
    </xf>
    <xf numFmtId="178" fontId="14" fillId="0" borderId="0" xfId="7" applyNumberFormat="1" applyFont="1" applyFill="1" applyBorder="1" applyAlignment="1">
      <alignment vertical="center"/>
    </xf>
    <xf numFmtId="178" fontId="14" fillId="0" borderId="0" xfId="7" applyNumberFormat="1" applyFont="1" applyFill="1" applyAlignment="1">
      <alignment vertical="center"/>
    </xf>
    <xf numFmtId="0" fontId="14" fillId="0" borderId="4" xfId="7" applyFont="1" applyFill="1" applyBorder="1" applyAlignment="1">
      <alignment vertical="center" wrapText="1"/>
    </xf>
    <xf numFmtId="0" fontId="14" fillId="0" borderId="4" xfId="7" applyFont="1" applyFill="1" applyBorder="1" applyAlignment="1">
      <alignment vertical="center"/>
    </xf>
    <xf numFmtId="0" fontId="14" fillId="0" borderId="31" xfId="7" applyFont="1" applyFill="1" applyBorder="1" applyAlignment="1">
      <alignment vertical="center"/>
    </xf>
    <xf numFmtId="0" fontId="14" fillId="0" borderId="0" xfId="7" applyFont="1" applyFill="1" applyBorder="1" applyAlignment="1">
      <alignment horizontal="left" vertical="center" wrapText="1"/>
    </xf>
    <xf numFmtId="0" fontId="14" fillId="0" borderId="0" xfId="7" applyFont="1" applyFill="1" applyBorder="1" applyAlignment="1">
      <alignment vertical="center"/>
    </xf>
    <xf numFmtId="0" fontId="14" fillId="0" borderId="0" xfId="7" applyFont="1" applyFill="1" applyBorder="1" applyAlignment="1">
      <alignment horizontal="left" vertical="center"/>
    </xf>
    <xf numFmtId="0" fontId="14" fillId="0" borderId="6" xfId="7" applyFont="1" applyFill="1" applyBorder="1" applyAlignment="1">
      <alignment vertical="center"/>
    </xf>
    <xf numFmtId="0" fontId="14" fillId="0" borderId="8" xfId="7" applyFont="1" applyFill="1" applyBorder="1" applyAlignment="1">
      <alignment vertical="center" wrapText="1"/>
    </xf>
    <xf numFmtId="0" fontId="14" fillId="0" borderId="8" xfId="7" quotePrefix="1" applyFont="1" applyFill="1" applyBorder="1" applyAlignment="1">
      <alignment vertical="center" wrapText="1"/>
    </xf>
    <xf numFmtId="0" fontId="14" fillId="0" borderId="0" xfId="7" applyFont="1" applyFill="1" applyAlignment="1">
      <alignment horizontal="center" vertical="center"/>
    </xf>
    <xf numFmtId="0" fontId="14" fillId="0" borderId="0" xfId="7" applyFont="1" applyFill="1" applyAlignment="1">
      <alignment horizontal="distributed" vertical="center"/>
    </xf>
    <xf numFmtId="0" fontId="14" fillId="0" borderId="0" xfId="7" applyFont="1" applyFill="1" applyAlignment="1">
      <alignment horizontal="right" vertical="center"/>
    </xf>
    <xf numFmtId="0" fontId="14" fillId="0" borderId="0" xfId="7" applyFont="1" applyFill="1" applyAlignment="1">
      <alignment vertical="center"/>
    </xf>
    <xf numFmtId="0" fontId="10" fillId="0" borderId="0" xfId="7" applyFont="1" applyFill="1" applyAlignment="1">
      <alignment vertical="center"/>
    </xf>
    <xf numFmtId="178" fontId="14" fillId="0" borderId="0" xfId="6" applyNumberFormat="1" applyFont="1" applyFill="1" applyAlignment="1">
      <alignment vertical="center"/>
    </xf>
    <xf numFmtId="0" fontId="14" fillId="0" borderId="8" xfId="7" applyFont="1" applyFill="1" applyBorder="1" applyAlignment="1">
      <alignment vertical="center"/>
    </xf>
    <xf numFmtId="0" fontId="2" fillId="0" borderId="0" xfId="6" applyFont="1" applyFill="1" applyBorder="1" applyAlignment="1">
      <alignment vertical="center" wrapText="1"/>
    </xf>
    <xf numFmtId="0" fontId="14" fillId="0" borderId="12" xfId="7" applyFont="1" applyFill="1" applyBorder="1" applyAlignment="1">
      <alignment vertical="center" wrapText="1"/>
    </xf>
    <xf numFmtId="0" fontId="10" fillId="0" borderId="11" xfId="7" applyFont="1" applyFill="1" applyBorder="1" applyAlignment="1">
      <alignment vertical="center"/>
    </xf>
    <xf numFmtId="0" fontId="10" fillId="0" borderId="0" xfId="7" applyFont="1" applyFill="1" applyAlignment="1">
      <alignment horizontal="center" vertical="center"/>
    </xf>
    <xf numFmtId="0" fontId="14" fillId="0" borderId="10" xfId="7" applyFont="1" applyFill="1" applyBorder="1" applyAlignment="1">
      <alignment vertical="center" wrapText="1"/>
    </xf>
    <xf numFmtId="0" fontId="14" fillId="0" borderId="0" xfId="7" applyFont="1" applyFill="1" applyBorder="1" applyAlignment="1">
      <alignment vertical="center" wrapText="1"/>
    </xf>
    <xf numFmtId="0" fontId="14" fillId="0" borderId="9" xfId="7" applyFont="1" applyFill="1" applyBorder="1" applyAlignment="1">
      <alignment horizontal="center" vertical="center"/>
    </xf>
    <xf numFmtId="3" fontId="14" fillId="0" borderId="4" xfId="7" applyNumberFormat="1" applyFont="1" applyFill="1" applyBorder="1" applyAlignment="1">
      <alignment vertical="center" wrapText="1"/>
    </xf>
    <xf numFmtId="3" fontId="14" fillId="0" borderId="31" xfId="7" applyNumberFormat="1" applyFont="1" applyFill="1" applyBorder="1" applyAlignment="1">
      <alignment vertical="center" wrapText="1"/>
    </xf>
    <xf numFmtId="0" fontId="10" fillId="0" borderId="0" xfId="7" applyFont="1" applyFill="1" applyBorder="1" applyAlignment="1">
      <alignment vertical="center"/>
    </xf>
    <xf numFmtId="178" fontId="10" fillId="0" borderId="0" xfId="7" applyNumberFormat="1" applyFont="1" applyFill="1" applyAlignment="1">
      <alignment vertical="center"/>
    </xf>
    <xf numFmtId="178" fontId="12" fillId="0" borderId="0" xfId="6" applyNumberFormat="1" applyFont="1" applyFill="1" applyBorder="1" applyAlignment="1">
      <alignment vertical="center"/>
    </xf>
    <xf numFmtId="178" fontId="14" fillId="0" borderId="0" xfId="6" applyNumberFormat="1" applyFont="1" applyFill="1" applyBorder="1" applyAlignment="1">
      <alignment vertical="center"/>
    </xf>
    <xf numFmtId="0" fontId="14" fillId="0" borderId="0" xfId="6" applyFont="1" applyFill="1" applyBorder="1" applyAlignment="1">
      <alignment vertical="center" wrapText="1"/>
    </xf>
    <xf numFmtId="0" fontId="10" fillId="0" borderId="0" xfId="6" applyFont="1" applyFill="1" applyBorder="1" applyAlignment="1">
      <alignment vertical="center" wrapText="1"/>
    </xf>
    <xf numFmtId="0" fontId="14" fillId="0" borderId="0" xfId="6" applyFont="1" applyFill="1" applyAlignment="1">
      <alignment horizontal="center" vertical="center"/>
    </xf>
    <xf numFmtId="0" fontId="10" fillId="0" borderId="0" xfId="6" applyFont="1" applyFill="1" applyAlignment="1">
      <alignment vertical="center"/>
    </xf>
    <xf numFmtId="0" fontId="14" fillId="0" borderId="12" xfId="6" applyFont="1" applyFill="1" applyBorder="1" applyAlignment="1">
      <alignment vertical="center" wrapText="1"/>
    </xf>
    <xf numFmtId="0" fontId="10" fillId="0" borderId="11" xfId="6" applyFont="1" applyFill="1" applyBorder="1" applyAlignment="1">
      <alignment vertical="center"/>
    </xf>
    <xf numFmtId="0" fontId="10" fillId="0" borderId="0" xfId="6" applyFont="1" applyFill="1" applyAlignment="1">
      <alignment horizontal="center" vertical="center"/>
    </xf>
    <xf numFmtId="0" fontId="10" fillId="0" borderId="0" xfId="6" applyFont="1" applyFill="1" applyBorder="1" applyAlignment="1">
      <alignment vertical="center"/>
    </xf>
    <xf numFmtId="178" fontId="14" fillId="0" borderId="4" xfId="7" applyNumberFormat="1" applyFont="1" applyFill="1" applyBorder="1" applyAlignment="1">
      <alignment vertical="center"/>
    </xf>
    <xf numFmtId="178" fontId="14" fillId="0" borderId="31" xfId="7" applyNumberFormat="1" applyFont="1" applyFill="1" applyBorder="1" applyAlignment="1">
      <alignment vertical="center"/>
    </xf>
    <xf numFmtId="178" fontId="14" fillId="0" borderId="6" xfId="7" applyNumberFormat="1" applyFont="1" applyFill="1" applyBorder="1" applyAlignment="1">
      <alignment vertical="center"/>
    </xf>
    <xf numFmtId="178" fontId="14" fillId="0" borderId="8" xfId="7" applyNumberFormat="1" applyFont="1" applyFill="1" applyBorder="1" applyAlignment="1">
      <alignment vertical="center"/>
    </xf>
    <xf numFmtId="178" fontId="10" fillId="0" borderId="0" xfId="6" applyNumberFormat="1" applyFont="1" applyFill="1" applyAlignment="1">
      <alignment vertical="center"/>
    </xf>
    <xf numFmtId="0" fontId="0" fillId="0" borderId="11" xfId="0" applyBorder="1">
      <alignment vertical="center"/>
    </xf>
    <xf numFmtId="0" fontId="0" fillId="0" borderId="11" xfId="0" quotePrefix="1" applyBorder="1">
      <alignment vertical="center"/>
    </xf>
    <xf numFmtId="3" fontId="14" fillId="0" borderId="11" xfId="8" applyNumberFormat="1" applyFont="1" applyBorder="1" applyAlignment="1">
      <alignment horizontal="left" vertical="center"/>
    </xf>
    <xf numFmtId="3" fontId="16" fillId="0" borderId="11" xfId="8" applyNumberFormat="1" applyFont="1" applyBorder="1" applyAlignment="1">
      <alignment horizontal="left" vertical="center"/>
    </xf>
    <xf numFmtId="3" fontId="16" fillId="0" borderId="11" xfId="8" applyNumberFormat="1" applyFont="1" applyFill="1" applyBorder="1" applyAlignment="1">
      <alignment horizontal="left" vertical="center"/>
    </xf>
    <xf numFmtId="3" fontId="14" fillId="0" borderId="11" xfId="8" applyNumberFormat="1" applyFont="1" applyFill="1" applyBorder="1" applyAlignment="1">
      <alignment horizontal="left" vertical="center"/>
    </xf>
    <xf numFmtId="3" fontId="16" fillId="0" borderId="11" xfId="8" applyNumberFormat="1" applyFont="1" applyBorder="1">
      <alignment vertical="center"/>
    </xf>
    <xf numFmtId="3" fontId="16" fillId="0" borderId="11" xfId="8" applyNumberFormat="1" applyFont="1" applyFill="1" applyBorder="1">
      <alignment vertical="center"/>
    </xf>
    <xf numFmtId="3" fontId="17" fillId="0" borderId="11" xfId="8" applyNumberFormat="1" applyFont="1" applyBorder="1" applyAlignment="1">
      <alignment horizontal="left" vertical="center"/>
    </xf>
    <xf numFmtId="3" fontId="14" fillId="0" borderId="11" xfId="8" applyNumberFormat="1" applyFont="1" applyBorder="1" applyAlignment="1">
      <alignment horizontal="left" vertical="center" wrapText="1"/>
    </xf>
    <xf numFmtId="0" fontId="0" fillId="0" borderId="0" xfId="0" applyFill="1">
      <alignment vertical="center"/>
    </xf>
    <xf numFmtId="3" fontId="20" fillId="0" borderId="11" xfId="8" applyNumberFormat="1" applyFont="1" applyFill="1" applyBorder="1" applyAlignment="1">
      <alignment horizontal="left" vertical="center"/>
    </xf>
    <xf numFmtId="0" fontId="19" fillId="0" borderId="0" xfId="0" applyFont="1" applyFill="1">
      <alignment vertical="center"/>
    </xf>
    <xf numFmtId="0" fontId="19" fillId="0" borderId="0" xfId="0" applyFont="1" applyFill="1" applyAlignment="1">
      <alignment horizontal="center" vertical="center"/>
    </xf>
    <xf numFmtId="0" fontId="20"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19" fillId="0" borderId="11" xfId="0" applyFont="1" applyFill="1" applyBorder="1">
      <alignment vertical="center"/>
    </xf>
    <xf numFmtId="0" fontId="19" fillId="0" borderId="11" xfId="0" quotePrefix="1" applyFont="1" applyFill="1" applyBorder="1">
      <alignment vertical="center"/>
    </xf>
    <xf numFmtId="3" fontId="20" fillId="0" borderId="11" xfId="8" applyNumberFormat="1" applyFont="1" applyFill="1" applyBorder="1">
      <alignment vertical="center"/>
    </xf>
    <xf numFmtId="3" fontId="20" fillId="0" borderId="11" xfId="8" applyNumberFormat="1" applyFont="1" applyFill="1" applyBorder="1" applyAlignment="1">
      <alignment horizontal="left" vertical="center" wrapText="1"/>
    </xf>
    <xf numFmtId="0" fontId="0" fillId="0" borderId="11" xfId="0" applyFill="1" applyBorder="1">
      <alignment vertical="center"/>
    </xf>
    <xf numFmtId="192" fontId="20" fillId="0" borderId="2" xfId="8" applyNumberFormat="1" applyFont="1" applyFill="1" applyBorder="1" applyAlignment="1">
      <alignment vertical="center"/>
    </xf>
    <xf numFmtId="3" fontId="20" fillId="0" borderId="11" xfId="8" applyNumberFormat="1" applyFont="1" applyFill="1" applyBorder="1" applyAlignment="1">
      <alignment horizontal="left" vertical="center"/>
    </xf>
    <xf numFmtId="0" fontId="14" fillId="0" borderId="0" xfId="7" applyFont="1" applyFill="1" applyBorder="1" applyAlignment="1">
      <alignment horizontal="left" vertical="center"/>
    </xf>
    <xf numFmtId="0" fontId="14" fillId="0" borderId="0" xfId="0" applyFont="1" applyFill="1" applyBorder="1" applyAlignment="1">
      <alignment horizontal="center" vertical="center"/>
    </xf>
    <xf numFmtId="0" fontId="2" fillId="0" borderId="0" xfId="0" applyFont="1" applyFill="1" applyBorder="1" applyAlignment="1"/>
    <xf numFmtId="0" fontId="14" fillId="0" borderId="4" xfId="0" applyFont="1" applyFill="1" applyBorder="1" applyAlignment="1">
      <alignment vertical="center" wrapText="1"/>
    </xf>
    <xf numFmtId="0" fontId="14" fillId="0" borderId="4" xfId="0" applyFont="1" applyFill="1" applyBorder="1" applyAlignment="1">
      <alignment vertical="center"/>
    </xf>
    <xf numFmtId="0" fontId="14" fillId="0" borderId="31" xfId="0" applyFont="1" applyFill="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6" xfId="0" applyFont="1" applyFill="1" applyBorder="1" applyAlignment="1">
      <alignment vertical="center"/>
    </xf>
    <xf numFmtId="0" fontId="14" fillId="0" borderId="8" xfId="0" applyFont="1" applyFill="1" applyBorder="1" applyAlignment="1">
      <alignment vertical="center" wrapText="1"/>
    </xf>
    <xf numFmtId="0" fontId="14" fillId="0" borderId="8" xfId="0" quotePrefix="1" applyFont="1" applyFill="1" applyBorder="1" applyAlignment="1">
      <alignment vertical="center" wrapText="1"/>
    </xf>
    <xf numFmtId="0" fontId="14" fillId="0" borderId="0" xfId="0" applyFont="1" applyFill="1" applyBorder="1" applyAlignment="1">
      <alignment vertical="center" wrapText="1"/>
    </xf>
    <xf numFmtId="0" fontId="14" fillId="0" borderId="0" xfId="0" quotePrefix="1" applyFont="1" applyFill="1" applyBorder="1" applyAlignment="1">
      <alignment vertical="center" wrapText="1"/>
    </xf>
    <xf numFmtId="0" fontId="14" fillId="0" borderId="0" xfId="0" applyFont="1" applyFill="1" applyBorder="1" applyAlignment="1">
      <alignment horizontal="left" vertical="top" wrapText="1"/>
    </xf>
    <xf numFmtId="0" fontId="14" fillId="0" borderId="0" xfId="0" applyFont="1" applyFill="1" applyAlignment="1">
      <alignment horizontal="center" vertical="center"/>
    </xf>
    <xf numFmtId="0" fontId="14" fillId="0" borderId="0" xfId="0" applyFont="1" applyFill="1" applyAlignment="1">
      <alignment horizontal="distributed" vertical="center"/>
    </xf>
    <xf numFmtId="0" fontId="14" fillId="0" borderId="0" xfId="0" applyFont="1" applyFill="1" applyAlignment="1">
      <alignment horizontal="right" vertical="center"/>
    </xf>
    <xf numFmtId="0" fontId="14" fillId="0" borderId="0" xfId="0" applyFont="1" applyFill="1" applyAlignment="1">
      <alignment vertical="center"/>
    </xf>
    <xf numFmtId="3" fontId="14" fillId="0" borderId="4" xfId="0" applyNumberFormat="1" applyFont="1" applyFill="1" applyBorder="1" applyAlignment="1">
      <alignment vertical="center" wrapText="1"/>
    </xf>
    <xf numFmtId="3" fontId="14" fillId="0" borderId="31" xfId="0" applyNumberFormat="1" applyFont="1" applyFill="1" applyBorder="1" applyAlignment="1">
      <alignment vertical="center" wrapText="1"/>
    </xf>
    <xf numFmtId="0" fontId="0" fillId="0" borderId="4" xfId="0" applyFont="1" applyFill="1" applyBorder="1" applyAlignment="1">
      <alignment wrapText="1"/>
    </xf>
    <xf numFmtId="0" fontId="0" fillId="0" borderId="8" xfId="0" applyFont="1" applyFill="1" applyBorder="1" applyAlignment="1">
      <alignment vertical="center"/>
    </xf>
    <xf numFmtId="0" fontId="14" fillId="0" borderId="4" xfId="0" applyFont="1" applyFill="1" applyBorder="1" applyAlignment="1">
      <alignment horizontal="center" vertical="center"/>
    </xf>
    <xf numFmtId="0" fontId="14" fillId="0" borderId="31" xfId="0" applyFont="1" applyFill="1" applyBorder="1" applyAlignment="1">
      <alignment horizontal="center" vertical="center"/>
    </xf>
    <xf numFmtId="0" fontId="0" fillId="0" borderId="0" xfId="0" applyFont="1" applyAlignment="1">
      <alignment horizontal="center" vertical="center" wrapText="1"/>
    </xf>
    <xf numFmtId="3" fontId="22" fillId="0" borderId="0" xfId="9" applyNumberFormat="1" applyFont="1" applyFill="1" applyBorder="1" applyAlignment="1">
      <alignment horizontal="center" vertical="center"/>
    </xf>
    <xf numFmtId="178" fontId="22" fillId="0" borderId="5" xfId="9" applyNumberFormat="1" applyFont="1" applyFill="1" applyBorder="1" applyAlignment="1">
      <alignment horizontal="center" vertical="center" wrapText="1"/>
    </xf>
    <xf numFmtId="0" fontId="0" fillId="0" borderId="0" xfId="0" applyFont="1" applyBorder="1" applyAlignment="1">
      <alignment horizontal="center" vertical="center" wrapText="1"/>
    </xf>
    <xf numFmtId="3" fontId="22" fillId="0" borderId="6" xfId="9" applyNumberFormat="1" applyFont="1" applyFill="1" applyBorder="1" applyAlignment="1">
      <alignment vertical="center" wrapText="1"/>
    </xf>
    <xf numFmtId="178" fontId="22" fillId="0" borderId="0" xfId="9"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185" fontId="0" fillId="0" borderId="7" xfId="0" applyNumberFormat="1" applyFont="1" applyBorder="1" applyAlignment="1">
      <alignment horizontal="center" vertical="center"/>
    </xf>
    <xf numFmtId="0" fontId="0" fillId="0" borderId="8" xfId="0" applyFont="1" applyBorder="1" applyAlignment="1">
      <alignment horizontal="center" vertical="center"/>
    </xf>
    <xf numFmtId="187" fontId="0" fillId="0" borderId="7" xfId="0" applyNumberFormat="1" applyFont="1" applyBorder="1" applyAlignment="1">
      <alignment horizontal="center" vertical="center"/>
    </xf>
    <xf numFmtId="197" fontId="22" fillId="0" borderId="6" xfId="9" applyNumberFormat="1" applyFont="1" applyFill="1" applyBorder="1" applyAlignment="1">
      <alignment vertical="center"/>
    </xf>
    <xf numFmtId="178" fontId="22" fillId="0" borderId="2" xfId="9" applyNumberFormat="1" applyFont="1" applyFill="1" applyBorder="1" applyAlignment="1">
      <alignment horizontal="center" vertical="center" wrapText="1"/>
    </xf>
    <xf numFmtId="185" fontId="0" fillId="0" borderId="0" xfId="0" applyNumberFormat="1" applyFont="1" applyAlignment="1">
      <alignment horizontal="center" vertical="center"/>
    </xf>
    <xf numFmtId="187" fontId="0" fillId="0" borderId="0" xfId="0" applyNumberFormat="1" applyFont="1" applyAlignment="1">
      <alignment horizontal="center" vertical="center"/>
    </xf>
    <xf numFmtId="178" fontId="22" fillId="0" borderId="8" xfId="9" applyNumberFormat="1" applyFont="1" applyFill="1" applyBorder="1" applyAlignment="1">
      <alignment horizontal="left" vertical="center" indent="1"/>
    </xf>
    <xf numFmtId="197" fontId="22" fillId="0" borderId="0" xfId="9" applyNumberFormat="1" applyFont="1" applyFill="1" applyBorder="1" applyAlignment="1">
      <alignment vertical="center"/>
    </xf>
    <xf numFmtId="178" fontId="22" fillId="0" borderId="8" xfId="9" applyNumberFormat="1" applyFont="1" applyFill="1" applyBorder="1" applyAlignment="1">
      <alignment horizontal="left" vertical="center" wrapText="1" indent="1"/>
    </xf>
    <xf numFmtId="178" fontId="22" fillId="0" borderId="9" xfId="9" applyNumberFormat="1" applyFont="1" applyFill="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31" xfId="0" applyFont="1" applyBorder="1" applyAlignment="1">
      <alignment horizontal="center" vertical="center"/>
    </xf>
    <xf numFmtId="185" fontId="0" fillId="0" borderId="3" xfId="0" applyNumberFormat="1" applyFont="1" applyBorder="1" applyAlignment="1">
      <alignment horizontal="center" vertical="center"/>
    </xf>
    <xf numFmtId="187" fontId="0" fillId="0" borderId="11" xfId="0" applyNumberFormat="1" applyFont="1" applyBorder="1" applyAlignment="1">
      <alignment horizontal="center" vertical="center"/>
    </xf>
    <xf numFmtId="185" fontId="22" fillId="0" borderId="1" xfId="9" applyNumberFormat="1" applyFont="1" applyFill="1" applyBorder="1" applyAlignment="1">
      <alignment horizontal="left" wrapText="1" indent="1"/>
    </xf>
    <xf numFmtId="178" fontId="22" fillId="0" borderId="1" xfId="9" applyNumberFormat="1" applyFont="1" applyFill="1" applyBorder="1" applyAlignment="1">
      <alignment horizontal="left"/>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0" fontId="0" fillId="0" borderId="6" xfId="0" applyFont="1" applyBorder="1" applyAlignment="1">
      <alignment horizontal="center" vertical="center"/>
    </xf>
    <xf numFmtId="185" fontId="0" fillId="0" borderId="5" xfId="0" applyNumberFormat="1" applyFont="1" applyBorder="1" applyAlignment="1">
      <alignment horizontal="center" vertical="center"/>
    </xf>
    <xf numFmtId="188" fontId="0" fillId="0" borderId="11" xfId="0" applyNumberFormat="1"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98" fontId="22" fillId="0" borderId="2" xfId="9" applyNumberFormat="1" applyFont="1" applyFill="1" applyBorder="1" applyAlignment="1">
      <alignment horizontal="right" vertical="top" wrapText="1"/>
    </xf>
    <xf numFmtId="178" fontId="22" fillId="0" borderId="30" xfId="9" applyNumberFormat="1" applyFont="1" applyFill="1" applyBorder="1" applyAlignment="1">
      <alignment horizontal="right" vertical="top"/>
    </xf>
    <xf numFmtId="178" fontId="22" fillId="0" borderId="30" xfId="9" applyNumberFormat="1" applyFont="1" applyFill="1" applyBorder="1" applyAlignment="1">
      <alignment horizontal="left"/>
    </xf>
    <xf numFmtId="178" fontId="22" fillId="0" borderId="30" xfId="9" applyNumberFormat="1" applyFont="1" applyFill="1" applyBorder="1" applyAlignment="1"/>
    <xf numFmtId="178" fontId="22" fillId="0" borderId="30" xfId="9" applyNumberFormat="1" applyFont="1" applyFill="1" applyBorder="1" applyAlignment="1">
      <alignment vertical="top"/>
    </xf>
    <xf numFmtId="178" fontId="22" fillId="0" borderId="2" xfId="9" applyNumberFormat="1" applyFont="1" applyFill="1" applyBorder="1" applyAlignment="1">
      <alignment vertical="top"/>
    </xf>
    <xf numFmtId="178" fontId="22" fillId="0" borderId="1" xfId="9" applyNumberFormat="1" applyFont="1" applyFill="1" applyBorder="1" applyAlignment="1"/>
    <xf numFmtId="178" fontId="22" fillId="0" borderId="0" xfId="9" applyNumberFormat="1" applyFont="1" applyFill="1" applyAlignment="1">
      <alignment vertical="center"/>
    </xf>
    <xf numFmtId="178" fontId="22" fillId="0" borderId="0" xfId="9" applyNumberFormat="1" applyFont="1" applyFill="1" applyAlignment="1">
      <alignment horizontal="left" vertical="center" indent="1"/>
    </xf>
    <xf numFmtId="178" fontId="22" fillId="0" borderId="0" xfId="9" applyNumberFormat="1" applyFont="1" applyFill="1" applyAlignment="1">
      <alignment horizontal="center" vertical="center"/>
    </xf>
    <xf numFmtId="185" fontId="0" fillId="0" borderId="8" xfId="0" applyNumberFormat="1" applyFont="1" applyBorder="1" applyAlignment="1">
      <alignment horizontal="center" vertical="center"/>
    </xf>
    <xf numFmtId="185" fontId="0" fillId="0" borderId="13" xfId="0" applyNumberFormat="1" applyFont="1" applyBorder="1" applyAlignment="1">
      <alignment horizontal="center" vertical="center"/>
    </xf>
    <xf numFmtId="186" fontId="0" fillId="0" borderId="2" xfId="0" applyNumberFormat="1" applyFont="1" applyBorder="1" applyAlignment="1">
      <alignment horizontal="center" vertical="center"/>
    </xf>
    <xf numFmtId="186" fontId="0" fillId="0" borderId="0" xfId="0" applyNumberFormat="1" applyFont="1" applyAlignment="1">
      <alignment horizontal="center" vertical="center"/>
    </xf>
    <xf numFmtId="185" fontId="0" fillId="0" borderId="4" xfId="0" applyNumberFormat="1" applyFont="1" applyBorder="1" applyAlignment="1">
      <alignment horizontal="center" vertical="center"/>
    </xf>
    <xf numFmtId="185" fontId="0" fillId="0" borderId="31" xfId="0" applyNumberFormat="1" applyFont="1" applyBorder="1" applyAlignment="1">
      <alignment horizontal="center" vertical="center"/>
    </xf>
    <xf numFmtId="186" fontId="0" fillId="0" borderId="11" xfId="0" applyNumberFormat="1" applyFont="1" applyBorder="1" applyAlignment="1">
      <alignment horizontal="center" vertical="center"/>
    </xf>
    <xf numFmtId="185" fontId="0" fillId="0" borderId="0" xfId="0" applyNumberFormat="1" applyFont="1" applyBorder="1" applyAlignment="1">
      <alignment horizontal="center" vertical="center"/>
    </xf>
    <xf numFmtId="185" fontId="0" fillId="0" borderId="6" xfId="0" applyNumberFormat="1" applyFont="1" applyBorder="1" applyAlignment="1">
      <alignment horizontal="center" vertical="center"/>
    </xf>
    <xf numFmtId="0" fontId="0" fillId="0" borderId="1" xfId="0" applyNumberFormat="1" applyFont="1" applyBorder="1" applyAlignment="1">
      <alignment horizontal="center" vertical="center"/>
    </xf>
    <xf numFmtId="9" fontId="0" fillId="0" borderId="2" xfId="0" applyNumberFormat="1" applyFont="1" applyBorder="1" applyAlignment="1">
      <alignment horizontal="center" vertical="center"/>
    </xf>
    <xf numFmtId="0" fontId="23" fillId="0" borderId="0" xfId="0" applyFont="1" applyAlignment="1">
      <alignment horizontal="center" vertical="center" wrapText="1"/>
    </xf>
    <xf numFmtId="3" fontId="24" fillId="0" borderId="0" xfId="9" applyNumberFormat="1" applyFont="1" applyFill="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xf>
    <xf numFmtId="197" fontId="24" fillId="0" borderId="0" xfId="9" applyNumberFormat="1" applyFont="1" applyFill="1" applyBorder="1" applyAlignment="1">
      <alignment horizontal="center" vertical="center"/>
    </xf>
    <xf numFmtId="3" fontId="24" fillId="0" borderId="5" xfId="9" applyNumberFormat="1" applyFont="1" applyFill="1" applyBorder="1" applyAlignment="1">
      <alignment vertical="center"/>
    </xf>
    <xf numFmtId="3" fontId="24" fillId="0" borderId="0" xfId="9" applyNumberFormat="1" applyFont="1" applyFill="1" applyBorder="1" applyAlignment="1">
      <alignment horizontal="center" vertical="center" wrapText="1"/>
    </xf>
    <xf numFmtId="178" fontId="24" fillId="0" borderId="5" xfId="9" applyNumberFormat="1" applyFont="1" applyFill="1" applyBorder="1" applyAlignment="1">
      <alignment vertical="center" wrapText="1"/>
    </xf>
    <xf numFmtId="197" fontId="24" fillId="0" borderId="0" xfId="9" applyNumberFormat="1" applyFont="1" applyFill="1" applyBorder="1" applyAlignment="1">
      <alignment vertical="center" wrapText="1"/>
    </xf>
    <xf numFmtId="197" fontId="24" fillId="0" borderId="0" xfId="9" applyNumberFormat="1" applyFont="1" applyFill="1" applyBorder="1" applyAlignment="1">
      <alignment horizontal="center" vertical="center" wrapText="1"/>
    </xf>
    <xf numFmtId="197" fontId="24" fillId="0" borderId="6" xfId="9" applyNumberFormat="1" applyFont="1" applyFill="1" applyBorder="1" applyAlignment="1">
      <alignment horizontal="center" vertical="center" wrapText="1"/>
    </xf>
    <xf numFmtId="0" fontId="23" fillId="0" borderId="5" xfId="0" applyFont="1" applyBorder="1" applyAlignment="1">
      <alignment horizontal="center" vertical="center" wrapText="1"/>
    </xf>
    <xf numFmtId="185" fontId="2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178" fontId="24" fillId="0" borderId="5" xfId="9" applyNumberFormat="1" applyFont="1" applyFill="1" applyBorder="1" applyAlignment="1">
      <alignment horizontal="center" vertical="center" wrapText="1"/>
    </xf>
    <xf numFmtId="0" fontId="24" fillId="0" borderId="0" xfId="9" applyFont="1" applyFill="1" applyBorder="1">
      <alignment vertical="center"/>
    </xf>
    <xf numFmtId="185" fontId="23" fillId="0" borderId="5" xfId="0" applyNumberFormat="1" applyFont="1" applyBorder="1" applyAlignment="1">
      <alignment horizontal="center" vertical="center" wrapText="1"/>
    </xf>
    <xf numFmtId="178" fontId="24" fillId="0" borderId="30" xfId="9"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6" xfId="0" applyFont="1" applyBorder="1" applyAlignment="1">
      <alignment horizontal="center" vertical="center"/>
    </xf>
    <xf numFmtId="197" fontId="24" fillId="0" borderId="200" xfId="9" applyNumberFormat="1" applyFont="1" applyFill="1" applyBorder="1" applyAlignment="1">
      <alignment horizontal="center" vertical="center"/>
    </xf>
    <xf numFmtId="197" fontId="24" fillId="0" borderId="6" xfId="9" applyNumberFormat="1" applyFont="1" applyFill="1" applyBorder="1" applyAlignment="1">
      <alignment horizontal="center" vertical="center"/>
    </xf>
    <xf numFmtId="197" fontId="24" fillId="0" borderId="201" xfId="9" applyNumberFormat="1" applyFont="1" applyFill="1" applyBorder="1" applyAlignment="1">
      <alignment horizontal="center" vertical="center" wrapText="1"/>
    </xf>
    <xf numFmtId="178" fontId="24" fillId="0" borderId="5" xfId="9" applyNumberFormat="1" applyFont="1" applyFill="1" applyBorder="1" applyAlignment="1">
      <alignmen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185" fontId="23" fillId="0" borderId="0" xfId="0" applyNumberFormat="1" applyFont="1" applyBorder="1" applyAlignment="1">
      <alignment horizontal="center" vertical="center"/>
    </xf>
    <xf numFmtId="185" fontId="23" fillId="0" borderId="7" xfId="0" applyNumberFormat="1" applyFont="1" applyBorder="1" applyAlignment="1">
      <alignment horizontal="center" vertical="center"/>
    </xf>
    <xf numFmtId="185" fontId="23" fillId="0" borderId="5" xfId="0" applyNumberFormat="1" applyFont="1" applyBorder="1" applyAlignment="1">
      <alignment horizontal="center" vertical="center"/>
    </xf>
    <xf numFmtId="178" fontId="24" fillId="0" borderId="209" xfId="9" applyNumberFormat="1" applyFont="1" applyFill="1" applyBorder="1" applyAlignment="1">
      <alignment horizontal="center" vertical="center" wrapText="1"/>
    </xf>
    <xf numFmtId="178" fontId="24" fillId="0" borderId="200" xfId="9" applyNumberFormat="1" applyFont="1" applyFill="1" applyBorder="1" applyAlignment="1">
      <alignment horizontal="center" vertical="center" wrapText="1"/>
    </xf>
    <xf numFmtId="178" fontId="24" fillId="0" borderId="201" xfId="9" applyNumberFormat="1" applyFont="1" applyFill="1" applyBorder="1" applyAlignment="1">
      <alignment horizontal="center" vertical="center" wrapText="1"/>
    </xf>
    <xf numFmtId="178" fontId="24" fillId="0" borderId="30" xfId="9" applyNumberFormat="1" applyFont="1" applyFill="1" applyBorder="1" applyAlignment="1">
      <alignment vertical="center" wrapText="1"/>
    </xf>
    <xf numFmtId="186" fontId="23" fillId="0" borderId="11" xfId="0" applyNumberFormat="1" applyFont="1" applyBorder="1" applyAlignment="1">
      <alignment horizontal="center" vertical="center"/>
    </xf>
    <xf numFmtId="186" fontId="23" fillId="0" borderId="5" xfId="0" applyNumberFormat="1" applyFont="1" applyBorder="1" applyAlignment="1">
      <alignment horizontal="center" vertical="center"/>
    </xf>
    <xf numFmtId="186" fontId="23" fillId="0" borderId="0" xfId="0" applyNumberFormat="1" applyFont="1" applyBorder="1" applyAlignment="1">
      <alignment horizontal="center" vertical="center"/>
    </xf>
    <xf numFmtId="186" fontId="23" fillId="0" borderId="6" xfId="0" applyNumberFormat="1" applyFont="1" applyBorder="1" applyAlignment="1">
      <alignment horizontal="center" vertical="center"/>
    </xf>
    <xf numFmtId="185" fontId="23" fillId="0" borderId="8" xfId="0" applyNumberFormat="1" applyFont="1" applyBorder="1" applyAlignment="1">
      <alignment horizontal="center" vertical="center"/>
    </xf>
    <xf numFmtId="185" fontId="23" fillId="0" borderId="13" xfId="0" applyNumberFormat="1" applyFont="1" applyBorder="1" applyAlignment="1">
      <alignment horizontal="center" vertical="center"/>
    </xf>
    <xf numFmtId="186" fontId="23" fillId="0" borderId="2" xfId="0" applyNumberFormat="1" applyFont="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178" fontId="24" fillId="0" borderId="2" xfId="9" applyNumberFormat="1" applyFont="1" applyFill="1" applyBorder="1" applyAlignment="1">
      <alignment horizontal="center" vertical="center" wrapText="1"/>
    </xf>
    <xf numFmtId="178" fontId="24" fillId="0" borderId="9" xfId="9" applyNumberFormat="1" applyFont="1" applyFill="1" applyBorder="1" applyAlignment="1">
      <alignment horizontal="right" vertical="center"/>
    </xf>
    <xf numFmtId="197" fontId="24" fillId="0" borderId="9" xfId="9" applyNumberFormat="1" applyFont="1" applyFill="1" applyBorder="1" applyAlignment="1">
      <alignment horizontal="right" vertical="center"/>
    </xf>
    <xf numFmtId="178" fontId="24" fillId="0" borderId="9" xfId="9" applyNumberFormat="1" applyFont="1" applyFill="1" applyBorder="1" applyAlignment="1">
      <alignment vertical="center"/>
    </xf>
    <xf numFmtId="178" fontId="24" fillId="0" borderId="9" xfId="9" applyNumberFormat="1" applyFont="1" applyFill="1" applyBorder="1" applyAlignment="1">
      <alignment horizontal="right" vertical="center" wrapText="1"/>
    </xf>
    <xf numFmtId="197" fontId="24" fillId="0" borderId="9" xfId="9" applyNumberFormat="1" applyFont="1" applyFill="1" applyBorder="1" applyAlignment="1">
      <alignment horizontal="right" vertical="center" wrapText="1"/>
    </xf>
    <xf numFmtId="197" fontId="24" fillId="0" borderId="9" xfId="9" applyNumberFormat="1" applyFont="1" applyFill="1" applyBorder="1" applyAlignment="1">
      <alignment horizontal="center" vertical="center" wrapText="1"/>
    </xf>
    <xf numFmtId="185" fontId="23" fillId="0" borderId="0" xfId="0" applyNumberFormat="1" applyFont="1" applyAlignment="1">
      <alignment horizontal="center" vertical="center"/>
    </xf>
    <xf numFmtId="178" fontId="24" fillId="0" borderId="8" xfId="9" applyNumberFormat="1" applyFont="1" applyFill="1" applyBorder="1" applyAlignment="1">
      <alignment vertical="center"/>
    </xf>
    <xf numFmtId="178" fontId="24" fillId="0" borderId="0" xfId="9" applyNumberFormat="1" applyFont="1" applyFill="1" applyBorder="1" applyAlignment="1">
      <alignment horizontal="right" vertical="center" wrapText="1"/>
    </xf>
    <xf numFmtId="178" fontId="24" fillId="0" borderId="0" xfId="9" applyNumberFormat="1" applyFont="1" applyFill="1" applyBorder="1" applyAlignment="1">
      <alignment vertical="center" wrapText="1"/>
    </xf>
    <xf numFmtId="178" fontId="24" fillId="0" borderId="0" xfId="9" applyNumberFormat="1" applyFont="1" applyFill="1" applyBorder="1" applyAlignment="1">
      <alignment horizontal="center" vertical="center" wrapText="1"/>
    </xf>
    <xf numFmtId="178" fontId="24" fillId="0" borderId="4" xfId="9" applyNumberFormat="1" applyFont="1" applyFill="1" applyBorder="1" applyAlignment="1">
      <alignment horizontal="center" vertical="center" wrapText="1"/>
    </xf>
    <xf numFmtId="186" fontId="23" fillId="0" borderId="0" xfId="0" applyNumberFormat="1" applyFont="1" applyAlignment="1">
      <alignment horizontal="center" vertical="center"/>
    </xf>
    <xf numFmtId="0" fontId="23" fillId="0" borderId="3" xfId="0" applyFont="1" applyBorder="1" applyAlignment="1">
      <alignment horizontal="center" vertical="center" wrapText="1"/>
    </xf>
    <xf numFmtId="0" fontId="23" fillId="0" borderId="1" xfId="0" applyFont="1" applyBorder="1" applyAlignment="1">
      <alignment horizontal="center" vertical="center"/>
    </xf>
    <xf numFmtId="0" fontId="23" fillId="0" borderId="31" xfId="0" applyFont="1" applyBorder="1" applyAlignment="1">
      <alignment horizontal="center" vertical="center"/>
    </xf>
    <xf numFmtId="178" fontId="24" fillId="0" borderId="115" xfId="9" applyNumberFormat="1" applyFont="1" applyFill="1" applyBorder="1" applyAlignment="1">
      <alignment horizontal="right" vertical="center"/>
    </xf>
    <xf numFmtId="197" fontId="24" fillId="0" borderId="202" xfId="9" applyNumberFormat="1" applyFont="1" applyFill="1" applyBorder="1" applyAlignment="1">
      <alignment horizontal="right" vertical="center"/>
    </xf>
    <xf numFmtId="178" fontId="24" fillId="0" borderId="115" xfId="9" applyNumberFormat="1" applyFont="1" applyFill="1" applyBorder="1" applyAlignment="1">
      <alignment horizontal="right" vertical="center" wrapText="1"/>
    </xf>
    <xf numFmtId="197" fontId="24" fillId="0" borderId="203" xfId="9" applyNumberFormat="1" applyFont="1" applyFill="1" applyBorder="1" applyAlignment="1">
      <alignment horizontal="right" vertical="center" wrapText="1"/>
    </xf>
    <xf numFmtId="197" fontId="24" fillId="0" borderId="117" xfId="9" applyNumberFormat="1" applyFont="1" applyFill="1" applyBorder="1" applyAlignment="1">
      <alignment horizontal="center" vertical="center" wrapText="1"/>
    </xf>
    <xf numFmtId="187" fontId="23" fillId="0" borderId="3" xfId="0" applyNumberFormat="1" applyFont="1" applyBorder="1" applyAlignment="1">
      <alignment horizontal="center" vertical="center"/>
    </xf>
    <xf numFmtId="187" fontId="23" fillId="0" borderId="4" xfId="0" applyNumberFormat="1" applyFont="1" applyBorder="1" applyAlignment="1">
      <alignment horizontal="center" vertical="center"/>
    </xf>
    <xf numFmtId="187" fontId="23" fillId="0" borderId="31" xfId="0" applyNumberFormat="1" applyFont="1" applyBorder="1" applyAlignment="1">
      <alignment horizontal="center" vertical="center"/>
    </xf>
    <xf numFmtId="0" fontId="23" fillId="0" borderId="4" xfId="0" applyFont="1" applyBorder="1" applyAlignment="1">
      <alignment horizontal="center" vertical="center"/>
    </xf>
    <xf numFmtId="178" fontId="24" fillId="0" borderId="117" xfId="9" applyNumberFormat="1" applyFont="1" applyFill="1" applyBorder="1" applyAlignment="1">
      <alignment vertical="center"/>
    </xf>
    <xf numFmtId="185" fontId="23" fillId="0" borderId="3" xfId="0" applyNumberFormat="1" applyFont="1" applyBorder="1" applyAlignment="1">
      <alignment horizontal="center" vertical="center"/>
    </xf>
    <xf numFmtId="185" fontId="23" fillId="0" borderId="4" xfId="0" applyNumberFormat="1" applyFont="1" applyBorder="1" applyAlignment="1">
      <alignment horizontal="center" vertical="center"/>
    </xf>
    <xf numFmtId="178" fontId="24" fillId="0" borderId="3" xfId="9" applyNumberFormat="1" applyFont="1" applyFill="1" applyBorder="1" applyAlignment="1">
      <alignment horizontal="center" vertical="center" wrapText="1"/>
    </xf>
    <xf numFmtId="178" fontId="24" fillId="0" borderId="212" xfId="9" applyNumberFormat="1" applyFont="1" applyFill="1" applyBorder="1">
      <alignment vertical="center"/>
    </xf>
    <xf numFmtId="178" fontId="24" fillId="0" borderId="211" xfId="9" applyNumberFormat="1" applyFont="1" applyFill="1" applyBorder="1">
      <alignment vertical="center"/>
    </xf>
    <xf numFmtId="178" fontId="24" fillId="0" borderId="210" xfId="9" applyNumberFormat="1" applyFont="1" applyFill="1" applyBorder="1">
      <alignment vertical="center"/>
    </xf>
    <xf numFmtId="178" fontId="24" fillId="0" borderId="31" xfId="9" applyNumberFormat="1" applyFont="1" applyFill="1" applyBorder="1">
      <alignment vertical="center"/>
    </xf>
    <xf numFmtId="178" fontId="24" fillId="0" borderId="30" xfId="9" applyNumberFormat="1" applyFont="1" applyFill="1" applyBorder="1" applyAlignment="1">
      <alignment vertical="center"/>
    </xf>
    <xf numFmtId="186" fontId="23" fillId="0" borderId="1" xfId="0" applyNumberFormat="1" applyFont="1" applyBorder="1" applyAlignment="1">
      <alignment horizontal="center" vertical="center"/>
    </xf>
    <xf numFmtId="186" fontId="23" fillId="0" borderId="3" xfId="0" applyNumberFormat="1" applyFont="1" applyBorder="1" applyAlignment="1">
      <alignment horizontal="center" vertical="center"/>
    </xf>
    <xf numFmtId="186" fontId="23" fillId="0" borderId="4" xfId="0" applyNumberFormat="1" applyFont="1" applyBorder="1" applyAlignment="1">
      <alignment horizontal="center" vertical="center"/>
    </xf>
    <xf numFmtId="186" fontId="23" fillId="0" borderId="31" xfId="0" applyNumberFormat="1" applyFont="1" applyBorder="1" applyAlignment="1">
      <alignment horizontal="center" vertical="center"/>
    </xf>
    <xf numFmtId="185" fontId="23" fillId="0" borderId="31" xfId="0" applyNumberFormat="1" applyFont="1" applyBorder="1" applyAlignment="1">
      <alignment horizontal="center" vertical="center"/>
    </xf>
    <xf numFmtId="0" fontId="23" fillId="0" borderId="30" xfId="0" applyFont="1" applyBorder="1" applyAlignment="1">
      <alignment horizontal="center" vertical="center"/>
    </xf>
    <xf numFmtId="178" fontId="24" fillId="0" borderId="136" xfId="9" applyNumberFormat="1" applyFont="1" applyFill="1" applyBorder="1" applyAlignment="1">
      <alignment horizontal="right" vertical="center"/>
    </xf>
    <xf numFmtId="197" fontId="24" fillId="0" borderId="207" xfId="9" applyNumberFormat="1" applyFont="1" applyFill="1" applyBorder="1" applyAlignment="1">
      <alignment horizontal="right" vertical="center"/>
    </xf>
    <xf numFmtId="178" fontId="24" fillId="0" borderId="136" xfId="9" applyNumberFormat="1" applyFont="1" applyFill="1" applyBorder="1" applyAlignment="1">
      <alignment horizontal="right" vertical="center" wrapText="1"/>
    </xf>
    <xf numFmtId="197" fontId="24" fillId="0" borderId="208" xfId="9" applyNumberFormat="1" applyFont="1" applyFill="1" applyBorder="1" applyAlignment="1">
      <alignment horizontal="right" vertical="center" wrapText="1"/>
    </xf>
    <xf numFmtId="197" fontId="24" fillId="0" borderId="204" xfId="9" applyNumberFormat="1" applyFont="1" applyFill="1" applyBorder="1" applyAlignment="1">
      <alignment horizontal="center" vertical="center" wrapText="1"/>
    </xf>
    <xf numFmtId="187" fontId="23" fillId="0" borderId="6" xfId="0" applyNumberFormat="1" applyFont="1" applyBorder="1" applyAlignment="1">
      <alignment horizontal="center" vertical="center"/>
    </xf>
    <xf numFmtId="178" fontId="24" fillId="0" borderId="207" xfId="9" applyNumberFormat="1" applyFont="1" applyFill="1" applyBorder="1" applyAlignment="1">
      <alignment vertical="center"/>
    </xf>
    <xf numFmtId="178" fontId="24" fillId="0" borderId="215" xfId="9" applyNumberFormat="1" applyFont="1" applyFill="1" applyBorder="1">
      <alignment vertical="center"/>
    </xf>
    <xf numFmtId="178" fontId="24" fillId="0" borderId="214" xfId="9" applyNumberFormat="1" applyFont="1" applyFill="1" applyBorder="1">
      <alignment vertical="center"/>
    </xf>
    <xf numFmtId="178" fontId="24" fillId="0" borderId="213" xfId="9" applyNumberFormat="1" applyFont="1" applyFill="1" applyBorder="1">
      <alignment vertical="center"/>
    </xf>
    <xf numFmtId="178" fontId="24" fillId="0" borderId="6" xfId="9" applyNumberFormat="1" applyFont="1" applyFill="1" applyBorder="1">
      <alignment vertical="center"/>
    </xf>
    <xf numFmtId="186" fontId="23" fillId="0" borderId="30" xfId="0" applyNumberFormat="1" applyFont="1" applyBorder="1" applyAlignment="1">
      <alignment horizontal="center" vertical="center"/>
    </xf>
    <xf numFmtId="185" fontId="23" fillId="0" borderId="6" xfId="0" applyNumberFormat="1" applyFont="1" applyBorder="1" applyAlignment="1">
      <alignment horizontal="center" vertical="center"/>
    </xf>
    <xf numFmtId="178" fontId="24" fillId="0" borderId="217" xfId="9" applyNumberFormat="1" applyFont="1" applyFill="1" applyBorder="1" applyAlignment="1">
      <alignment vertical="center"/>
    </xf>
    <xf numFmtId="178" fontId="24" fillId="0" borderId="120" xfId="9" applyNumberFormat="1" applyFont="1" applyFill="1" applyBorder="1" applyAlignment="1">
      <alignment horizontal="right" vertical="center"/>
    </xf>
    <xf numFmtId="197" fontId="24" fillId="0" borderId="122" xfId="9" applyNumberFormat="1" applyFont="1" applyFill="1" applyBorder="1" applyAlignment="1">
      <alignment horizontal="right" vertical="center"/>
    </xf>
    <xf numFmtId="178" fontId="24" fillId="0" borderId="120" xfId="9" applyNumberFormat="1" applyFont="1" applyFill="1" applyBorder="1" applyAlignment="1">
      <alignment horizontal="right" vertical="center" wrapText="1"/>
    </xf>
    <xf numFmtId="197" fontId="24" fillId="0" borderId="121" xfId="9" applyNumberFormat="1" applyFont="1" applyFill="1" applyBorder="1" applyAlignment="1">
      <alignment horizontal="right" vertical="center" wrapText="1"/>
    </xf>
    <xf numFmtId="197" fontId="24" fillId="0" borderId="122" xfId="9" applyNumberFormat="1" applyFont="1" applyFill="1" applyBorder="1" applyAlignment="1">
      <alignment horizontal="center" vertical="center" wrapText="1"/>
    </xf>
    <xf numFmtId="178" fontId="24" fillId="0" borderId="13" xfId="9" applyNumberFormat="1" applyFont="1" applyFill="1" applyBorder="1" applyAlignment="1">
      <alignment vertical="center"/>
    </xf>
    <xf numFmtId="178" fontId="24" fillId="0" borderId="7" xfId="9" applyNumberFormat="1" applyFont="1" applyFill="1" applyBorder="1" applyAlignment="1">
      <alignment horizontal="center" vertical="center" wrapText="1"/>
    </xf>
    <xf numFmtId="178" fontId="24" fillId="0" borderId="219" xfId="9" applyNumberFormat="1" applyFont="1" applyFill="1" applyBorder="1">
      <alignment vertical="center"/>
    </xf>
    <xf numFmtId="178" fontId="24" fillId="0" borderId="218" xfId="9" applyNumberFormat="1" applyFont="1" applyFill="1" applyBorder="1">
      <alignment vertical="center"/>
    </xf>
    <xf numFmtId="178" fontId="24" fillId="0" borderId="188" xfId="9" applyNumberFormat="1" applyFont="1" applyFill="1" applyBorder="1">
      <alignment vertical="center"/>
    </xf>
    <xf numFmtId="178" fontId="24" fillId="0" borderId="13" xfId="9" applyNumberFormat="1" applyFont="1" applyFill="1" applyBorder="1">
      <alignment vertical="center"/>
    </xf>
    <xf numFmtId="178" fontId="24" fillId="0" borderId="220" xfId="9" applyNumberFormat="1" applyFont="1" applyFill="1" applyBorder="1">
      <alignment vertical="center"/>
    </xf>
    <xf numFmtId="0" fontId="24" fillId="0" borderId="30" xfId="9" applyFont="1" applyFill="1" applyBorder="1">
      <alignment vertical="center"/>
    </xf>
    <xf numFmtId="0" fontId="23" fillId="0" borderId="7" xfId="0" applyFont="1" applyBorder="1" applyAlignment="1">
      <alignment horizontal="center" vertical="center" wrapText="1"/>
    </xf>
    <xf numFmtId="0" fontId="23" fillId="0" borderId="2" xfId="0" applyFont="1" applyBorder="1" applyAlignment="1">
      <alignment horizontal="center" vertical="center"/>
    </xf>
    <xf numFmtId="0" fontId="23" fillId="0" borderId="8" xfId="0" applyFont="1" applyBorder="1" applyAlignment="1">
      <alignment horizontal="center" vertical="center"/>
    </xf>
    <xf numFmtId="186" fontId="23" fillId="0" borderId="7" xfId="0" applyNumberFormat="1" applyFont="1" applyBorder="1" applyAlignment="1">
      <alignment horizontal="center" vertical="center"/>
    </xf>
    <xf numFmtId="186" fontId="23" fillId="0" borderId="8" xfId="0" applyNumberFormat="1" applyFont="1" applyBorder="1" applyAlignment="1">
      <alignment horizontal="center" vertical="center"/>
    </xf>
    <xf numFmtId="186" fontId="23" fillId="0" borderId="13" xfId="0" applyNumberFormat="1" applyFont="1" applyBorder="1" applyAlignment="1">
      <alignment horizontal="center" vertical="center"/>
    </xf>
    <xf numFmtId="187" fontId="23" fillId="0" borderId="5" xfId="0" applyNumberFormat="1" applyFont="1" applyBorder="1" applyAlignment="1">
      <alignment horizontal="center" vertical="center"/>
    </xf>
    <xf numFmtId="187" fontId="23" fillId="0" borderId="0" xfId="0" applyNumberFormat="1" applyFont="1" applyBorder="1" applyAlignment="1">
      <alignment horizontal="center" vertical="center"/>
    </xf>
    <xf numFmtId="3" fontId="24" fillId="0" borderId="30" xfId="9" applyNumberFormat="1" applyFont="1" applyFill="1" applyBorder="1" applyAlignment="1">
      <alignment vertical="center"/>
    </xf>
    <xf numFmtId="0" fontId="23" fillId="0" borderId="5" xfId="0" applyFont="1" applyBorder="1" applyAlignment="1">
      <alignment vertical="center"/>
    </xf>
    <xf numFmtId="0" fontId="23" fillId="0" borderId="0" xfId="0" applyFont="1" applyBorder="1" applyAlignment="1">
      <alignment vertical="center"/>
    </xf>
    <xf numFmtId="185" fontId="23" fillId="0" borderId="5" xfId="0" applyNumberFormat="1" applyFont="1" applyBorder="1" applyAlignment="1">
      <alignment vertical="center"/>
    </xf>
    <xf numFmtId="178" fontId="24" fillId="0" borderId="0" xfId="9" applyNumberFormat="1" applyFont="1" applyFill="1" applyBorder="1" applyAlignment="1">
      <alignment vertical="center"/>
    </xf>
    <xf numFmtId="178" fontId="24" fillId="0" borderId="2" xfId="9" applyNumberFormat="1" applyFont="1" applyFill="1" applyBorder="1" applyAlignment="1">
      <alignment vertical="center"/>
    </xf>
    <xf numFmtId="178" fontId="24" fillId="0" borderId="173" xfId="9" applyNumberFormat="1" applyFont="1" applyFill="1" applyBorder="1">
      <alignment vertical="center"/>
    </xf>
    <xf numFmtId="185" fontId="23" fillId="0" borderId="0" xfId="0" applyNumberFormat="1" applyFont="1" applyBorder="1" applyAlignment="1">
      <alignment vertical="center"/>
    </xf>
    <xf numFmtId="178" fontId="24" fillId="0" borderId="0" xfId="9" applyNumberFormat="1" applyFont="1" applyFill="1" applyAlignment="1">
      <alignment vertical="center"/>
    </xf>
    <xf numFmtId="197" fontId="24" fillId="0" borderId="0" xfId="9" applyNumberFormat="1" applyFont="1" applyFill="1" applyAlignment="1">
      <alignment vertical="center"/>
    </xf>
    <xf numFmtId="197" fontId="24" fillId="0" borderId="0" xfId="9" applyNumberFormat="1" applyFont="1" applyFill="1" applyAlignment="1">
      <alignment horizontal="center" vertical="center"/>
    </xf>
    <xf numFmtId="178" fontId="24" fillId="0" borderId="0" xfId="9" applyNumberFormat="1" applyFont="1" applyFill="1" applyAlignment="1">
      <alignment horizontal="center" vertical="center"/>
    </xf>
    <xf numFmtId="178" fontId="24" fillId="0" borderId="3" xfId="9" applyNumberFormat="1" applyFont="1" applyFill="1" applyBorder="1">
      <alignment vertical="center"/>
    </xf>
    <xf numFmtId="200" fontId="24" fillId="0" borderId="30" xfId="9" applyNumberFormat="1" applyFont="1" applyFill="1" applyBorder="1" applyAlignment="1">
      <alignment vertical="center" wrapText="1"/>
    </xf>
    <xf numFmtId="178" fontId="24" fillId="0" borderId="5" xfId="9" applyNumberFormat="1" applyFont="1" applyFill="1" applyBorder="1">
      <alignment vertical="center"/>
    </xf>
    <xf numFmtId="178" fontId="24" fillId="0" borderId="7" xfId="9" applyNumberFormat="1" applyFont="1" applyFill="1" applyBorder="1">
      <alignment vertical="center"/>
    </xf>
    <xf numFmtId="178" fontId="24" fillId="0" borderId="0" xfId="9" applyNumberFormat="1" applyFont="1" applyFill="1" applyBorder="1">
      <alignment vertical="center"/>
    </xf>
    <xf numFmtId="178" fontId="14" fillId="0" borderId="7" xfId="7" applyNumberFormat="1" applyFont="1" applyFill="1" applyBorder="1" applyAlignment="1">
      <alignment vertical="center"/>
    </xf>
    <xf numFmtId="0" fontId="14" fillId="0" borderId="0" xfId="7" applyFont="1"/>
    <xf numFmtId="0" fontId="25" fillId="0" borderId="0" xfId="7" applyFont="1"/>
    <xf numFmtId="3" fontId="14" fillId="0" borderId="0" xfId="7" applyNumberFormat="1" applyFont="1" applyFill="1" applyBorder="1" applyAlignment="1">
      <alignment horizontal="right" vertical="center" wrapText="1"/>
    </xf>
    <xf numFmtId="0" fontId="14" fillId="0" borderId="6" xfId="7" applyFont="1" applyFill="1" applyBorder="1" applyAlignment="1">
      <alignment vertical="center" wrapText="1"/>
    </xf>
    <xf numFmtId="0" fontId="14" fillId="0" borderId="13" xfId="7" applyFont="1" applyFill="1" applyBorder="1" applyAlignment="1">
      <alignment vertical="center" wrapText="1"/>
    </xf>
    <xf numFmtId="0" fontId="14" fillId="0" borderId="0" xfId="0" applyFont="1" applyFill="1" applyBorder="1" applyAlignment="1">
      <alignment horizontal="left" vertical="center" wrapText="1"/>
    </xf>
    <xf numFmtId="0" fontId="14" fillId="0" borderId="0" xfId="7" applyFont="1" applyFill="1" applyBorder="1" applyAlignment="1">
      <alignment horizontal="center" vertical="center"/>
    </xf>
    <xf numFmtId="56" fontId="14" fillId="0" borderId="0" xfId="7" quotePrefix="1" applyNumberFormat="1" applyFont="1" applyFill="1" applyBorder="1" applyAlignment="1">
      <alignment horizontal="center" vertical="center" wrapText="1"/>
    </xf>
    <xf numFmtId="3" fontId="14" fillId="0" borderId="0" xfId="0" applyNumberFormat="1" applyFont="1" applyFill="1" applyBorder="1" applyAlignment="1">
      <alignment horizontal="right" vertical="center" wrapText="1"/>
    </xf>
    <xf numFmtId="0" fontId="14" fillId="0" borderId="0" xfId="0" applyFont="1" applyFill="1" applyBorder="1" applyAlignment="1">
      <alignment horizontal="right" vertical="center" wrapText="1"/>
    </xf>
    <xf numFmtId="0" fontId="7" fillId="0" borderId="0" xfId="6" applyFont="1" applyFill="1" applyBorder="1" applyAlignment="1">
      <alignment vertical="center" wrapText="1"/>
    </xf>
    <xf numFmtId="0" fontId="14" fillId="0" borderId="0" xfId="7" applyFont="1" applyFill="1" applyBorder="1" applyAlignment="1">
      <alignment horizontal="center" vertical="center" wrapText="1"/>
    </xf>
    <xf numFmtId="0" fontId="9" fillId="0" borderId="0" xfId="6" applyFont="1" applyFill="1" applyBorder="1" applyAlignment="1">
      <alignment vertical="center" wrapText="1"/>
    </xf>
    <xf numFmtId="0" fontId="14" fillId="0" borderId="10" xfId="0" applyFont="1" applyFill="1" applyBorder="1" applyAlignment="1">
      <alignmen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wrapText="1"/>
    </xf>
    <xf numFmtId="178" fontId="26" fillId="0" borderId="5" xfId="9" applyNumberFormat="1" applyFont="1" applyFill="1" applyBorder="1" applyAlignment="1">
      <alignment vertical="center" wrapText="1"/>
    </xf>
    <xf numFmtId="197" fontId="26" fillId="0" borderId="0" xfId="9" applyNumberFormat="1" applyFont="1" applyFill="1" applyBorder="1" applyAlignment="1">
      <alignment vertical="center" wrapText="1"/>
    </xf>
    <xf numFmtId="197" fontId="26" fillId="0" borderId="6" xfId="9" applyNumberFormat="1" applyFont="1" applyFill="1" applyBorder="1" applyAlignment="1">
      <alignment horizontal="center" vertical="center" wrapText="1"/>
    </xf>
    <xf numFmtId="178" fontId="26" fillId="0" borderId="5" xfId="9" applyNumberFormat="1" applyFont="1" applyFill="1" applyBorder="1" applyAlignment="1">
      <alignment horizontal="center" vertical="center" wrapText="1"/>
    </xf>
    <xf numFmtId="197" fontId="26" fillId="0" borderId="200" xfId="9" applyNumberFormat="1" applyFont="1" applyFill="1" applyBorder="1" applyAlignment="1">
      <alignment horizontal="center" vertical="center"/>
    </xf>
    <xf numFmtId="197" fontId="26" fillId="0" borderId="201" xfId="9" applyNumberFormat="1" applyFont="1" applyFill="1" applyBorder="1" applyAlignment="1">
      <alignment horizontal="center" vertical="center" wrapText="1"/>
    </xf>
    <xf numFmtId="178" fontId="26" fillId="0" borderId="8" xfId="9" applyNumberFormat="1" applyFont="1" applyFill="1" applyBorder="1" applyAlignment="1">
      <alignment horizontal="right" vertical="center"/>
    </xf>
    <xf numFmtId="197" fontId="26" fillId="0" borderId="8" xfId="9" applyNumberFormat="1" applyFont="1" applyFill="1" applyBorder="1" applyAlignment="1">
      <alignment horizontal="right" vertical="center"/>
    </xf>
    <xf numFmtId="178" fontId="26" fillId="0" borderId="8" xfId="9" applyNumberFormat="1" applyFont="1" applyFill="1" applyBorder="1" applyAlignment="1">
      <alignment horizontal="right" vertical="center" wrapText="1"/>
    </xf>
    <xf numFmtId="197" fontId="26" fillId="0" borderId="8" xfId="9" applyNumberFormat="1" applyFont="1" applyFill="1" applyBorder="1" applyAlignment="1">
      <alignment horizontal="right" vertical="center" wrapText="1"/>
    </xf>
    <xf numFmtId="197" fontId="26" fillId="0" borderId="8" xfId="9" applyNumberFormat="1" applyFont="1" applyFill="1" applyBorder="1" applyAlignment="1">
      <alignment horizontal="center" vertical="center" wrapText="1"/>
    </xf>
    <xf numFmtId="178" fontId="14" fillId="0" borderId="8" xfId="9" applyNumberFormat="1" applyFont="1" applyFill="1" applyBorder="1" applyAlignment="1">
      <alignment vertical="center"/>
    </xf>
    <xf numFmtId="178" fontId="26" fillId="0" borderId="115" xfId="9" applyNumberFormat="1" applyFont="1" applyFill="1" applyBorder="1" applyAlignment="1">
      <alignment horizontal="right" vertical="center"/>
    </xf>
    <xf numFmtId="197" fontId="26" fillId="0" borderId="202" xfId="9" applyNumberFormat="1" applyFont="1" applyFill="1" applyBorder="1" applyAlignment="1">
      <alignment horizontal="right" vertical="center"/>
    </xf>
    <xf numFmtId="178" fontId="26" fillId="0" borderId="115" xfId="9" applyNumberFormat="1" applyFont="1" applyFill="1" applyBorder="1" applyAlignment="1">
      <alignment horizontal="right" vertical="center" wrapText="1"/>
    </xf>
    <xf numFmtId="197" fontId="26" fillId="0" borderId="203" xfId="9" applyNumberFormat="1" applyFont="1" applyFill="1" applyBorder="1" applyAlignment="1">
      <alignment horizontal="right" vertical="center" wrapText="1"/>
    </xf>
    <xf numFmtId="197" fontId="26" fillId="0" borderId="117" xfId="9" applyNumberFormat="1" applyFont="1" applyFill="1" applyBorder="1" applyAlignment="1">
      <alignment horizontal="center" vertical="center" wrapText="1"/>
    </xf>
    <xf numFmtId="178" fontId="26" fillId="0" borderId="120" xfId="9" applyNumberFormat="1" applyFont="1" applyFill="1" applyBorder="1" applyAlignment="1">
      <alignment horizontal="right" vertical="center"/>
    </xf>
    <xf numFmtId="197" fontId="26" fillId="0" borderId="122" xfId="9" applyNumberFormat="1" applyFont="1" applyFill="1" applyBorder="1" applyAlignment="1">
      <alignment horizontal="right" vertical="center"/>
    </xf>
    <xf numFmtId="178" fontId="26" fillId="0" borderId="120" xfId="9" applyNumberFormat="1" applyFont="1" applyFill="1" applyBorder="1" applyAlignment="1">
      <alignment horizontal="right" vertical="center" wrapText="1"/>
    </xf>
    <xf numFmtId="197" fontId="26" fillId="0" borderId="121" xfId="9" applyNumberFormat="1" applyFont="1" applyFill="1" applyBorder="1" applyAlignment="1">
      <alignment horizontal="right" vertical="center" wrapText="1"/>
    </xf>
    <xf numFmtId="197" fontId="26" fillId="0" borderId="122" xfId="9" applyNumberFormat="1" applyFont="1" applyFill="1" applyBorder="1" applyAlignment="1">
      <alignment horizontal="center" vertical="center" wrapText="1"/>
    </xf>
    <xf numFmtId="178" fontId="26" fillId="0" borderId="0" xfId="9" applyNumberFormat="1" applyFont="1" applyFill="1" applyAlignment="1">
      <alignment vertical="center"/>
    </xf>
    <xf numFmtId="197" fontId="26" fillId="0" borderId="0" xfId="9" applyNumberFormat="1" applyFont="1" applyFill="1" applyAlignment="1">
      <alignment vertical="center"/>
    </xf>
    <xf numFmtId="197" fontId="26" fillId="0" borderId="0" xfId="9" applyNumberFormat="1" applyFont="1" applyFill="1" applyAlignment="1">
      <alignment horizontal="center" vertical="center"/>
    </xf>
    <xf numFmtId="178" fontId="14" fillId="0" borderId="0" xfId="9" applyNumberFormat="1" applyFont="1" applyFill="1" applyAlignment="1">
      <alignment vertical="center"/>
    </xf>
    <xf numFmtId="178" fontId="26" fillId="0" borderId="30" xfId="9" applyNumberFormat="1" applyFont="1" applyFill="1" applyBorder="1" applyAlignment="1">
      <alignment vertical="center" wrapText="1"/>
    </xf>
    <xf numFmtId="197" fontId="26" fillId="0" borderId="115" xfId="9" applyNumberFormat="1" applyFont="1" applyFill="1" applyBorder="1" applyAlignment="1">
      <alignment horizontal="right" vertical="center" wrapText="1"/>
    </xf>
    <xf numFmtId="178" fontId="14" fillId="0" borderId="0" xfId="9" applyNumberFormat="1" applyFont="1" applyFill="1" applyBorder="1" applyAlignment="1">
      <alignment vertical="center"/>
    </xf>
    <xf numFmtId="178" fontId="26" fillId="0" borderId="0" xfId="9" applyNumberFormat="1" applyFont="1" applyFill="1" applyBorder="1" applyAlignment="1">
      <alignment vertical="center"/>
    </xf>
    <xf numFmtId="178" fontId="26" fillId="0" borderId="11" xfId="9" applyNumberFormat="1" applyFont="1" applyFill="1" applyBorder="1" applyAlignment="1">
      <alignment vertical="center"/>
    </xf>
    <xf numFmtId="178" fontId="14" fillId="0" borderId="9" xfId="9" applyNumberFormat="1" applyFont="1" applyFill="1" applyBorder="1" applyAlignment="1">
      <alignment vertical="center"/>
    </xf>
    <xf numFmtId="202" fontId="26" fillId="0" borderId="1" xfId="9" applyNumberFormat="1" applyFont="1" applyFill="1" applyBorder="1" applyAlignment="1"/>
    <xf numFmtId="202" fontId="26" fillId="0" borderId="30" xfId="9" applyNumberFormat="1" applyFont="1" applyFill="1" applyBorder="1" applyAlignment="1">
      <alignment vertical="top"/>
    </xf>
    <xf numFmtId="202" fontId="26" fillId="0" borderId="30" xfId="9" applyNumberFormat="1" applyFont="1" applyFill="1" applyBorder="1" applyAlignment="1"/>
    <xf numFmtId="202" fontId="26" fillId="0" borderId="2" xfId="9" applyNumberFormat="1" applyFont="1" applyFill="1" applyBorder="1" applyAlignment="1">
      <alignment vertical="top"/>
    </xf>
    <xf numFmtId="178" fontId="14" fillId="0" borderId="8" xfId="9" applyNumberFormat="1" applyFont="1" applyFill="1" applyBorder="1" applyAlignment="1">
      <alignment horizontal="left" vertical="center" indent="1"/>
    </xf>
    <xf numFmtId="185" fontId="26" fillId="0" borderId="1" xfId="9" applyNumberFormat="1" applyFont="1" applyFill="1" applyBorder="1" applyAlignment="1">
      <alignment horizontal="left" wrapText="1" indent="1"/>
    </xf>
    <xf numFmtId="198" fontId="26" fillId="0" borderId="2" xfId="9" applyNumberFormat="1" applyFont="1" applyFill="1" applyBorder="1" applyAlignment="1">
      <alignment horizontal="right" vertical="top" wrapText="1"/>
    </xf>
    <xf numFmtId="178" fontId="14" fillId="0" borderId="0" xfId="9" applyNumberFormat="1" applyFont="1" applyFill="1" applyAlignment="1">
      <alignment horizontal="left" vertical="center" indent="1"/>
    </xf>
    <xf numFmtId="0" fontId="14" fillId="0" borderId="4" xfId="14" applyFont="1" applyFill="1" applyBorder="1" applyAlignment="1">
      <alignment vertical="center"/>
    </xf>
    <xf numFmtId="0" fontId="14" fillId="0" borderId="8" xfId="14" applyFont="1" applyFill="1" applyBorder="1" applyAlignment="1">
      <alignment vertical="center" wrapText="1"/>
    </xf>
    <xf numFmtId="0" fontId="14" fillId="0" borderId="8" xfId="14" quotePrefix="1" applyFont="1" applyFill="1" applyBorder="1" applyAlignment="1">
      <alignment vertical="center" wrapText="1"/>
    </xf>
    <xf numFmtId="178" fontId="26" fillId="0" borderId="4" xfId="9" applyNumberFormat="1" applyFont="1" applyFill="1" applyBorder="1" applyAlignment="1">
      <alignment vertical="center" wrapText="1"/>
    </xf>
    <xf numFmtId="178" fontId="26" fillId="0" borderId="0" xfId="9" applyNumberFormat="1" applyFont="1" applyFill="1" applyBorder="1" applyAlignment="1">
      <alignment vertical="center" wrapText="1"/>
    </xf>
    <xf numFmtId="0" fontId="27" fillId="2" borderId="0" xfId="0" applyFont="1" applyFill="1" applyBorder="1" applyAlignment="1">
      <alignment vertical="center"/>
    </xf>
    <xf numFmtId="0" fontId="27" fillId="3" borderId="0" xfId="0" applyFont="1" applyFill="1" applyBorder="1" applyAlignment="1">
      <alignment vertical="center"/>
    </xf>
    <xf numFmtId="0" fontId="27" fillId="0" borderId="11" xfId="0" applyFont="1" applyBorder="1" applyAlignment="1">
      <alignment vertical="center"/>
    </xf>
    <xf numFmtId="0" fontId="27" fillId="2" borderId="0" xfId="0" applyFont="1" applyFill="1" applyAlignment="1">
      <alignment vertical="center"/>
    </xf>
    <xf numFmtId="0" fontId="27" fillId="0" borderId="10" xfId="0" applyFont="1" applyBorder="1" applyAlignment="1">
      <alignment vertical="center"/>
    </xf>
    <xf numFmtId="0" fontId="27" fillId="2" borderId="0" xfId="0" applyFont="1" applyFill="1" applyBorder="1" applyAlignment="1">
      <alignment horizontal="right" vertical="center"/>
    </xf>
    <xf numFmtId="0" fontId="29" fillId="2" borderId="0" xfId="0" applyFont="1" applyFill="1" applyBorder="1" applyAlignment="1">
      <alignment vertical="center"/>
    </xf>
    <xf numFmtId="0" fontId="29" fillId="2" borderId="0" xfId="0" applyFont="1" applyFill="1" applyAlignment="1">
      <alignment vertical="center"/>
    </xf>
    <xf numFmtId="0" fontId="28" fillId="2" borderId="0" xfId="0" applyFont="1" applyFill="1" applyBorder="1" applyAlignment="1">
      <alignment vertical="center"/>
    </xf>
    <xf numFmtId="0" fontId="28" fillId="2" borderId="0" xfId="0" applyFont="1" applyFill="1" applyAlignment="1">
      <alignment vertical="center"/>
    </xf>
    <xf numFmtId="0" fontId="27" fillId="2" borderId="4" xfId="0" applyFont="1" applyFill="1" applyBorder="1" applyAlignment="1">
      <alignment vertical="center"/>
    </xf>
    <xf numFmtId="0" fontId="27" fillId="2" borderId="0" xfId="0" applyNumberFormat="1" applyFont="1" applyFill="1" applyBorder="1" applyAlignment="1">
      <alignment vertical="center"/>
    </xf>
    <xf numFmtId="0" fontId="27" fillId="3" borderId="0"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27" fillId="2" borderId="0" xfId="0" applyNumberFormat="1" applyFont="1" applyFill="1" applyBorder="1" applyAlignment="1">
      <alignment horizontal="center" vertical="center"/>
    </xf>
    <xf numFmtId="0" fontId="27" fillId="2" borderId="11" xfId="0" applyFont="1" applyFill="1" applyBorder="1" applyAlignment="1">
      <alignment vertical="center"/>
    </xf>
    <xf numFmtId="0" fontId="27" fillId="2" borderId="8" xfId="0" applyFont="1" applyFill="1" applyBorder="1" applyAlignment="1">
      <alignment vertical="center"/>
    </xf>
    <xf numFmtId="0" fontId="27" fillId="2" borderId="0" xfId="0" applyFont="1" applyFill="1" applyAlignment="1">
      <alignment vertical="center" shrinkToFit="1"/>
    </xf>
    <xf numFmtId="0" fontId="27" fillId="2" borderId="5" xfId="0" applyFont="1" applyFill="1" applyBorder="1" applyAlignment="1">
      <alignment vertical="center" shrinkToFit="1"/>
    </xf>
    <xf numFmtId="0" fontId="27" fillId="2" borderId="12" xfId="0" applyFont="1" applyFill="1" applyBorder="1">
      <alignment vertical="center"/>
    </xf>
    <xf numFmtId="0" fontId="27" fillId="2" borderId="0" xfId="0" applyFont="1" applyFill="1" applyBorder="1" applyAlignment="1">
      <alignment horizontal="distributed" vertical="center" shrinkToFit="1"/>
    </xf>
    <xf numFmtId="0" fontId="27" fillId="2" borderId="0" xfId="0" applyFont="1" applyFill="1" applyBorder="1" applyAlignment="1">
      <alignment vertical="center" shrinkToFit="1"/>
    </xf>
    <xf numFmtId="0" fontId="27" fillId="2" borderId="9" xfId="0" applyFont="1" applyFill="1" applyBorder="1" applyAlignment="1">
      <alignment horizontal="center" vertical="center" shrinkToFit="1"/>
    </xf>
    <xf numFmtId="32" fontId="27" fillId="2" borderId="11" xfId="0" applyNumberFormat="1" applyFont="1" applyFill="1" applyBorder="1">
      <alignment vertical="center"/>
    </xf>
    <xf numFmtId="32" fontId="27" fillId="2" borderId="0" xfId="0" applyNumberFormat="1" applyFont="1" applyFill="1" applyBorder="1">
      <alignment vertical="center"/>
    </xf>
    <xf numFmtId="0" fontId="27" fillId="2" borderId="0" xfId="0" applyNumberFormat="1" applyFont="1" applyFill="1" applyBorder="1" applyAlignment="1">
      <alignment vertical="center" shrinkToFit="1"/>
    </xf>
    <xf numFmtId="0" fontId="27" fillId="2" borderId="11" xfId="0" applyFont="1" applyFill="1" applyBorder="1" applyAlignment="1">
      <alignment vertical="center" shrinkToFit="1"/>
    </xf>
    <xf numFmtId="0" fontId="27" fillId="2" borderId="0" xfId="0" applyNumberFormat="1" applyFont="1" applyFill="1" applyBorder="1" applyAlignment="1">
      <alignment horizontal="center" vertical="center" shrinkToFit="1"/>
    </xf>
    <xf numFmtId="0" fontId="27" fillId="2" borderId="3" xfId="0" applyNumberFormat="1" applyFont="1" applyFill="1" applyBorder="1" applyAlignment="1">
      <alignment vertical="center"/>
    </xf>
    <xf numFmtId="0" fontId="27" fillId="2" borderId="4" xfId="0" applyNumberFormat="1" applyFont="1" applyFill="1" applyBorder="1" applyAlignment="1">
      <alignment vertical="center"/>
    </xf>
    <xf numFmtId="0" fontId="27" fillId="2" borderId="5" xfId="0" applyNumberFormat="1" applyFont="1" applyFill="1" applyBorder="1" applyAlignment="1">
      <alignment vertical="center" shrinkToFit="1"/>
    </xf>
    <xf numFmtId="177" fontId="27" fillId="2" borderId="11" xfId="0" applyNumberFormat="1" applyFont="1" applyFill="1" applyBorder="1" applyAlignment="1">
      <alignment vertical="center" shrinkToFit="1"/>
    </xf>
    <xf numFmtId="0" fontId="27" fillId="2" borderId="7" xfId="0" applyNumberFormat="1" applyFont="1" applyFill="1" applyBorder="1" applyAlignment="1">
      <alignment vertical="center"/>
    </xf>
    <xf numFmtId="0" fontId="27" fillId="2" borderId="8" xfId="0" applyNumberFormat="1" applyFont="1" applyFill="1" applyBorder="1" applyAlignment="1">
      <alignment vertical="center"/>
    </xf>
    <xf numFmtId="0" fontId="27" fillId="2" borderId="5" xfId="0" applyNumberFormat="1" applyFont="1" applyFill="1" applyBorder="1" applyAlignment="1">
      <alignment vertical="center"/>
    </xf>
    <xf numFmtId="0" fontId="27" fillId="2" borderId="4" xfId="0" applyNumberFormat="1" applyFont="1" applyFill="1" applyBorder="1" applyAlignment="1">
      <alignment vertical="center" shrinkToFit="1"/>
    </xf>
    <xf numFmtId="0" fontId="27" fillId="2" borderId="31" xfId="0" applyNumberFormat="1" applyFont="1" applyFill="1" applyBorder="1" applyAlignment="1">
      <alignment vertical="center" shrinkToFit="1"/>
    </xf>
    <xf numFmtId="177" fontId="27" fillId="2" borderId="10" xfId="0" applyNumberFormat="1" applyFont="1" applyFill="1" applyBorder="1" applyAlignment="1">
      <alignment vertical="center" shrinkToFit="1"/>
    </xf>
    <xf numFmtId="0" fontId="27" fillId="2" borderId="13" xfId="0" applyNumberFormat="1" applyFont="1" applyFill="1" applyBorder="1" applyAlignment="1">
      <alignment vertical="center" shrinkToFit="1"/>
    </xf>
    <xf numFmtId="0" fontId="27" fillId="0" borderId="0" xfId="0" applyFont="1" applyAlignment="1">
      <alignment vertical="center"/>
    </xf>
    <xf numFmtId="0" fontId="27" fillId="2" borderId="10" xfId="0" applyFont="1" applyFill="1" applyBorder="1" applyAlignment="1">
      <alignment vertical="center"/>
    </xf>
    <xf numFmtId="0" fontId="27" fillId="2" borderId="0" xfId="0" applyFont="1" applyFill="1">
      <alignment vertical="center"/>
    </xf>
    <xf numFmtId="0" fontId="27" fillId="2" borderId="11" xfId="0" applyFont="1" applyFill="1" applyBorder="1">
      <alignment vertical="center"/>
    </xf>
    <xf numFmtId="0" fontId="27" fillId="2" borderId="10" xfId="0" applyFont="1" applyFill="1" applyBorder="1">
      <alignment vertical="center"/>
    </xf>
    <xf numFmtId="0" fontId="27" fillId="2" borderId="15" xfId="1" applyFont="1" applyFill="1" applyBorder="1" applyAlignment="1">
      <alignment vertical="center"/>
    </xf>
    <xf numFmtId="0" fontId="27" fillId="2" borderId="106" xfId="0" applyFont="1" applyFill="1" applyBorder="1" applyAlignment="1">
      <alignment horizontal="center" vertical="center" shrinkToFit="1"/>
    </xf>
    <xf numFmtId="0" fontId="27" fillId="2" borderId="4" xfId="1" applyFont="1" applyFill="1" applyBorder="1" applyAlignment="1">
      <alignment vertical="center" shrinkToFit="1"/>
    </xf>
    <xf numFmtId="0" fontId="27" fillId="2" borderId="4" xfId="1" applyFont="1" applyFill="1" applyBorder="1" applyAlignment="1">
      <alignment horizontal="center" vertical="center" shrinkToFit="1"/>
    </xf>
    <xf numFmtId="176" fontId="27" fillId="2" borderId="4" xfId="1" applyNumberFormat="1" applyFont="1" applyFill="1" applyBorder="1" applyAlignment="1">
      <alignment horizontal="center" vertical="center" shrinkToFit="1"/>
    </xf>
    <xf numFmtId="0" fontId="27" fillId="2" borderId="0" xfId="1" applyFont="1" applyFill="1" applyBorder="1" applyAlignment="1">
      <alignment vertical="center"/>
    </xf>
    <xf numFmtId="0" fontId="27" fillId="2" borderId="8" xfId="1" applyFont="1" applyFill="1" applyBorder="1" applyAlignment="1">
      <alignment vertical="center" shrinkToFit="1"/>
    </xf>
    <xf numFmtId="0" fontId="27" fillId="2" borderId="1" xfId="1" applyFont="1" applyFill="1" applyBorder="1" applyAlignment="1">
      <alignment vertical="center" textRotation="255" shrinkToFit="1"/>
    </xf>
    <xf numFmtId="0" fontId="27" fillId="2" borderId="10" xfId="0" applyFont="1" applyFill="1" applyBorder="1" applyAlignment="1">
      <alignment vertical="center" shrinkToFit="1"/>
    </xf>
    <xf numFmtId="0" fontId="27" fillId="2" borderId="30" xfId="1" applyFont="1" applyFill="1" applyBorder="1" applyAlignment="1">
      <alignment vertical="center" textRotation="255" shrinkToFit="1"/>
    </xf>
    <xf numFmtId="0" fontId="27" fillId="2" borderId="2" xfId="1" applyFont="1" applyFill="1" applyBorder="1" applyAlignment="1">
      <alignment vertical="center" textRotation="255" shrinkToFit="1"/>
    </xf>
    <xf numFmtId="0" fontId="27" fillId="2" borderId="14" xfId="1" applyNumberFormat="1" applyFont="1" applyFill="1" applyBorder="1" applyAlignment="1">
      <alignment horizontal="center" vertical="center" shrinkToFit="1"/>
    </xf>
    <xf numFmtId="0" fontId="27" fillId="2" borderId="11" xfId="1" applyFont="1" applyFill="1" applyBorder="1" applyAlignment="1">
      <alignment vertical="center" textRotation="255" shrinkToFit="1"/>
    </xf>
    <xf numFmtId="0" fontId="27" fillId="2" borderId="0" xfId="1" applyFont="1" applyFill="1" applyBorder="1" applyAlignment="1">
      <alignment vertical="center" shrinkToFit="1"/>
    </xf>
    <xf numFmtId="0" fontId="27" fillId="2" borderId="8" xfId="1" applyFont="1" applyFill="1" applyBorder="1" applyAlignment="1">
      <alignment vertical="center"/>
    </xf>
    <xf numFmtId="0" fontId="27" fillId="2" borderId="0" xfId="0" applyNumberFormat="1" applyFont="1" applyFill="1" applyAlignment="1">
      <alignment vertical="center" shrinkToFit="1"/>
    </xf>
    <xf numFmtId="0" fontId="27" fillId="2" borderId="8" xfId="0" applyFont="1" applyFill="1" applyBorder="1" applyAlignment="1">
      <alignment vertical="center" shrinkToFit="1"/>
    </xf>
    <xf numFmtId="0" fontId="27" fillId="2" borderId="8" xfId="1" applyFont="1" applyFill="1" applyBorder="1" applyAlignment="1">
      <alignment horizontal="center" vertical="center" textRotation="255" shrinkToFit="1"/>
    </xf>
    <xf numFmtId="0" fontId="27" fillId="2" borderId="8" xfId="1" applyFont="1" applyFill="1" applyBorder="1" applyAlignment="1">
      <alignment horizontal="center" vertical="center" shrinkToFit="1"/>
    </xf>
    <xf numFmtId="176" fontId="27" fillId="2" borderId="8" xfId="1" applyNumberFormat="1" applyFont="1" applyFill="1" applyBorder="1" applyAlignment="1">
      <alignment horizontal="center" vertical="center" shrinkToFit="1"/>
    </xf>
    <xf numFmtId="0" fontId="27" fillId="2" borderId="108" xfId="0" applyFont="1" applyFill="1" applyBorder="1" applyAlignment="1">
      <alignment vertical="center" shrinkToFit="1"/>
    </xf>
    <xf numFmtId="0" fontId="27" fillId="2" borderId="37" xfId="0" applyFont="1" applyFill="1" applyBorder="1" applyAlignment="1">
      <alignment vertical="center" shrinkToFit="1"/>
    </xf>
    <xf numFmtId="0" fontId="27" fillId="2" borderId="95" xfId="0" applyFont="1" applyFill="1" applyBorder="1" applyAlignment="1">
      <alignment vertical="center" shrinkToFit="1"/>
    </xf>
    <xf numFmtId="0" fontId="27" fillId="2" borderId="9" xfId="0" applyFont="1" applyFill="1" applyBorder="1" applyAlignment="1">
      <alignment vertical="center" shrinkToFit="1"/>
    </xf>
    <xf numFmtId="0" fontId="27" fillId="2" borderId="9" xfId="1" applyFont="1" applyFill="1" applyBorder="1" applyAlignment="1">
      <alignment vertical="center" shrinkToFit="1"/>
    </xf>
    <xf numFmtId="0" fontId="27" fillId="2" borderId="9" xfId="1" applyFont="1" applyFill="1" applyBorder="1" applyAlignment="1">
      <alignment horizontal="center" vertical="center" shrinkToFit="1"/>
    </xf>
    <xf numFmtId="0" fontId="27" fillId="2" borderId="22" xfId="0" applyFont="1" applyFill="1" applyBorder="1" applyAlignment="1">
      <alignment vertical="center" shrinkToFit="1"/>
    </xf>
    <xf numFmtId="0" fontId="27" fillId="2" borderId="0" xfId="1" applyFont="1" applyFill="1" applyBorder="1" applyAlignment="1">
      <alignment horizontal="center" vertical="center" shrinkToFit="1"/>
    </xf>
    <xf numFmtId="0" fontId="27" fillId="2" borderId="38" xfId="1" applyFont="1" applyFill="1" applyBorder="1" applyAlignment="1">
      <alignment horizontal="center" vertical="center" shrinkToFit="1"/>
    </xf>
    <xf numFmtId="0" fontId="33" fillId="0" borderId="0" xfId="0" applyFont="1" applyAlignment="1">
      <alignment vertical="center" shrinkToFit="1"/>
    </xf>
    <xf numFmtId="0" fontId="27" fillId="0" borderId="0" xfId="0" applyFont="1" applyAlignment="1">
      <alignment vertical="center" shrinkToFit="1"/>
    </xf>
    <xf numFmtId="0" fontId="27" fillId="2" borderId="4" xfId="0" applyFont="1" applyFill="1" applyBorder="1" applyAlignment="1">
      <alignment vertical="center" shrinkToFit="1"/>
    </xf>
    <xf numFmtId="0" fontId="27" fillId="2" borderId="5" xfId="1" applyFont="1" applyFill="1" applyBorder="1" applyAlignment="1">
      <alignment vertical="center" shrinkToFit="1"/>
    </xf>
    <xf numFmtId="0" fontId="27" fillId="2" borderId="38" xfId="1" applyFont="1" applyFill="1" applyBorder="1" applyAlignment="1">
      <alignment vertical="center" shrinkToFit="1"/>
    </xf>
    <xf numFmtId="0" fontId="27" fillId="2" borderId="7" xfId="1" applyFont="1" applyFill="1" applyBorder="1" applyAlignment="1">
      <alignment vertical="center" shrinkToFit="1"/>
    </xf>
    <xf numFmtId="0" fontId="27" fillId="2" borderId="60" xfId="1" applyFont="1" applyFill="1" applyBorder="1" applyAlignment="1">
      <alignment vertical="center" shrinkToFit="1"/>
    </xf>
    <xf numFmtId="176" fontId="27" fillId="2" borderId="10" xfId="1" applyNumberFormat="1" applyFont="1" applyFill="1" applyBorder="1" applyAlignment="1">
      <alignment horizontal="center" vertical="center" shrinkToFit="1"/>
    </xf>
    <xf numFmtId="176" fontId="27" fillId="2" borderId="0" xfId="1" applyNumberFormat="1" applyFont="1" applyFill="1" applyBorder="1" applyAlignment="1">
      <alignment horizontal="center" vertical="center" shrinkToFit="1"/>
    </xf>
    <xf numFmtId="0" fontId="27" fillId="2" borderId="14" xfId="1" applyNumberFormat="1" applyFont="1" applyFill="1" applyBorder="1" applyAlignment="1">
      <alignment vertical="center" shrinkToFit="1"/>
    </xf>
    <xf numFmtId="0" fontId="27" fillId="2" borderId="1" xfId="1" applyFont="1" applyFill="1" applyBorder="1" applyAlignment="1">
      <alignment horizontal="center" vertical="center" textRotation="255" shrinkToFit="1"/>
    </xf>
    <xf numFmtId="0" fontId="27" fillId="2" borderId="7" xfId="0" applyFont="1" applyFill="1" applyBorder="1" applyAlignment="1">
      <alignment vertical="center" shrinkToFit="1"/>
    </xf>
    <xf numFmtId="0" fontId="27" fillId="2" borderId="1" xfId="1" applyFont="1" applyFill="1" applyBorder="1" applyAlignment="1">
      <alignment horizontal="center" vertical="top" textRotation="255" shrinkToFit="1"/>
    </xf>
    <xf numFmtId="0" fontId="27" fillId="2" borderId="0" xfId="0" applyFont="1" applyFill="1" applyBorder="1">
      <alignment vertical="center"/>
    </xf>
    <xf numFmtId="0" fontId="27" fillId="2" borderId="167" xfId="0" applyFont="1" applyFill="1" applyBorder="1" applyAlignment="1">
      <alignment vertical="center" shrinkToFit="1"/>
    </xf>
    <xf numFmtId="0" fontId="27" fillId="2" borderId="168" xfId="0" applyFont="1" applyFill="1" applyBorder="1" applyAlignment="1">
      <alignment vertical="center" shrinkToFit="1"/>
    </xf>
    <xf numFmtId="0" fontId="27" fillId="2" borderId="167" xfId="1" applyFont="1" applyFill="1" applyBorder="1" applyAlignment="1">
      <alignment vertical="center" shrinkToFit="1"/>
    </xf>
    <xf numFmtId="0" fontId="27" fillId="2" borderId="173" xfId="0" applyFont="1" applyFill="1" applyBorder="1" applyAlignment="1">
      <alignment vertical="center" shrinkToFit="1"/>
    </xf>
    <xf numFmtId="0" fontId="27" fillId="2" borderId="180" xfId="0" applyFont="1" applyFill="1" applyBorder="1" applyAlignment="1">
      <alignment vertical="center" shrinkToFit="1"/>
    </xf>
    <xf numFmtId="0" fontId="27" fillId="2" borderId="186" xfId="0" applyFont="1" applyFill="1" applyBorder="1" applyAlignment="1">
      <alignment vertical="center" shrinkToFit="1"/>
    </xf>
    <xf numFmtId="0" fontId="27" fillId="2" borderId="188" xfId="0" applyFont="1" applyFill="1" applyBorder="1" applyAlignment="1">
      <alignment vertical="center" shrinkToFit="1"/>
    </xf>
    <xf numFmtId="0" fontId="27" fillId="2" borderId="194" xfId="0" applyFont="1" applyFill="1" applyBorder="1" applyAlignment="1">
      <alignment vertical="center" shrinkToFit="1"/>
    </xf>
    <xf numFmtId="0" fontId="27" fillId="2" borderId="81" xfId="0" applyFont="1" applyFill="1" applyBorder="1" applyAlignment="1">
      <alignment vertical="center" shrinkToFit="1"/>
    </xf>
    <xf numFmtId="0" fontId="29" fillId="2" borderId="0" xfId="1" applyFont="1" applyFill="1" applyBorder="1" applyAlignment="1">
      <alignment vertical="center" shrinkToFit="1"/>
    </xf>
    <xf numFmtId="0" fontId="29" fillId="2" borderId="15" xfId="1" applyFont="1" applyFill="1" applyBorder="1" applyAlignment="1">
      <alignment vertical="center" shrinkToFit="1"/>
    </xf>
    <xf numFmtId="0" fontId="29" fillId="2" borderId="0" xfId="0" applyFont="1" applyFill="1" applyBorder="1" applyAlignment="1">
      <alignment vertical="center" shrinkToFit="1"/>
    </xf>
    <xf numFmtId="176" fontId="27" fillId="2" borderId="0" xfId="1" applyNumberFormat="1" applyFont="1" applyFill="1" applyBorder="1" applyAlignment="1">
      <alignment horizontal="right" vertical="center" shrinkToFit="1"/>
    </xf>
    <xf numFmtId="0" fontId="29" fillId="2" borderId="4" xfId="1" applyFont="1" applyFill="1" applyBorder="1" applyAlignment="1">
      <alignment vertical="center" shrinkToFit="1"/>
    </xf>
    <xf numFmtId="0" fontId="27" fillId="2" borderId="0" xfId="3" applyFont="1" applyFill="1" applyBorder="1" applyAlignment="1">
      <alignment horizontal="left" vertical="top"/>
    </xf>
    <xf numFmtId="0" fontId="27" fillId="0" borderId="0" xfId="3" applyFont="1" applyFill="1" applyBorder="1" applyAlignment="1">
      <alignment horizontal="left" vertical="top"/>
    </xf>
    <xf numFmtId="0" fontId="27" fillId="2" borderId="0" xfId="3" applyFont="1" applyFill="1" applyBorder="1" applyAlignment="1">
      <alignment vertical="top"/>
    </xf>
    <xf numFmtId="0" fontId="27" fillId="0" borderId="0" xfId="3" applyFont="1" applyFill="1" applyBorder="1" applyAlignment="1">
      <alignment vertical="top"/>
    </xf>
    <xf numFmtId="3" fontId="27" fillId="2" borderId="11" xfId="3" applyNumberFormat="1" applyFont="1" applyFill="1" applyBorder="1" applyAlignment="1">
      <alignment horizontal="center" vertical="center" shrinkToFit="1"/>
    </xf>
    <xf numFmtId="3" fontId="27" fillId="0" borderId="11" xfId="3" applyNumberFormat="1" applyFont="1" applyFill="1" applyBorder="1" applyAlignment="1">
      <alignment horizontal="center" vertical="center" shrinkToFit="1"/>
    </xf>
    <xf numFmtId="3" fontId="27" fillId="0" borderId="10" xfId="3" applyNumberFormat="1" applyFont="1" applyFill="1" applyBorder="1" applyAlignment="1">
      <alignment horizontal="center" vertical="center" shrinkToFit="1"/>
    </xf>
    <xf numFmtId="0" fontId="27" fillId="0" borderId="10" xfId="3" applyFont="1" applyFill="1" applyBorder="1" applyAlignment="1">
      <alignment horizontal="left" vertical="top"/>
    </xf>
    <xf numFmtId="0" fontId="27" fillId="0" borderId="11" xfId="3" applyFont="1" applyFill="1" applyBorder="1" applyAlignment="1">
      <alignment horizontal="left" vertical="top"/>
    </xf>
    <xf numFmtId="0" fontId="27" fillId="2" borderId="11" xfId="3" applyFont="1" applyFill="1" applyBorder="1" applyAlignment="1">
      <alignment horizontal="left" vertical="top"/>
    </xf>
    <xf numFmtId="0" fontId="27" fillId="0" borderId="4" xfId="3" applyFont="1" applyFill="1" applyBorder="1" applyAlignment="1">
      <alignment horizontal="left" vertical="top"/>
    </xf>
    <xf numFmtId="0" fontId="27" fillId="2" borderId="0" xfId="3" applyFont="1" applyFill="1" applyBorder="1" applyAlignment="1">
      <alignment horizontal="left" wrapText="1"/>
    </xf>
    <xf numFmtId="0" fontId="27" fillId="2" borderId="0" xfId="3" applyFont="1" applyFill="1" applyBorder="1" applyAlignment="1">
      <alignment wrapText="1"/>
    </xf>
    <xf numFmtId="0" fontId="27" fillId="2" borderId="0" xfId="3" applyFont="1" applyFill="1" applyBorder="1" applyAlignment="1">
      <alignment horizontal="center" vertical="top" wrapText="1"/>
    </xf>
    <xf numFmtId="1" fontId="27" fillId="2" borderId="0" xfId="3" applyNumberFormat="1" applyFont="1" applyFill="1" applyBorder="1" applyAlignment="1">
      <alignment horizontal="center" vertical="top" shrinkToFit="1"/>
    </xf>
    <xf numFmtId="0" fontId="27" fillId="2" borderId="0" xfId="3" applyFont="1" applyFill="1" applyBorder="1" applyAlignment="1">
      <alignment horizontal="right" vertical="top" wrapText="1"/>
    </xf>
    <xf numFmtId="3" fontId="27" fillId="2" borderId="0" xfId="3" applyNumberFormat="1" applyFont="1" applyFill="1" applyBorder="1" applyAlignment="1">
      <alignment horizontal="right" vertical="top" shrinkToFit="1"/>
    </xf>
    <xf numFmtId="3" fontId="27" fillId="2" borderId="0" xfId="3" applyNumberFormat="1" applyFont="1" applyFill="1" applyBorder="1" applyAlignment="1">
      <alignment vertical="top" wrapText="1" shrinkToFit="1"/>
    </xf>
    <xf numFmtId="0" fontId="27" fillId="2" borderId="0" xfId="3" applyFont="1" applyFill="1" applyBorder="1" applyAlignment="1">
      <alignment vertical="top" wrapText="1"/>
    </xf>
    <xf numFmtId="0" fontId="27" fillId="2" borderId="8" xfId="3" applyFont="1" applyFill="1" applyBorder="1" applyAlignment="1"/>
    <xf numFmtId="0" fontId="27" fillId="2" borderId="8" xfId="3" applyFont="1" applyFill="1" applyBorder="1" applyAlignment="1">
      <alignment wrapText="1"/>
    </xf>
    <xf numFmtId="195" fontId="27" fillId="0" borderId="0" xfId="3" applyNumberFormat="1" applyFont="1" applyFill="1" applyBorder="1" applyAlignment="1">
      <alignment horizontal="center" vertical="center" wrapText="1"/>
    </xf>
    <xf numFmtId="196" fontId="27" fillId="2" borderId="0" xfId="3" applyNumberFormat="1" applyFont="1" applyFill="1" applyBorder="1" applyAlignment="1">
      <alignment horizontal="center" vertical="center" wrapText="1"/>
    </xf>
    <xf numFmtId="195" fontId="27" fillId="2" borderId="0" xfId="3" applyNumberFormat="1" applyFont="1" applyFill="1" applyBorder="1" applyAlignment="1">
      <alignment horizontal="center" vertical="center" wrapText="1"/>
    </xf>
    <xf numFmtId="0" fontId="27" fillId="0" borderId="0" xfId="3" applyFont="1" applyFill="1" applyBorder="1" applyAlignment="1">
      <alignment wrapText="1"/>
    </xf>
    <xf numFmtId="0" fontId="27" fillId="2" borderId="4" xfId="3" applyFont="1" applyFill="1" applyBorder="1" applyAlignment="1">
      <alignment vertical="center" wrapText="1" shrinkToFit="1"/>
    </xf>
    <xf numFmtId="0" fontId="27" fillId="2" borderId="4" xfId="3" applyFont="1" applyFill="1" applyBorder="1" applyAlignment="1">
      <alignment wrapText="1"/>
    </xf>
    <xf numFmtId="0" fontId="27" fillId="2" borderId="8" xfId="3" applyFont="1" applyFill="1" applyBorder="1" applyAlignment="1">
      <alignment vertical="center" wrapText="1" shrinkToFit="1"/>
    </xf>
    <xf numFmtId="184" fontId="27" fillId="0" borderId="0" xfId="3" applyNumberFormat="1" applyFont="1" applyFill="1" applyBorder="1" applyAlignment="1">
      <alignment horizontal="center" wrapText="1"/>
    </xf>
    <xf numFmtId="0" fontId="27" fillId="0" borderId="0" xfId="3" applyFont="1" applyFill="1" applyBorder="1" applyAlignment="1">
      <alignment horizontal="center" vertical="center" wrapText="1"/>
    </xf>
    <xf numFmtId="3" fontId="27" fillId="2" borderId="10" xfId="3" applyNumberFormat="1" applyFont="1" applyFill="1" applyBorder="1" applyAlignment="1">
      <alignment horizontal="center" vertical="center" shrinkToFit="1"/>
    </xf>
    <xf numFmtId="3" fontId="27" fillId="2" borderId="10" xfId="3" applyNumberFormat="1" applyFont="1" applyFill="1" applyBorder="1" applyAlignment="1">
      <alignment horizontal="left" vertical="top" shrinkToFit="1"/>
    </xf>
    <xf numFmtId="0" fontId="27" fillId="2" borderId="10" xfId="3" applyFont="1" applyFill="1" applyBorder="1" applyAlignment="1">
      <alignment horizontal="left" vertical="top"/>
    </xf>
    <xf numFmtId="0" fontId="27" fillId="2" borderId="4" xfId="3" applyFont="1" applyFill="1" applyBorder="1" applyAlignment="1">
      <alignment horizontal="left" vertical="top"/>
    </xf>
    <xf numFmtId="3" fontId="27" fillId="0" borderId="0" xfId="3" applyNumberFormat="1" applyFont="1" applyFill="1" applyBorder="1" applyAlignment="1">
      <alignment horizontal="center" vertical="center" shrinkToFit="1"/>
    </xf>
    <xf numFmtId="0" fontId="27" fillId="2" borderId="4" xfId="3" applyFont="1" applyFill="1" applyBorder="1" applyAlignment="1"/>
    <xf numFmtId="0" fontId="27" fillId="2" borderId="4" xfId="3" applyFont="1" applyFill="1" applyBorder="1" applyAlignment="1">
      <alignment vertical="top"/>
    </xf>
    <xf numFmtId="0" fontId="27" fillId="2" borderId="31" xfId="3" applyFont="1" applyFill="1" applyBorder="1" applyAlignment="1">
      <alignment wrapText="1"/>
    </xf>
    <xf numFmtId="183" fontId="27" fillId="2" borderId="0" xfId="3" applyNumberFormat="1" applyFont="1" applyFill="1" applyBorder="1" applyAlignment="1">
      <alignment horizontal="center" wrapText="1"/>
    </xf>
    <xf numFmtId="0" fontId="27" fillId="2" borderId="3" xfId="3" applyFont="1" applyFill="1" applyBorder="1" applyAlignment="1">
      <alignment vertical="center" wrapText="1" shrinkToFit="1"/>
    </xf>
    <xf numFmtId="196" fontId="27" fillId="2" borderId="4" xfId="3" applyNumberFormat="1" applyFont="1" applyFill="1" applyBorder="1" applyAlignment="1">
      <alignment horizontal="center" vertical="center" wrapText="1"/>
    </xf>
    <xf numFmtId="184" fontId="27" fillId="2" borderId="0" xfId="3" applyNumberFormat="1" applyFont="1" applyFill="1" applyBorder="1" applyAlignment="1">
      <alignment horizontal="center" wrapText="1"/>
    </xf>
    <xf numFmtId="0" fontId="27" fillId="0" borderId="0" xfId="0" applyFont="1">
      <alignment vertical="center"/>
    </xf>
    <xf numFmtId="0" fontId="27" fillId="0" borderId="0" xfId="0" applyFont="1" applyFill="1" applyAlignment="1">
      <alignment vertical="center" shrinkToFit="1"/>
    </xf>
    <xf numFmtId="0" fontId="27" fillId="0" borderId="0" xfId="0" applyFont="1" applyFill="1" applyAlignment="1">
      <alignment horizontal="center" vertical="center" shrinkToFi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27" fillId="2" borderId="0" xfId="0" applyFont="1" applyFill="1" applyBorder="1" applyAlignment="1">
      <alignment vertical="center"/>
    </xf>
    <xf numFmtId="0" fontId="0" fillId="0" borderId="3" xfId="0" applyBorder="1">
      <alignment vertical="center"/>
    </xf>
    <xf numFmtId="0" fontId="0" fillId="0" borderId="4" xfId="0" applyBorder="1">
      <alignment vertical="center"/>
    </xf>
    <xf numFmtId="0" fontId="0" fillId="0" borderId="31"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13" xfId="0" quotePrefix="1" applyBorder="1" applyAlignment="1">
      <alignment horizontal="right" vertical="center"/>
    </xf>
    <xf numFmtId="3" fontId="12" fillId="0" borderId="0" xfId="9" applyNumberFormat="1" applyFont="1" applyFill="1" applyAlignment="1">
      <alignment vertical="center"/>
    </xf>
    <xf numFmtId="3" fontId="26" fillId="0" borderId="0" xfId="9" applyNumberFormat="1" applyFont="1" applyFill="1" applyAlignment="1">
      <alignment vertical="center"/>
    </xf>
    <xf numFmtId="0" fontId="14" fillId="0" borderId="0" xfId="1" applyFont="1"/>
    <xf numFmtId="3" fontId="26" fillId="0" borderId="9" xfId="9" applyNumberFormat="1" applyFont="1" applyFill="1" applyBorder="1" applyAlignment="1">
      <alignment vertical="center" wrapText="1"/>
    </xf>
    <xf numFmtId="3" fontId="26" fillId="0" borderId="9" xfId="9" applyNumberFormat="1" applyFont="1" applyFill="1" applyBorder="1" applyAlignment="1">
      <alignment vertical="center"/>
    </xf>
    <xf numFmtId="3" fontId="26" fillId="0" borderId="222" xfId="9" applyNumberFormat="1" applyFont="1" applyFill="1" applyBorder="1" applyAlignment="1">
      <alignment horizontal="distributed" vertical="center"/>
    </xf>
    <xf numFmtId="3" fontId="26" fillId="0" borderId="223" xfId="9" applyNumberFormat="1" applyFont="1" applyFill="1" applyBorder="1" applyAlignment="1">
      <alignment horizontal="distributed" vertical="center"/>
    </xf>
    <xf numFmtId="3" fontId="26" fillId="0" borderId="225" xfId="9" applyNumberFormat="1" applyFont="1" applyFill="1" applyBorder="1" applyAlignment="1">
      <alignment horizontal="distributed" vertical="center"/>
    </xf>
    <xf numFmtId="20" fontId="27" fillId="3" borderId="12" xfId="0" applyNumberFormat="1" applyFont="1" applyFill="1" applyBorder="1" applyAlignment="1">
      <alignment horizontal="center" vertical="center" shrinkToFit="1"/>
    </xf>
    <xf numFmtId="20" fontId="27" fillId="3" borderId="9" xfId="0" applyNumberFormat="1" applyFont="1" applyFill="1" applyBorder="1" applyAlignment="1">
      <alignment horizontal="center" vertical="center" shrinkToFit="1"/>
    </xf>
    <xf numFmtId="0" fontId="27" fillId="0" borderId="3" xfId="1" applyFont="1" applyFill="1" applyBorder="1" applyAlignment="1">
      <alignment horizontal="center" vertical="center" wrapText="1" shrinkToFit="1"/>
    </xf>
    <xf numFmtId="0" fontId="27" fillId="0" borderId="4" xfId="1" applyFont="1" applyFill="1" applyBorder="1" applyAlignment="1">
      <alignment horizontal="center" vertical="center" shrinkToFit="1"/>
    </xf>
    <xf numFmtId="0" fontId="27" fillId="0" borderId="5"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7" xfId="1" applyFont="1" applyFill="1" applyBorder="1" applyAlignment="1">
      <alignment horizontal="center" vertical="center" shrinkToFit="1"/>
    </xf>
    <xf numFmtId="0" fontId="27" fillId="0" borderId="8" xfId="1" applyFont="1" applyFill="1" applyBorder="1" applyAlignment="1">
      <alignment horizontal="center" vertical="center" shrinkToFit="1"/>
    </xf>
    <xf numFmtId="179" fontId="27" fillId="4" borderId="3" xfId="1" applyNumberFormat="1" applyFont="1" applyFill="1" applyBorder="1" applyAlignment="1">
      <alignment horizontal="center" vertical="center" shrinkToFit="1"/>
    </xf>
    <xf numFmtId="179" fontId="27" fillId="4" borderId="31" xfId="1" applyNumberFormat="1" applyFont="1" applyFill="1" applyBorder="1" applyAlignment="1">
      <alignment horizontal="center" vertical="center" shrinkToFit="1"/>
    </xf>
    <xf numFmtId="179" fontId="27" fillId="4" borderId="5" xfId="1" applyNumberFormat="1" applyFont="1" applyFill="1" applyBorder="1" applyAlignment="1">
      <alignment horizontal="center" vertical="center" shrinkToFit="1"/>
    </xf>
    <xf numFmtId="179" fontId="27" fillId="4" borderId="6" xfId="1" applyNumberFormat="1" applyFont="1" applyFill="1" applyBorder="1" applyAlignment="1">
      <alignment horizontal="center" vertical="center" shrinkToFit="1"/>
    </xf>
    <xf numFmtId="179" fontId="27" fillId="4" borderId="7" xfId="1" applyNumberFormat="1" applyFont="1" applyFill="1" applyBorder="1" applyAlignment="1">
      <alignment horizontal="center" vertical="center" shrinkToFit="1"/>
    </xf>
    <xf numFmtId="179" fontId="27" fillId="4" borderId="13" xfId="1" applyNumberFormat="1" applyFont="1" applyFill="1" applyBorder="1" applyAlignment="1">
      <alignment horizontal="center" vertical="center" shrinkToFit="1"/>
    </xf>
    <xf numFmtId="176" fontId="27" fillId="2" borderId="27" xfId="1" applyNumberFormat="1" applyFont="1" applyFill="1" applyBorder="1" applyAlignment="1">
      <alignment horizontal="center" vertical="center" shrinkToFit="1"/>
    </xf>
    <xf numFmtId="176" fontId="27" fillId="2" borderId="21" xfId="1" applyNumberFormat="1" applyFont="1" applyFill="1" applyBorder="1" applyAlignment="1">
      <alignment horizontal="center" vertical="center" shrinkToFit="1"/>
    </xf>
    <xf numFmtId="176" fontId="27" fillId="2" borderId="5" xfId="1" applyNumberFormat="1" applyFont="1" applyFill="1" applyBorder="1" applyAlignment="1">
      <alignment horizontal="center" vertical="center" shrinkToFit="1"/>
    </xf>
    <xf numFmtId="176" fontId="27" fillId="2" borderId="38" xfId="1" applyNumberFormat="1" applyFont="1" applyFill="1" applyBorder="1" applyAlignment="1">
      <alignment horizontal="center" vertical="center" shrinkToFit="1"/>
    </xf>
    <xf numFmtId="176" fontId="27" fillId="2" borderId="29" xfId="1" applyNumberFormat="1" applyFont="1" applyFill="1" applyBorder="1" applyAlignment="1">
      <alignment horizontal="center" vertical="center" shrinkToFit="1"/>
    </xf>
    <xf numFmtId="176" fontId="27" fillId="2" borderId="45" xfId="1" applyNumberFormat="1" applyFont="1" applyFill="1" applyBorder="1" applyAlignment="1">
      <alignment horizontal="center" vertical="center" shrinkToFit="1"/>
    </xf>
    <xf numFmtId="0" fontId="27" fillId="2" borderId="1" xfId="1" applyFont="1" applyFill="1" applyBorder="1" applyAlignment="1">
      <alignment horizontal="center" vertical="top" textRotation="255" shrinkToFit="1"/>
    </xf>
    <xf numFmtId="0" fontId="27" fillId="2" borderId="30" xfId="1" applyFont="1" applyFill="1" applyBorder="1" applyAlignment="1">
      <alignment horizontal="center" vertical="top" textRotation="255" shrinkToFit="1"/>
    </xf>
    <xf numFmtId="0" fontId="27" fillId="2" borderId="2" xfId="1" applyFont="1" applyFill="1" applyBorder="1" applyAlignment="1">
      <alignment horizontal="center" vertical="top" textRotation="255" shrinkToFit="1"/>
    </xf>
    <xf numFmtId="0" fontId="27" fillId="2" borderId="3" xfId="1" applyFont="1" applyFill="1" applyBorder="1" applyAlignment="1">
      <alignment horizontal="left" vertical="center" shrinkToFit="1"/>
    </xf>
    <xf numFmtId="0" fontId="27" fillId="2" borderId="4" xfId="1" applyFont="1" applyFill="1" applyBorder="1" applyAlignment="1">
      <alignment horizontal="left" vertical="center" shrinkToFit="1"/>
    </xf>
    <xf numFmtId="0" fontId="27" fillId="2" borderId="5" xfId="1" applyFont="1" applyFill="1" applyBorder="1" applyAlignment="1">
      <alignment horizontal="left" vertical="center" shrinkToFit="1"/>
    </xf>
    <xf numFmtId="0" fontId="27" fillId="2" borderId="0" xfId="1" applyFont="1" applyFill="1" applyBorder="1" applyAlignment="1">
      <alignment horizontal="left" vertical="center" shrinkToFit="1"/>
    </xf>
    <xf numFmtId="0" fontId="27" fillId="2" borderId="7" xfId="1" applyFont="1" applyFill="1" applyBorder="1" applyAlignment="1">
      <alignment horizontal="left" vertical="center" shrinkToFit="1"/>
    </xf>
    <xf numFmtId="0" fontId="27" fillId="2" borderId="8" xfId="1" applyFont="1" applyFill="1" applyBorder="1" applyAlignment="1">
      <alignment horizontal="left" vertical="center" shrinkToFit="1"/>
    </xf>
    <xf numFmtId="177" fontId="27" fillId="2" borderId="4" xfId="0" applyNumberFormat="1" applyFont="1" applyFill="1" applyBorder="1" applyAlignment="1">
      <alignment horizontal="center" vertical="center"/>
    </xf>
    <xf numFmtId="177" fontId="27" fillId="3" borderId="8" xfId="0" applyNumberFormat="1" applyFont="1" applyFill="1" applyBorder="1" applyAlignment="1">
      <alignment horizontal="center" vertical="center"/>
    </xf>
    <xf numFmtId="177" fontId="27" fillId="2" borderId="31" xfId="0" applyNumberFormat="1" applyFont="1" applyFill="1" applyBorder="1" applyAlignment="1">
      <alignment horizontal="center" vertical="center"/>
    </xf>
    <xf numFmtId="177" fontId="27" fillId="3" borderId="13" xfId="0" applyNumberFormat="1" applyFont="1" applyFill="1" applyBorder="1" applyAlignment="1">
      <alignment horizontal="center" vertical="center"/>
    </xf>
    <xf numFmtId="0" fontId="27" fillId="2" borderId="27" xfId="1" applyFont="1" applyFill="1" applyBorder="1" applyAlignment="1">
      <alignment horizontal="left" vertical="center" shrinkToFit="1"/>
    </xf>
    <xf numFmtId="0" fontId="27" fillId="2" borderId="19" xfId="1" applyFont="1" applyFill="1" applyBorder="1" applyAlignment="1">
      <alignment horizontal="left" vertical="center" shrinkToFit="1"/>
    </xf>
    <xf numFmtId="0" fontId="27" fillId="2" borderId="21" xfId="1" applyFont="1" applyFill="1" applyBorder="1" applyAlignment="1">
      <alignment horizontal="left" vertical="center" shrinkToFit="1"/>
    </xf>
    <xf numFmtId="0" fontId="31" fillId="2" borderId="16" xfId="1" applyFont="1" applyFill="1" applyBorder="1" applyAlignment="1">
      <alignment horizontal="center" vertical="center" wrapText="1" shrinkToFit="1"/>
    </xf>
    <xf numFmtId="0" fontId="31" fillId="2" borderId="226" xfId="1" applyFont="1" applyFill="1" applyBorder="1" applyAlignment="1">
      <alignment horizontal="center" vertical="center" shrinkToFit="1"/>
    </xf>
    <xf numFmtId="179" fontId="27" fillId="3" borderId="3" xfId="1" applyNumberFormat="1" applyFont="1" applyFill="1" applyBorder="1" applyAlignment="1">
      <alignment horizontal="center" vertical="center" shrinkToFit="1"/>
    </xf>
    <xf numFmtId="179" fontId="27" fillId="3" borderId="62" xfId="1" applyNumberFormat="1" applyFont="1" applyFill="1" applyBorder="1" applyAlignment="1">
      <alignment horizontal="center" vertical="center" shrinkToFit="1"/>
    </xf>
    <xf numFmtId="176" fontId="27" fillId="2" borderId="16" xfId="1" applyNumberFormat="1" applyFont="1" applyFill="1" applyBorder="1" applyAlignment="1">
      <alignment horizontal="center" vertical="center" shrinkToFit="1"/>
    </xf>
    <xf numFmtId="176" fontId="27" fillId="2" borderId="17" xfId="1" applyNumberFormat="1" applyFont="1" applyFill="1" applyBorder="1" applyAlignment="1">
      <alignment horizontal="center" vertical="center" shrinkToFit="1"/>
    </xf>
    <xf numFmtId="176" fontId="27" fillId="2" borderId="18" xfId="1" applyNumberFormat="1" applyFont="1" applyFill="1" applyBorder="1" applyAlignment="1">
      <alignment horizontal="center" vertical="center" shrinkToFit="1"/>
    </xf>
    <xf numFmtId="176" fontId="27" fillId="2" borderId="19" xfId="1" applyNumberFormat="1" applyFont="1" applyFill="1" applyBorder="1" applyAlignment="1">
      <alignment horizontal="center" vertical="center" shrinkToFit="1"/>
    </xf>
    <xf numFmtId="176" fontId="27" fillId="2" borderId="49" xfId="1" applyNumberFormat="1" applyFont="1" applyFill="1" applyBorder="1" applyAlignment="1">
      <alignment horizontal="center" vertical="center" shrinkToFit="1"/>
    </xf>
    <xf numFmtId="176" fontId="27" fillId="2" borderId="4" xfId="1" applyNumberFormat="1" applyFont="1" applyFill="1" applyBorder="1" applyAlignment="1">
      <alignment horizontal="center" vertical="center" shrinkToFit="1"/>
    </xf>
    <xf numFmtId="176" fontId="27" fillId="2" borderId="31" xfId="1" applyNumberFormat="1" applyFont="1" applyFill="1" applyBorder="1" applyAlignment="1">
      <alignment horizontal="center" vertical="center" shrinkToFit="1"/>
    </xf>
    <xf numFmtId="176" fontId="27" fillId="2" borderId="22" xfId="1" applyNumberFormat="1" applyFont="1" applyFill="1" applyBorder="1" applyAlignment="1">
      <alignment horizontal="center" vertical="center" shrinkToFit="1"/>
    </xf>
    <xf numFmtId="176" fontId="27" fillId="2" borderId="0" xfId="1" applyNumberFormat="1" applyFont="1" applyFill="1" applyBorder="1" applyAlignment="1">
      <alignment horizontal="center" vertical="center" shrinkToFit="1"/>
    </xf>
    <xf numFmtId="176" fontId="27" fillId="2" borderId="6" xfId="1" applyNumberFormat="1" applyFont="1" applyFill="1" applyBorder="1" applyAlignment="1">
      <alignment horizontal="center" vertical="center" shrinkToFit="1"/>
    </xf>
    <xf numFmtId="176" fontId="27" fillId="2" borderId="59" xfId="1" applyNumberFormat="1" applyFont="1" applyFill="1" applyBorder="1" applyAlignment="1">
      <alignment horizontal="center" vertical="center" shrinkToFit="1"/>
    </xf>
    <xf numFmtId="176" fontId="27" fillId="2" borderId="8" xfId="1" applyNumberFormat="1" applyFont="1" applyFill="1" applyBorder="1" applyAlignment="1">
      <alignment horizontal="center" vertical="center" shrinkToFit="1"/>
    </xf>
    <xf numFmtId="176" fontId="27" fillId="2" borderId="13" xfId="1" applyNumberFormat="1" applyFont="1" applyFill="1" applyBorder="1" applyAlignment="1">
      <alignment horizontal="center" vertical="center" shrinkToFit="1"/>
    </xf>
    <xf numFmtId="0" fontId="27" fillId="2" borderId="23" xfId="1" applyFont="1" applyFill="1" applyBorder="1" applyAlignment="1">
      <alignment horizontal="center" vertical="center" shrinkToFit="1"/>
    </xf>
    <xf numFmtId="0" fontId="27" fillId="2" borderId="54" xfId="1" applyFont="1" applyFill="1" applyBorder="1" applyAlignment="1">
      <alignment horizontal="center" vertical="center" shrinkToFit="1"/>
    </xf>
    <xf numFmtId="181" fontId="27" fillId="2" borderId="72" xfId="1" applyNumberFormat="1" applyFont="1" applyFill="1" applyBorder="1" applyAlignment="1">
      <alignment horizontal="center" vertical="center" shrinkToFit="1"/>
    </xf>
    <xf numFmtId="181" fontId="27" fillId="2" borderId="73" xfId="1" applyNumberFormat="1" applyFont="1" applyFill="1" applyBorder="1" applyAlignment="1">
      <alignment horizontal="center" vertical="center" shrinkToFit="1"/>
    </xf>
    <xf numFmtId="176" fontId="27" fillId="2" borderId="67" xfId="1" applyNumberFormat="1" applyFont="1" applyFill="1" applyBorder="1" applyAlignment="1">
      <alignment horizontal="center" vertical="center" shrinkToFit="1"/>
    </xf>
    <xf numFmtId="176" fontId="27" fillId="2" borderId="68" xfId="1" applyNumberFormat="1" applyFont="1" applyFill="1" applyBorder="1" applyAlignment="1">
      <alignment horizontal="center" vertical="center" shrinkToFit="1"/>
    </xf>
    <xf numFmtId="176" fontId="27" fillId="2" borderId="69" xfId="1" applyNumberFormat="1" applyFont="1" applyFill="1" applyBorder="1" applyAlignment="1">
      <alignment horizontal="center" vertical="center" shrinkToFit="1"/>
    </xf>
    <xf numFmtId="176" fontId="27" fillId="2" borderId="67" xfId="1" applyNumberFormat="1" applyFont="1" applyFill="1" applyBorder="1" applyAlignment="1">
      <alignment vertical="center" shrinkToFit="1"/>
    </xf>
    <xf numFmtId="176" fontId="27" fillId="2" borderId="69" xfId="1" applyNumberFormat="1" applyFont="1" applyFill="1" applyBorder="1" applyAlignment="1">
      <alignment vertical="center" shrinkToFit="1"/>
    </xf>
    <xf numFmtId="0" fontId="27" fillId="2" borderId="34" xfId="1" applyFont="1" applyFill="1" applyBorder="1" applyAlignment="1">
      <alignment vertical="center" shrinkToFit="1"/>
    </xf>
    <xf numFmtId="0" fontId="27" fillId="2" borderId="35" xfId="1" applyFont="1" applyFill="1" applyBorder="1" applyAlignment="1">
      <alignment vertical="center" shrinkToFit="1"/>
    </xf>
    <xf numFmtId="0" fontId="27" fillId="2" borderId="93" xfId="1" applyFont="1" applyFill="1" applyBorder="1" applyAlignment="1">
      <alignment vertical="center" shrinkToFit="1"/>
    </xf>
    <xf numFmtId="176" fontId="27" fillId="2" borderId="44" xfId="1" applyNumberFormat="1" applyFont="1" applyFill="1" applyBorder="1" applyAlignment="1">
      <alignment vertical="center" shrinkToFit="1"/>
    </xf>
    <xf numFmtId="176" fontId="27" fillId="2" borderId="45" xfId="1" applyNumberFormat="1" applyFont="1" applyFill="1" applyBorder="1" applyAlignment="1">
      <alignment vertical="center" shrinkToFit="1"/>
    </xf>
    <xf numFmtId="176" fontId="27" fillId="2" borderId="86" xfId="1" applyNumberFormat="1" applyFont="1" applyFill="1" applyBorder="1" applyAlignment="1">
      <alignment horizontal="center" vertical="center" shrinkToFit="1"/>
    </xf>
    <xf numFmtId="176" fontId="27" fillId="2" borderId="87" xfId="1" applyNumberFormat="1" applyFont="1" applyFill="1" applyBorder="1" applyAlignment="1">
      <alignment horizontal="center" vertical="center" shrinkToFit="1"/>
    </xf>
    <xf numFmtId="176" fontId="27" fillId="2" borderId="88" xfId="1" applyNumberFormat="1" applyFont="1" applyFill="1" applyBorder="1" applyAlignment="1">
      <alignment horizontal="center" vertical="center" shrinkToFit="1"/>
    </xf>
    <xf numFmtId="0" fontId="27" fillId="2" borderId="80" xfId="1" applyFont="1" applyFill="1" applyBorder="1" applyAlignment="1">
      <alignment vertical="center" shrinkToFit="1"/>
    </xf>
    <xf numFmtId="0" fontId="27" fillId="2" borderId="68" xfId="1" applyFont="1" applyFill="1" applyBorder="1" applyAlignment="1">
      <alignment vertical="center" shrinkToFit="1"/>
    </xf>
    <xf numFmtId="0" fontId="27" fillId="2" borderId="69" xfId="1" applyFont="1" applyFill="1" applyBorder="1" applyAlignment="1">
      <alignment vertical="center" shrinkToFit="1"/>
    </xf>
    <xf numFmtId="181" fontId="27" fillId="2" borderId="67" xfId="1" applyNumberFormat="1" applyFont="1" applyFill="1" applyBorder="1" applyAlignment="1">
      <alignment horizontal="center" vertical="center" shrinkToFit="1"/>
    </xf>
    <xf numFmtId="181" fontId="27" fillId="2" borderId="69" xfId="1" applyNumberFormat="1" applyFont="1" applyFill="1" applyBorder="1" applyAlignment="1">
      <alignment horizontal="center" vertical="center" shrinkToFit="1"/>
    </xf>
    <xf numFmtId="177" fontId="27" fillId="0" borderId="3" xfId="0" applyNumberFormat="1" applyFont="1" applyFill="1" applyBorder="1" applyAlignment="1">
      <alignment horizontal="center" vertical="center" shrinkToFit="1"/>
    </xf>
    <xf numFmtId="177" fontId="27" fillId="0" borderId="4" xfId="0" applyNumberFormat="1" applyFont="1" applyFill="1" applyBorder="1" applyAlignment="1">
      <alignment horizontal="center" vertical="center" shrinkToFit="1"/>
    </xf>
    <xf numFmtId="177" fontId="27" fillId="0" borderId="7" xfId="0" applyNumberFormat="1" applyFont="1" applyFill="1" applyBorder="1" applyAlignment="1">
      <alignment horizontal="center" vertical="center" shrinkToFit="1"/>
    </xf>
    <xf numFmtId="177" fontId="27" fillId="0" borderId="8" xfId="0" applyNumberFormat="1" applyFont="1" applyFill="1" applyBorder="1" applyAlignment="1">
      <alignment horizontal="center" vertical="center" shrinkToFit="1"/>
    </xf>
    <xf numFmtId="0" fontId="27" fillId="2" borderId="19" xfId="1" applyFont="1" applyFill="1" applyBorder="1" applyAlignment="1">
      <alignment horizontal="center" vertical="center" shrinkToFit="1"/>
    </xf>
    <xf numFmtId="0" fontId="27" fillId="2" borderId="18" xfId="1" applyFont="1" applyFill="1" applyBorder="1" applyAlignment="1">
      <alignment horizontal="center" vertical="center" shrinkToFit="1"/>
    </xf>
    <xf numFmtId="0" fontId="27" fillId="2" borderId="21" xfId="1" applyFont="1" applyFill="1" applyBorder="1" applyAlignment="1">
      <alignment horizontal="center" vertical="center" shrinkToFit="1"/>
    </xf>
    <xf numFmtId="0" fontId="27" fillId="2" borderId="20" xfId="1" applyFont="1" applyFill="1" applyBorder="1" applyAlignment="1">
      <alignment horizontal="center" vertical="center" shrinkToFit="1"/>
    </xf>
    <xf numFmtId="0" fontId="27" fillId="2" borderId="17" xfId="1" applyFont="1" applyFill="1" applyBorder="1" applyAlignment="1">
      <alignment horizontal="center" vertical="center" shrinkToFit="1"/>
    </xf>
    <xf numFmtId="0" fontId="27" fillId="3" borderId="0" xfId="0" applyFont="1" applyFill="1" applyBorder="1" applyAlignment="1">
      <alignment vertical="center"/>
    </xf>
    <xf numFmtId="0" fontId="27" fillId="2" borderId="16" xfId="1" applyFont="1" applyFill="1" applyBorder="1" applyAlignment="1">
      <alignment horizontal="center" vertical="center" shrinkToFit="1"/>
    </xf>
    <xf numFmtId="0" fontId="27" fillId="2" borderId="30" xfId="1" applyFont="1" applyFill="1" applyBorder="1" applyAlignment="1">
      <alignment horizontal="center" vertical="center" textRotation="255" shrinkToFit="1"/>
    </xf>
    <xf numFmtId="0" fontId="27" fillId="2" borderId="5" xfId="1" applyFont="1" applyFill="1" applyBorder="1" applyAlignment="1">
      <alignment vertical="center" shrinkToFit="1"/>
    </xf>
    <xf numFmtId="0" fontId="27" fillId="2" borderId="0" xfId="1" applyFont="1" applyFill="1" applyBorder="1" applyAlignment="1">
      <alignment vertical="center" shrinkToFit="1"/>
    </xf>
    <xf numFmtId="0" fontId="27" fillId="2" borderId="38" xfId="1" applyFont="1" applyFill="1" applyBorder="1" applyAlignment="1">
      <alignment vertical="center" shrinkToFit="1"/>
    </xf>
    <xf numFmtId="0" fontId="27" fillId="2" borderId="27" xfId="1" applyFont="1" applyFill="1" applyBorder="1" applyAlignment="1">
      <alignment vertical="center" shrinkToFit="1"/>
    </xf>
    <xf numFmtId="0" fontId="27" fillId="2" borderId="19" xfId="1" applyFont="1" applyFill="1" applyBorder="1" applyAlignment="1">
      <alignment vertical="center" shrinkToFit="1"/>
    </xf>
    <xf numFmtId="0" fontId="27" fillId="2" borderId="21" xfId="1" applyFont="1" applyFill="1" applyBorder="1" applyAlignment="1">
      <alignment vertical="center" shrinkToFit="1"/>
    </xf>
    <xf numFmtId="0" fontId="27" fillId="2" borderId="3" xfId="1" applyFont="1" applyFill="1" applyBorder="1" applyAlignment="1">
      <alignment vertical="center" shrinkToFit="1"/>
    </xf>
    <xf numFmtId="0" fontId="27" fillId="2" borderId="4" xfId="1" applyFont="1" applyFill="1" applyBorder="1" applyAlignment="1">
      <alignment vertical="center" shrinkToFit="1"/>
    </xf>
    <xf numFmtId="0" fontId="27" fillId="2" borderId="62" xfId="1" applyFont="1" applyFill="1" applyBorder="1" applyAlignment="1">
      <alignment vertical="center" shrinkToFit="1"/>
    </xf>
    <xf numFmtId="181" fontId="27" fillId="2" borderId="44" xfId="1" applyNumberFormat="1" applyFont="1" applyFill="1" applyBorder="1" applyAlignment="1">
      <alignment horizontal="center" vertical="center" shrinkToFit="1"/>
    </xf>
    <xf numFmtId="181" fontId="27" fillId="2" borderId="45" xfId="1" applyNumberFormat="1" applyFont="1" applyFill="1" applyBorder="1" applyAlignment="1">
      <alignment horizontal="center" vertical="center" shrinkToFit="1"/>
    </xf>
    <xf numFmtId="0" fontId="27" fillId="2" borderId="11" xfId="0" applyFont="1" applyFill="1" applyBorder="1" applyAlignment="1">
      <alignment vertical="center" shrinkToFit="1"/>
    </xf>
    <xf numFmtId="0" fontId="27" fillId="3" borderId="12" xfId="0" applyFont="1" applyFill="1" applyBorder="1" applyAlignment="1">
      <alignment vertical="center" shrinkToFit="1"/>
    </xf>
    <xf numFmtId="0" fontId="27" fillId="3" borderId="9" xfId="0" applyFont="1" applyFill="1" applyBorder="1" applyAlignment="1">
      <alignment vertical="center" shrinkToFit="1"/>
    </xf>
    <xf numFmtId="0" fontId="27" fillId="3" borderId="10" xfId="0" applyFont="1" applyFill="1" applyBorder="1" applyAlignment="1">
      <alignment vertical="center" shrinkToFit="1"/>
    </xf>
    <xf numFmtId="0" fontId="27" fillId="2" borderId="12" xfId="0" applyFont="1" applyFill="1" applyBorder="1" applyAlignment="1">
      <alignment vertical="center" shrinkToFit="1"/>
    </xf>
    <xf numFmtId="0" fontId="27" fillId="2" borderId="9" xfId="0" applyFont="1" applyFill="1" applyBorder="1" applyAlignment="1">
      <alignment vertical="center" shrinkToFit="1"/>
    </xf>
    <xf numFmtId="0" fontId="27" fillId="2" borderId="10" xfId="0" applyFont="1" applyFill="1" applyBorder="1" applyAlignment="1">
      <alignment vertical="center" shrinkToFit="1"/>
    </xf>
    <xf numFmtId="176" fontId="27" fillId="2" borderId="20" xfId="1" applyNumberFormat="1" applyFont="1" applyFill="1" applyBorder="1" applyAlignment="1">
      <alignment horizontal="center" vertical="center" shrinkToFit="1"/>
    </xf>
    <xf numFmtId="176" fontId="27" fillId="2" borderId="57" xfId="1" applyNumberFormat="1" applyFont="1" applyFill="1" applyBorder="1" applyAlignment="1">
      <alignment horizontal="center" vertical="center" shrinkToFit="1"/>
    </xf>
    <xf numFmtId="176" fontId="27" fillId="2" borderId="75" xfId="1" applyNumberFormat="1" applyFont="1" applyFill="1" applyBorder="1" applyAlignment="1">
      <alignment horizontal="center" vertical="center" shrinkToFit="1"/>
    </xf>
    <xf numFmtId="176" fontId="27" fillId="2" borderId="53" xfId="1" applyNumberFormat="1" applyFont="1" applyFill="1" applyBorder="1" applyAlignment="1">
      <alignment horizontal="center" vertical="center" shrinkToFit="1"/>
    </xf>
    <xf numFmtId="176" fontId="27" fillId="2" borderId="33" xfId="1" applyNumberFormat="1" applyFont="1" applyFill="1" applyBorder="1" applyAlignment="1">
      <alignment horizontal="center" vertical="center" shrinkToFit="1"/>
    </xf>
    <xf numFmtId="176" fontId="27" fillId="2" borderId="55" xfId="1" applyNumberFormat="1" applyFont="1" applyFill="1" applyBorder="1" applyAlignment="1">
      <alignment horizontal="center" vertical="center" shrinkToFit="1"/>
    </xf>
    <xf numFmtId="176" fontId="27" fillId="2" borderId="48" xfId="1" applyNumberFormat="1" applyFont="1" applyFill="1" applyBorder="1" applyAlignment="1">
      <alignment horizontal="center" vertical="center" shrinkToFit="1"/>
    </xf>
    <xf numFmtId="176" fontId="27" fillId="2" borderId="56" xfId="1" applyNumberFormat="1" applyFont="1" applyFill="1" applyBorder="1" applyAlignment="1">
      <alignment horizontal="center" vertical="center" shrinkToFit="1"/>
    </xf>
    <xf numFmtId="176" fontId="27" fillId="2" borderId="40" xfId="1" applyNumberFormat="1" applyFont="1" applyFill="1" applyBorder="1" applyAlignment="1">
      <alignment horizontal="center" vertical="center" shrinkToFit="1"/>
    </xf>
    <xf numFmtId="176" fontId="27" fillId="2" borderId="41" xfId="1" applyNumberFormat="1" applyFont="1" applyFill="1" applyBorder="1" applyAlignment="1">
      <alignment horizontal="center" vertical="center" shrinkToFit="1"/>
    </xf>
    <xf numFmtId="176" fontId="27" fillId="2" borderId="64" xfId="1" applyNumberFormat="1" applyFont="1" applyFill="1" applyBorder="1" applyAlignment="1">
      <alignment horizontal="center" vertical="center" shrinkToFit="1"/>
    </xf>
    <xf numFmtId="176" fontId="27" fillId="2" borderId="83" xfId="1" applyNumberFormat="1" applyFont="1" applyFill="1" applyBorder="1" applyAlignment="1">
      <alignment horizontal="center" vertical="center" shrinkToFit="1"/>
    </xf>
    <xf numFmtId="176" fontId="27" fillId="2" borderId="28" xfId="1" applyNumberFormat="1" applyFont="1" applyFill="1" applyBorder="1" applyAlignment="1">
      <alignment horizontal="center" vertical="center" shrinkToFit="1"/>
    </xf>
    <xf numFmtId="176" fontId="27" fillId="2" borderId="84" xfId="1" applyNumberFormat="1" applyFont="1" applyFill="1" applyBorder="1" applyAlignment="1">
      <alignment horizontal="center" vertical="center" shrinkToFit="1"/>
    </xf>
    <xf numFmtId="0" fontId="27" fillId="2" borderId="32" xfId="1" applyFont="1" applyFill="1" applyBorder="1" applyAlignment="1">
      <alignment vertical="center" shrinkToFit="1"/>
    </xf>
    <xf numFmtId="0" fontId="27" fillId="2" borderId="25" xfId="1" applyFont="1" applyFill="1" applyBorder="1" applyAlignment="1">
      <alignment vertical="center" shrinkToFit="1"/>
    </xf>
    <xf numFmtId="0" fontId="27" fillId="2" borderId="50" xfId="1" applyFont="1" applyFill="1" applyBorder="1" applyAlignment="1">
      <alignment vertical="center" shrinkToFit="1"/>
    </xf>
    <xf numFmtId="0" fontId="27" fillId="3" borderId="18" xfId="1" applyFont="1" applyFill="1" applyBorder="1" applyAlignment="1">
      <alignment horizontal="center" vertical="center" shrinkToFit="1"/>
    </xf>
    <xf numFmtId="0" fontId="27" fillId="3" borderId="19" xfId="1" applyFont="1" applyFill="1" applyBorder="1" applyAlignment="1">
      <alignment horizontal="center" vertical="center" shrinkToFit="1"/>
    </xf>
    <xf numFmtId="0" fontId="27" fillId="3" borderId="21" xfId="1" applyFont="1" applyFill="1" applyBorder="1" applyAlignment="1">
      <alignment horizontal="center" vertical="center" shrinkToFit="1"/>
    </xf>
    <xf numFmtId="176" fontId="27" fillId="2" borderId="16" xfId="1" applyNumberFormat="1" applyFont="1" applyFill="1" applyBorder="1" applyAlignment="1">
      <alignment vertical="center" shrinkToFit="1"/>
    </xf>
    <xf numFmtId="176" fontId="27" fillId="2" borderId="17" xfId="1" applyNumberFormat="1" applyFont="1" applyFill="1" applyBorder="1" applyAlignment="1">
      <alignment vertical="center" shrinkToFit="1"/>
    </xf>
    <xf numFmtId="176" fontId="27" fillId="2" borderId="57" xfId="1" applyNumberFormat="1" applyFont="1" applyFill="1" applyBorder="1" applyAlignment="1">
      <alignment vertical="center" shrinkToFit="1"/>
    </xf>
    <xf numFmtId="176" fontId="27" fillId="2" borderId="58" xfId="1" applyNumberFormat="1" applyFont="1" applyFill="1" applyBorder="1" applyAlignment="1">
      <alignment vertical="center" shrinkToFit="1"/>
    </xf>
    <xf numFmtId="176" fontId="27" fillId="2" borderId="58" xfId="1" applyNumberFormat="1" applyFont="1" applyFill="1" applyBorder="1" applyAlignment="1">
      <alignment horizontal="center" vertical="center" shrinkToFit="1"/>
    </xf>
    <xf numFmtId="0" fontId="27" fillId="3" borderId="16" xfId="1" applyFont="1" applyFill="1" applyBorder="1" applyAlignment="1">
      <alignment horizontal="center" vertical="center" shrinkToFit="1"/>
    </xf>
    <xf numFmtId="0" fontId="27" fillId="3" borderId="20" xfId="1" applyFont="1" applyFill="1" applyBorder="1" applyAlignment="1">
      <alignment horizontal="center" vertical="center" shrinkToFit="1"/>
    </xf>
    <xf numFmtId="0" fontId="27" fillId="3" borderId="17" xfId="1" applyFont="1" applyFill="1" applyBorder="1" applyAlignment="1">
      <alignment horizontal="center" vertical="center" shrinkToFit="1"/>
    </xf>
    <xf numFmtId="0" fontId="27" fillId="2" borderId="164" xfId="1" applyFont="1" applyFill="1" applyBorder="1" applyAlignment="1">
      <alignment vertical="center" shrinkToFit="1"/>
    </xf>
    <xf numFmtId="0" fontId="27" fillId="2" borderId="20" xfId="1" applyFont="1" applyFill="1" applyBorder="1" applyAlignment="1">
      <alignment vertical="center" shrinkToFit="1"/>
    </xf>
    <xf numFmtId="0" fontId="27" fillId="2" borderId="17" xfId="1" applyFont="1" applyFill="1" applyBorder="1" applyAlignment="1">
      <alignment vertical="center" shrinkToFit="1"/>
    </xf>
    <xf numFmtId="0" fontId="27" fillId="2" borderId="65" xfId="1" applyFont="1" applyFill="1" applyBorder="1" applyAlignment="1">
      <alignment horizontal="center" vertical="center" shrinkToFit="1"/>
    </xf>
    <xf numFmtId="0" fontId="27" fillId="2" borderId="74" xfId="1" applyFont="1" applyFill="1" applyBorder="1" applyAlignment="1">
      <alignment horizontal="center" vertical="center" shrinkToFit="1"/>
    </xf>
    <xf numFmtId="0" fontId="27" fillId="2" borderId="66" xfId="1" applyFont="1" applyFill="1" applyBorder="1" applyAlignment="1">
      <alignment horizontal="center" vertical="center" shrinkToFit="1"/>
    </xf>
    <xf numFmtId="0" fontId="27" fillId="2" borderId="83" xfId="1" applyFont="1" applyFill="1" applyBorder="1" applyAlignment="1">
      <alignment horizontal="center" vertical="center" shrinkToFit="1"/>
    </xf>
    <xf numFmtId="0" fontId="27" fillId="2" borderId="28" xfId="1" applyFont="1" applyFill="1" applyBorder="1" applyAlignment="1">
      <alignment horizontal="center" vertical="center" shrinkToFit="1"/>
    </xf>
    <xf numFmtId="0" fontId="27" fillId="2" borderId="84" xfId="1" applyFont="1" applyFill="1" applyBorder="1" applyAlignment="1">
      <alignment horizontal="center" vertical="center" shrinkToFit="1"/>
    </xf>
    <xf numFmtId="0" fontId="27" fillId="2" borderId="46" xfId="1" applyFont="1" applyFill="1" applyBorder="1" applyAlignment="1">
      <alignment vertical="center" shrinkToFit="1"/>
    </xf>
    <xf numFmtId="0" fontId="27" fillId="2" borderId="47" xfId="1" applyFont="1" applyFill="1" applyBorder="1" applyAlignment="1">
      <alignment vertical="center" shrinkToFit="1"/>
    </xf>
    <xf numFmtId="0" fontId="27" fillId="2" borderId="77" xfId="1" applyFont="1" applyFill="1" applyBorder="1" applyAlignment="1">
      <alignment vertical="center" shrinkToFit="1"/>
    </xf>
    <xf numFmtId="176" fontId="27" fillId="2" borderId="22" xfId="1" applyNumberFormat="1" applyFont="1" applyFill="1" applyBorder="1" applyAlignment="1">
      <alignment vertical="center" shrinkToFit="1"/>
    </xf>
    <xf numFmtId="176" fontId="27" fillId="2" borderId="38" xfId="1" applyNumberFormat="1" applyFont="1" applyFill="1" applyBorder="1" applyAlignment="1">
      <alignment vertical="center" shrinkToFit="1"/>
    </xf>
    <xf numFmtId="0" fontId="27" fillId="3" borderId="32" xfId="1" applyFont="1" applyFill="1" applyBorder="1" applyAlignment="1">
      <alignment horizontal="center" vertical="center" shrinkToFit="1"/>
    </xf>
    <xf numFmtId="0" fontId="27" fillId="3" borderId="50" xfId="1" applyFont="1" applyFill="1" applyBorder="1" applyAlignment="1">
      <alignment horizontal="center" vertical="center" shrinkToFit="1"/>
    </xf>
    <xf numFmtId="0" fontId="27" fillId="2" borderId="1" xfId="1" applyFont="1" applyFill="1" applyBorder="1" applyAlignment="1">
      <alignment horizontal="center" vertical="center" textRotation="255" shrinkToFit="1"/>
    </xf>
    <xf numFmtId="0" fontId="27" fillId="2" borderId="2" xfId="1" applyFont="1" applyFill="1" applyBorder="1" applyAlignment="1">
      <alignment horizontal="center" vertical="center" textRotation="255" shrinkToFit="1"/>
    </xf>
    <xf numFmtId="0" fontId="27" fillId="2" borderId="29" xfId="1" applyFont="1" applyFill="1" applyBorder="1" applyAlignment="1">
      <alignment vertical="center" shrinkToFit="1"/>
    </xf>
    <xf numFmtId="0" fontId="27" fillId="2" borderId="15" xfId="1" applyFont="1" applyFill="1" applyBorder="1" applyAlignment="1">
      <alignment vertical="center" shrinkToFit="1"/>
    </xf>
    <xf numFmtId="0" fontId="27" fillId="2" borderId="45" xfId="1" applyFont="1" applyFill="1" applyBorder="1" applyAlignment="1">
      <alignment vertical="center" shrinkToFit="1"/>
    </xf>
    <xf numFmtId="0" fontId="27" fillId="2" borderId="57" xfId="1" applyFont="1" applyFill="1" applyBorder="1" applyAlignment="1">
      <alignment horizontal="center" vertical="center" shrinkToFit="1"/>
    </xf>
    <xf numFmtId="0" fontId="27" fillId="2" borderId="75" xfId="1" applyFont="1" applyFill="1" applyBorder="1" applyAlignment="1">
      <alignment horizontal="center" vertical="center" shrinkToFit="1"/>
    </xf>
    <xf numFmtId="0" fontId="27" fillId="2" borderId="58" xfId="1" applyFont="1" applyFill="1" applyBorder="1" applyAlignment="1">
      <alignment horizontal="center" vertical="center" shrinkToFit="1"/>
    </xf>
    <xf numFmtId="176" fontId="27" fillId="2" borderId="44" xfId="1" applyNumberFormat="1" applyFont="1" applyFill="1" applyBorder="1" applyAlignment="1">
      <alignment horizontal="center" vertical="center" shrinkToFit="1"/>
    </xf>
    <xf numFmtId="176" fontId="27" fillId="2" borderId="15" xfId="1" applyNumberFormat="1" applyFont="1" applyFill="1" applyBorder="1" applyAlignment="1">
      <alignment horizontal="center" vertical="center" shrinkToFit="1"/>
    </xf>
    <xf numFmtId="0" fontId="27" fillId="3" borderId="44" xfId="1" applyFont="1" applyFill="1" applyBorder="1" applyAlignment="1">
      <alignment horizontal="center" vertical="center" shrinkToFit="1"/>
    </xf>
    <xf numFmtId="0" fontId="27" fillId="3" borderId="15" xfId="1" applyFont="1" applyFill="1" applyBorder="1" applyAlignment="1">
      <alignment horizontal="center" vertical="center" shrinkToFit="1"/>
    </xf>
    <xf numFmtId="0" fontId="27" fillId="3" borderId="45" xfId="1" applyFont="1" applyFill="1" applyBorder="1" applyAlignment="1">
      <alignment horizontal="center" vertical="center" shrinkToFit="1"/>
    </xf>
    <xf numFmtId="176" fontId="27" fillId="3" borderId="16" xfId="1" applyNumberFormat="1" applyFont="1" applyFill="1" applyBorder="1" applyAlignment="1">
      <alignment horizontal="center" vertical="center" shrinkToFit="1"/>
    </xf>
    <xf numFmtId="176" fontId="27" fillId="3" borderId="20" xfId="1" applyNumberFormat="1" applyFont="1" applyFill="1" applyBorder="1" applyAlignment="1">
      <alignment horizontal="center" vertical="center" shrinkToFit="1"/>
    </xf>
    <xf numFmtId="179" fontId="27" fillId="2" borderId="11" xfId="0" applyNumberFormat="1" applyFont="1" applyFill="1" applyBorder="1" applyAlignment="1">
      <alignment horizontal="left" vertical="center" shrinkToFit="1"/>
    </xf>
    <xf numFmtId="179" fontId="27" fillId="2" borderId="11" xfId="0" applyNumberFormat="1" applyFont="1" applyFill="1" applyBorder="1" applyAlignment="1">
      <alignment horizontal="center" vertical="center" shrinkToFit="1"/>
    </xf>
    <xf numFmtId="0" fontId="27" fillId="2" borderId="18" xfId="1" applyFont="1" applyFill="1" applyBorder="1" applyAlignment="1">
      <alignment horizontal="center" vertical="center" wrapText="1" shrinkToFit="1"/>
    </xf>
    <xf numFmtId="0" fontId="27" fillId="2" borderId="21" xfId="1" applyFont="1" applyFill="1" applyBorder="1" applyAlignment="1">
      <alignment horizontal="center" vertical="center" wrapText="1" shrinkToFit="1"/>
    </xf>
    <xf numFmtId="179" fontId="27" fillId="3" borderId="18" xfId="1" applyNumberFormat="1" applyFont="1" applyFill="1" applyBorder="1" applyAlignment="1">
      <alignment horizontal="center" vertical="center" shrinkToFit="1"/>
    </xf>
    <xf numFmtId="179" fontId="27" fillId="3" borderId="21" xfId="1" applyNumberFormat="1" applyFont="1" applyFill="1" applyBorder="1" applyAlignment="1">
      <alignment horizontal="center" vertical="center" shrinkToFit="1"/>
    </xf>
    <xf numFmtId="176" fontId="27" fillId="2" borderId="70" xfId="1" applyNumberFormat="1" applyFont="1" applyFill="1" applyBorder="1" applyAlignment="1">
      <alignment vertical="center" shrinkToFit="1"/>
    </xf>
    <xf numFmtId="176" fontId="27" fillId="2" borderId="71" xfId="1" applyNumberFormat="1" applyFont="1" applyFill="1" applyBorder="1" applyAlignment="1">
      <alignment vertical="center" shrinkToFit="1"/>
    </xf>
    <xf numFmtId="0" fontId="27" fillId="2" borderId="156" xfId="1" applyFont="1" applyFill="1" applyBorder="1" applyAlignment="1">
      <alignment vertical="center" shrinkToFit="1"/>
    </xf>
    <xf numFmtId="0" fontId="27" fillId="2" borderId="158" xfId="1" applyFont="1" applyFill="1" applyBorder="1" applyAlignment="1">
      <alignment vertical="center" shrinkToFit="1"/>
    </xf>
    <xf numFmtId="0" fontId="27" fillId="2" borderId="8" xfId="1" applyFont="1" applyFill="1" applyBorder="1" applyAlignment="1">
      <alignment vertical="center" shrinkToFit="1"/>
    </xf>
    <xf numFmtId="0" fontId="27" fillId="2" borderId="60" xfId="1" applyFont="1" applyFill="1" applyBorder="1" applyAlignment="1">
      <alignment vertical="center" shrinkToFit="1"/>
    </xf>
    <xf numFmtId="0" fontId="27" fillId="2" borderId="152" xfId="1" applyFont="1" applyFill="1" applyBorder="1" applyAlignment="1">
      <alignment horizontal="center" vertical="center" shrinkToFit="1"/>
    </xf>
    <xf numFmtId="0" fontId="27" fillId="2" borderId="157" xfId="1" applyFont="1" applyFill="1" applyBorder="1" applyAlignment="1">
      <alignment horizontal="center" vertical="center" shrinkToFit="1"/>
    </xf>
    <xf numFmtId="0" fontId="27" fillId="2" borderId="147" xfId="1" applyFont="1" applyFill="1" applyBorder="1" applyAlignment="1">
      <alignment vertical="center" shrinkToFit="1"/>
    </xf>
    <xf numFmtId="0" fontId="27" fillId="2" borderId="89" xfId="1" applyFont="1" applyFill="1" applyBorder="1" applyAlignment="1">
      <alignment vertical="center" shrinkToFit="1"/>
    </xf>
    <xf numFmtId="0" fontId="27" fillId="2" borderId="73" xfId="1" applyFont="1" applyFill="1" applyBorder="1" applyAlignment="1">
      <alignment vertical="center" shrinkToFit="1"/>
    </xf>
    <xf numFmtId="0" fontId="27" fillId="2" borderId="148" xfId="1" applyFont="1" applyFill="1" applyBorder="1" applyAlignment="1">
      <alignment vertical="center" shrinkToFit="1"/>
    </xf>
    <xf numFmtId="0" fontId="27" fillId="2" borderId="85" xfId="1" applyFont="1" applyFill="1" applyBorder="1" applyAlignment="1">
      <alignment vertical="center" shrinkToFit="1"/>
    </xf>
    <xf numFmtId="0" fontId="27" fillId="2" borderId="71" xfId="1" applyFont="1" applyFill="1" applyBorder="1" applyAlignment="1">
      <alignment vertical="center" shrinkToFit="1"/>
    </xf>
    <xf numFmtId="182" fontId="27" fillId="2" borderId="160" xfId="1" applyNumberFormat="1" applyFont="1" applyFill="1" applyBorder="1" applyAlignment="1">
      <alignment horizontal="center" vertical="center" shrinkToFit="1"/>
    </xf>
    <xf numFmtId="182" fontId="27" fillId="2" borderId="139" xfId="1" applyNumberFormat="1" applyFont="1" applyFill="1" applyBorder="1" applyAlignment="1">
      <alignment horizontal="center" vertical="center" shrinkToFit="1"/>
    </xf>
    <xf numFmtId="182" fontId="27" fillId="2" borderId="161" xfId="1" applyNumberFormat="1" applyFont="1" applyFill="1" applyBorder="1" applyAlignment="1">
      <alignment horizontal="center" vertical="center" shrinkToFit="1"/>
    </xf>
    <xf numFmtId="182" fontId="27" fillId="2" borderId="162" xfId="1" applyNumberFormat="1" applyFont="1" applyFill="1" applyBorder="1" applyAlignment="1">
      <alignment horizontal="center" vertical="center" shrinkToFit="1"/>
    </xf>
    <xf numFmtId="182" fontId="27" fillId="2" borderId="140" xfId="1" applyNumberFormat="1" applyFont="1" applyFill="1" applyBorder="1" applyAlignment="1">
      <alignment horizontal="center" vertical="center" shrinkToFit="1"/>
    </xf>
    <xf numFmtId="182" fontId="27" fillId="2" borderId="163" xfId="1" applyNumberFormat="1" applyFont="1" applyFill="1" applyBorder="1" applyAlignment="1">
      <alignment horizontal="center" vertical="center" shrinkToFit="1"/>
    </xf>
    <xf numFmtId="181" fontId="27" fillId="2" borderId="22" xfId="1" applyNumberFormat="1" applyFont="1" applyFill="1" applyBorder="1" applyAlignment="1">
      <alignment horizontal="center" vertical="center" shrinkToFit="1"/>
    </xf>
    <xf numFmtId="181" fontId="27" fillId="2" borderId="38" xfId="1" applyNumberFormat="1" applyFont="1" applyFill="1" applyBorder="1" applyAlignment="1">
      <alignment horizontal="center" vertical="center" shrinkToFit="1"/>
    </xf>
    <xf numFmtId="0" fontId="27" fillId="2" borderId="11" xfId="1" applyFont="1" applyFill="1" applyBorder="1" applyAlignment="1">
      <alignment horizontal="center" vertical="center" textRotation="255" shrinkToFit="1"/>
    </xf>
    <xf numFmtId="179" fontId="27" fillId="3" borderId="57" xfId="1" applyNumberFormat="1" applyFont="1" applyFill="1" applyBorder="1" applyAlignment="1">
      <alignment horizontal="center" vertical="center" shrinkToFit="1"/>
    </xf>
    <xf numFmtId="179" fontId="27" fillId="3" borderId="58" xfId="1" applyNumberFormat="1" applyFont="1" applyFill="1" applyBorder="1" applyAlignment="1">
      <alignment horizontal="center" vertical="center" shrinkToFit="1"/>
    </xf>
    <xf numFmtId="0" fontId="27" fillId="2" borderId="44" xfId="1" applyFont="1" applyFill="1" applyBorder="1" applyAlignment="1">
      <alignment horizontal="center" vertical="center" shrinkToFit="1"/>
    </xf>
    <xf numFmtId="0" fontId="27" fillId="2" borderId="15" xfId="1" applyFont="1" applyFill="1" applyBorder="1" applyAlignment="1">
      <alignment horizontal="center" vertical="center" shrinkToFit="1"/>
    </xf>
    <xf numFmtId="179" fontId="27" fillId="3" borderId="59" xfId="1" applyNumberFormat="1" applyFont="1" applyFill="1" applyBorder="1" applyAlignment="1">
      <alignment horizontal="center" vertical="center" shrinkToFit="1"/>
    </xf>
    <xf numFmtId="179" fontId="27" fillId="3" borderId="60" xfId="1" applyNumberFormat="1" applyFont="1" applyFill="1" applyBorder="1" applyAlignment="1">
      <alignment horizontal="center" vertical="center" shrinkToFit="1"/>
    </xf>
    <xf numFmtId="176" fontId="27" fillId="2" borderId="90" xfId="1" applyNumberFormat="1" applyFont="1" applyFill="1" applyBorder="1" applyAlignment="1">
      <alignment horizontal="center" vertical="center" shrinkToFit="1"/>
    </xf>
    <xf numFmtId="176" fontId="27" fillId="2" borderId="94" xfId="1" applyNumberFormat="1" applyFont="1" applyFill="1" applyBorder="1" applyAlignment="1">
      <alignment horizontal="center" vertical="center" shrinkToFit="1"/>
    </xf>
    <xf numFmtId="176" fontId="27" fillId="2" borderId="91" xfId="1" applyNumberFormat="1" applyFont="1" applyFill="1" applyBorder="1" applyAlignment="1">
      <alignment horizontal="center" vertical="center" shrinkToFit="1"/>
    </xf>
    <xf numFmtId="181" fontId="27" fillId="2" borderId="59" xfId="1" applyNumberFormat="1" applyFont="1" applyFill="1" applyBorder="1" applyAlignment="1">
      <alignment horizontal="center" vertical="center" shrinkToFit="1"/>
    </xf>
    <xf numFmtId="181" fontId="27" fillId="2" borderId="60" xfId="1" applyNumberFormat="1" applyFont="1" applyFill="1" applyBorder="1" applyAlignment="1">
      <alignment horizontal="center" vertical="center" shrinkToFit="1"/>
    </xf>
    <xf numFmtId="176" fontId="27" fillId="2" borderId="76" xfId="1" applyNumberFormat="1" applyFont="1" applyFill="1" applyBorder="1" applyAlignment="1">
      <alignment horizontal="center" vertical="center" shrinkToFit="1"/>
    </xf>
    <xf numFmtId="176" fontId="27" fillId="2" borderId="47" xfId="1" applyNumberFormat="1" applyFont="1" applyFill="1" applyBorder="1" applyAlignment="1">
      <alignment horizontal="center" vertical="center" shrinkToFit="1"/>
    </xf>
    <xf numFmtId="176" fontId="27" fillId="2" borderId="77" xfId="1" applyNumberFormat="1" applyFont="1" applyFill="1" applyBorder="1" applyAlignment="1">
      <alignment horizontal="center" vertical="center" shrinkToFit="1"/>
    </xf>
    <xf numFmtId="176" fontId="27" fillId="2" borderId="76" xfId="1" applyNumberFormat="1" applyFont="1" applyFill="1" applyBorder="1" applyAlignment="1">
      <alignment vertical="center" shrinkToFit="1"/>
    </xf>
    <xf numFmtId="176" fontId="27" fillId="2" borderId="77" xfId="1" applyNumberFormat="1" applyFont="1" applyFill="1" applyBorder="1" applyAlignment="1">
      <alignment vertical="center" shrinkToFit="1"/>
    </xf>
    <xf numFmtId="0" fontId="27" fillId="3" borderId="63" xfId="1" applyFont="1" applyFill="1" applyBorder="1" applyAlignment="1">
      <alignment horizontal="center" vertical="center" shrinkToFit="1"/>
    </xf>
    <xf numFmtId="0" fontId="27" fillId="3" borderId="125" xfId="1" applyFont="1" applyFill="1" applyBorder="1" applyAlignment="1">
      <alignment horizontal="center" vertical="center" shrinkToFit="1"/>
    </xf>
    <xf numFmtId="0" fontId="27" fillId="3" borderId="78" xfId="1" applyFont="1" applyFill="1" applyBorder="1" applyAlignment="1">
      <alignment horizontal="center" vertical="center" shrinkToFit="1"/>
    </xf>
    <xf numFmtId="182" fontId="27" fillId="2" borderId="63" xfId="1" applyNumberFormat="1" applyFont="1" applyFill="1" applyBorder="1" applyAlignment="1">
      <alignment vertical="center" shrinkToFit="1"/>
    </xf>
    <xf numFmtId="182" fontId="27" fillId="2" borderId="78" xfId="1" applyNumberFormat="1" applyFont="1" applyFill="1" applyBorder="1" applyAlignment="1">
      <alignment vertical="center" shrinkToFit="1"/>
    </xf>
    <xf numFmtId="182" fontId="27" fillId="2" borderId="126" xfId="1" applyNumberFormat="1" applyFont="1" applyFill="1" applyBorder="1" applyAlignment="1">
      <alignment horizontal="center" vertical="center" shrinkToFit="1"/>
    </xf>
    <xf numFmtId="182" fontId="27" fillId="2" borderId="127" xfId="1" applyNumberFormat="1" applyFont="1" applyFill="1" applyBorder="1" applyAlignment="1">
      <alignment horizontal="center" vertical="center" shrinkToFit="1"/>
    </xf>
    <xf numFmtId="182" fontId="27" fillId="2" borderId="128" xfId="1" applyNumberFormat="1" applyFont="1" applyFill="1" applyBorder="1" applyAlignment="1">
      <alignment horizontal="center" vertical="center" shrinkToFit="1"/>
    </xf>
    <xf numFmtId="0" fontId="27" fillId="2" borderId="40" xfId="1" applyFont="1" applyFill="1" applyBorder="1" applyAlignment="1">
      <alignment horizontal="center" vertical="center" shrinkToFit="1"/>
    </xf>
    <xf numFmtId="0" fontId="27" fillId="2" borderId="64" xfId="1" applyFont="1" applyFill="1" applyBorder="1" applyAlignment="1">
      <alignment horizontal="center" vertical="center" shrinkToFit="1"/>
    </xf>
    <xf numFmtId="0" fontId="27" fillId="2" borderId="42" xfId="1" applyFont="1" applyFill="1" applyBorder="1" applyAlignment="1">
      <alignment horizontal="center" vertical="center" shrinkToFit="1"/>
    </xf>
    <xf numFmtId="0" fontId="27" fillId="2" borderId="61" xfId="1" applyFont="1" applyFill="1" applyBorder="1" applyAlignment="1">
      <alignment horizontal="center" vertical="center" shrinkToFit="1"/>
    </xf>
    <xf numFmtId="176" fontId="27" fillId="2" borderId="42" xfId="1" applyNumberFormat="1" applyFont="1" applyFill="1" applyBorder="1" applyAlignment="1">
      <alignment horizontal="center" vertical="center" shrinkToFit="1"/>
    </xf>
    <xf numFmtId="176" fontId="27" fillId="2" borderId="61" xfId="1" applyNumberFormat="1" applyFont="1" applyFill="1" applyBorder="1" applyAlignment="1">
      <alignment horizontal="center" vertical="center" shrinkToFit="1"/>
    </xf>
    <xf numFmtId="176" fontId="27" fillId="2" borderId="70" xfId="1" applyNumberFormat="1" applyFont="1" applyFill="1" applyBorder="1" applyAlignment="1">
      <alignment horizontal="center" vertical="center" shrinkToFit="1"/>
    </xf>
    <xf numFmtId="176" fontId="27" fillId="2" borderId="85" xfId="1" applyNumberFormat="1" applyFont="1" applyFill="1" applyBorder="1" applyAlignment="1">
      <alignment horizontal="center" vertical="center" shrinkToFit="1"/>
    </xf>
    <xf numFmtId="176" fontId="27" fillId="2" borderId="71" xfId="1" applyNumberFormat="1" applyFont="1" applyFill="1" applyBorder="1" applyAlignment="1">
      <alignment horizontal="center" vertical="center" shrinkToFit="1"/>
    </xf>
    <xf numFmtId="0" fontId="27" fillId="2" borderId="79" xfId="1" applyFont="1" applyFill="1" applyBorder="1" applyAlignment="1">
      <alignment horizontal="center" vertical="center" shrinkToFit="1"/>
    </xf>
    <xf numFmtId="0" fontId="27" fillId="2" borderId="81" xfId="1" applyFont="1" applyFill="1" applyBorder="1" applyAlignment="1">
      <alignment horizontal="center" vertical="center" shrinkToFit="1"/>
    </xf>
    <xf numFmtId="176" fontId="27" fillId="2" borderId="72" xfId="1" applyNumberFormat="1" applyFont="1" applyFill="1" applyBorder="1" applyAlignment="1">
      <alignment horizontal="center" vertical="center" shrinkToFit="1"/>
    </xf>
    <xf numFmtId="176" fontId="27" fillId="2" borderId="89" xfId="1" applyNumberFormat="1" applyFont="1" applyFill="1" applyBorder="1" applyAlignment="1">
      <alignment horizontal="center" vertical="center" shrinkToFit="1"/>
    </xf>
    <xf numFmtId="176" fontId="27" fillId="2" borderId="73" xfId="1" applyNumberFormat="1" applyFont="1" applyFill="1" applyBorder="1" applyAlignment="1">
      <alignment horizontal="center" vertical="center" shrinkToFit="1"/>
    </xf>
    <xf numFmtId="0" fontId="27" fillId="2" borderId="63" xfId="1" applyFont="1" applyFill="1" applyBorder="1" applyAlignment="1">
      <alignment horizontal="center" vertical="center" shrinkToFit="1"/>
    </xf>
    <xf numFmtId="0" fontId="27" fillId="2" borderId="78" xfId="1" applyFont="1" applyFill="1" applyBorder="1" applyAlignment="1">
      <alignment horizontal="center" vertical="center" shrinkToFit="1"/>
    </xf>
    <xf numFmtId="193" fontId="27" fillId="3" borderId="63" xfId="1" applyNumberFormat="1" applyFont="1" applyFill="1" applyBorder="1" applyAlignment="1">
      <alignment horizontal="center" vertical="center" shrinkToFit="1"/>
    </xf>
    <xf numFmtId="193" fontId="27" fillId="3" borderId="78" xfId="1" applyNumberFormat="1" applyFont="1" applyFill="1" applyBorder="1" applyAlignment="1">
      <alignment horizontal="center" vertical="center" shrinkToFit="1"/>
    </xf>
    <xf numFmtId="176" fontId="27" fillId="2" borderId="92" xfId="1" applyNumberFormat="1" applyFont="1" applyFill="1" applyBorder="1" applyAlignment="1">
      <alignment vertical="center" shrinkToFit="1"/>
    </xf>
    <xf numFmtId="176" fontId="27" fillId="2" borderId="93" xfId="1" applyNumberFormat="1" applyFont="1" applyFill="1" applyBorder="1" applyAlignment="1">
      <alignment vertical="center" shrinkToFit="1"/>
    </xf>
    <xf numFmtId="194" fontId="27" fillId="2" borderId="49" xfId="1" applyNumberFormat="1" applyFont="1" applyFill="1" applyBorder="1" applyAlignment="1">
      <alignment vertical="center" shrinkToFit="1"/>
    </xf>
    <xf numFmtId="194" fontId="27" fillId="2" borderId="62" xfId="1" applyNumberFormat="1" applyFont="1" applyFill="1" applyBorder="1" applyAlignment="1">
      <alignment vertical="center" shrinkToFit="1"/>
    </xf>
    <xf numFmtId="0" fontId="27" fillId="3" borderId="70" xfId="1" applyFont="1" applyFill="1" applyBorder="1" applyAlignment="1">
      <alignment horizontal="center" vertical="center" shrinkToFit="1"/>
    </xf>
    <xf numFmtId="0" fontId="27" fillId="3" borderId="71" xfId="1" applyFont="1" applyFill="1" applyBorder="1" applyAlignment="1">
      <alignment horizontal="center" vertical="center" shrinkToFit="1"/>
    </xf>
    <xf numFmtId="194" fontId="27" fillId="2" borderId="150" xfId="1" applyNumberFormat="1" applyFont="1" applyFill="1" applyBorder="1" applyAlignment="1">
      <alignment horizontal="center" vertical="center" shrinkToFit="1"/>
    </xf>
    <xf numFmtId="194" fontId="27" fillId="2" borderId="151" xfId="1" applyNumberFormat="1" applyFont="1" applyFill="1" applyBorder="1" applyAlignment="1">
      <alignment horizontal="center" vertical="center" shrinkToFit="1"/>
    </xf>
    <xf numFmtId="194" fontId="27" fillId="2" borderId="40" xfId="1" applyNumberFormat="1" applyFont="1" applyFill="1" applyBorder="1" applyAlignment="1">
      <alignment horizontal="center" vertical="center" shrinkToFit="1"/>
    </xf>
    <xf numFmtId="194" fontId="27" fillId="2" borderId="64" xfId="1" applyNumberFormat="1" applyFont="1" applyFill="1" applyBorder="1" applyAlignment="1">
      <alignment horizontal="center" vertical="center" shrinkToFit="1"/>
    </xf>
    <xf numFmtId="194" fontId="27" fillId="2" borderId="83" xfId="1" applyNumberFormat="1" applyFont="1" applyFill="1" applyBorder="1" applyAlignment="1">
      <alignment horizontal="center" vertical="center" shrinkToFit="1"/>
    </xf>
    <xf numFmtId="194" fontId="27" fillId="2" borderId="84" xfId="1" applyNumberFormat="1" applyFont="1" applyFill="1" applyBorder="1" applyAlignment="1">
      <alignment horizontal="center" vertical="center" shrinkToFit="1"/>
    </xf>
    <xf numFmtId="0" fontId="27" fillId="2" borderId="131" xfId="1" applyFont="1" applyFill="1" applyBorder="1" applyAlignment="1">
      <alignment horizontal="center" vertical="center" shrinkToFit="1"/>
    </xf>
    <xf numFmtId="0" fontId="27" fillId="2" borderId="159" xfId="1" applyFont="1" applyFill="1" applyBorder="1" applyAlignment="1">
      <alignment horizontal="center" vertical="center" shrinkToFit="1"/>
    </xf>
    <xf numFmtId="194" fontId="27" fillId="2" borderId="55" xfId="1" applyNumberFormat="1" applyFont="1" applyFill="1" applyBorder="1" applyAlignment="1">
      <alignment horizontal="center" vertical="center" shrinkToFit="1"/>
    </xf>
    <xf numFmtId="194" fontId="27" fillId="2" borderId="56" xfId="1" applyNumberFormat="1" applyFont="1" applyFill="1" applyBorder="1" applyAlignment="1">
      <alignment horizontal="center" vertical="center" shrinkToFit="1"/>
    </xf>
    <xf numFmtId="194" fontId="27" fillId="2" borderId="42" xfId="1" applyNumberFormat="1" applyFont="1" applyFill="1" applyBorder="1" applyAlignment="1">
      <alignment horizontal="center" vertical="center" shrinkToFit="1"/>
    </xf>
    <xf numFmtId="194" fontId="27" fillId="2" borderId="61" xfId="1" applyNumberFormat="1" applyFont="1" applyFill="1" applyBorder="1" applyAlignment="1">
      <alignment horizontal="center" vertical="center" shrinkToFit="1"/>
    </xf>
    <xf numFmtId="0" fontId="27" fillId="2" borderId="153" xfId="1" applyFont="1" applyFill="1" applyBorder="1" applyAlignment="1">
      <alignment vertical="center" shrinkToFit="1"/>
    </xf>
    <xf numFmtId="0" fontId="27" fillId="2" borderId="154" xfId="1" applyFont="1" applyFill="1" applyBorder="1" applyAlignment="1">
      <alignment vertical="center" shrinkToFit="1"/>
    </xf>
    <xf numFmtId="0" fontId="27" fillId="2" borderId="155" xfId="1" applyFont="1" applyFill="1" applyBorder="1" applyAlignment="1">
      <alignment vertical="center" shrinkToFit="1"/>
    </xf>
    <xf numFmtId="176" fontId="27" fillId="2" borderId="92" xfId="1" applyNumberFormat="1" applyFont="1" applyFill="1" applyBorder="1" applyAlignment="1">
      <alignment horizontal="center" vertical="center" shrinkToFit="1"/>
    </xf>
    <xf numFmtId="176" fontId="27" fillId="2" borderId="35" xfId="1" applyNumberFormat="1" applyFont="1" applyFill="1" applyBorder="1" applyAlignment="1">
      <alignment horizontal="center" vertical="center" shrinkToFit="1"/>
    </xf>
    <xf numFmtId="176" fontId="27" fillId="2" borderId="93" xfId="1" applyNumberFormat="1" applyFont="1" applyFill="1" applyBorder="1" applyAlignment="1">
      <alignment horizontal="center" vertical="center" shrinkToFit="1"/>
    </xf>
    <xf numFmtId="0" fontId="27" fillId="3" borderId="92" xfId="1" applyFont="1" applyFill="1" applyBorder="1" applyAlignment="1">
      <alignment horizontal="center" vertical="center" shrinkToFit="1"/>
    </xf>
    <xf numFmtId="0" fontId="27" fillId="3" borderId="93" xfId="1" applyFont="1" applyFill="1" applyBorder="1" applyAlignment="1">
      <alignment horizontal="center" vertical="center" shrinkToFit="1"/>
    </xf>
    <xf numFmtId="0" fontId="27" fillId="2" borderId="22" xfId="1" applyFont="1" applyFill="1" applyBorder="1" applyAlignment="1">
      <alignment horizontal="center" vertical="center" shrinkToFit="1"/>
    </xf>
    <xf numFmtId="0" fontId="27" fillId="2" borderId="0" xfId="1" applyFont="1" applyFill="1" applyBorder="1" applyAlignment="1">
      <alignment horizontal="center" vertical="center" shrinkToFit="1"/>
    </xf>
    <xf numFmtId="0" fontId="27" fillId="3" borderId="57" xfId="1" applyFont="1" applyFill="1" applyBorder="1" applyAlignment="1">
      <alignment horizontal="center" vertical="center" shrinkToFit="1"/>
    </xf>
    <xf numFmtId="0" fontId="27" fillId="3" borderId="58" xfId="1" applyFont="1" applyFill="1" applyBorder="1" applyAlignment="1">
      <alignment horizontal="center" vertical="center" shrinkToFit="1"/>
    </xf>
    <xf numFmtId="0" fontId="27" fillId="2" borderId="79" xfId="1" applyFont="1" applyFill="1" applyBorder="1" applyAlignment="1">
      <alignment vertical="center" shrinkToFit="1"/>
    </xf>
    <xf numFmtId="0" fontId="27" fillId="2" borderId="81" xfId="1" applyFont="1" applyFill="1" applyBorder="1" applyAlignment="1">
      <alignment vertical="center" shrinkToFit="1"/>
    </xf>
    <xf numFmtId="0" fontId="27" fillId="2" borderId="41" xfId="1" applyFont="1" applyFill="1" applyBorder="1" applyAlignment="1">
      <alignment horizontal="center" vertical="center" shrinkToFit="1"/>
    </xf>
    <xf numFmtId="0" fontId="27" fillId="2" borderId="82" xfId="1" applyFont="1" applyFill="1" applyBorder="1" applyAlignment="1">
      <alignment vertical="center" shrinkToFit="1"/>
    </xf>
    <xf numFmtId="0" fontId="27" fillId="2" borderId="67" xfId="1" applyFont="1" applyFill="1" applyBorder="1" applyAlignment="1">
      <alignment horizontal="center" vertical="center" shrinkToFit="1"/>
    </xf>
    <xf numFmtId="0" fontId="27" fillId="2" borderId="69" xfId="1" applyFont="1" applyFill="1" applyBorder="1" applyAlignment="1">
      <alignment horizontal="center" vertical="center" shrinkToFit="1"/>
    </xf>
    <xf numFmtId="176" fontId="27" fillId="2" borderId="144" xfId="1" applyNumberFormat="1" applyFont="1" applyFill="1" applyBorder="1" applyAlignment="1">
      <alignment horizontal="center" vertical="center" shrinkToFit="1"/>
    </xf>
    <xf numFmtId="176" fontId="27" fillId="2" borderId="145" xfId="1" applyNumberFormat="1" applyFont="1" applyFill="1" applyBorder="1" applyAlignment="1">
      <alignment horizontal="center" vertical="center" shrinkToFit="1"/>
    </xf>
    <xf numFmtId="176" fontId="27" fillId="2" borderId="146" xfId="1" applyNumberFormat="1" applyFont="1" applyFill="1" applyBorder="1" applyAlignment="1">
      <alignment horizontal="center" vertical="center" shrinkToFit="1"/>
    </xf>
    <xf numFmtId="176" fontId="27" fillId="2" borderId="39" xfId="1" applyNumberFormat="1" applyFont="1" applyFill="1" applyBorder="1" applyAlignment="1">
      <alignment horizontal="center" vertical="center" shrinkToFit="1"/>
    </xf>
    <xf numFmtId="176" fontId="27" fillId="2" borderId="51" xfId="1" applyNumberFormat="1" applyFont="1" applyFill="1" applyBorder="1" applyAlignment="1">
      <alignment horizontal="center" vertical="center" shrinkToFit="1"/>
    </xf>
    <xf numFmtId="176" fontId="27" fillId="2" borderId="52" xfId="1" applyNumberFormat="1" applyFont="1" applyFill="1" applyBorder="1" applyAlignment="1">
      <alignment horizontal="center" vertical="center" shrinkToFit="1"/>
    </xf>
    <xf numFmtId="0" fontId="27" fillId="2" borderId="90" xfId="1" applyFont="1" applyFill="1" applyBorder="1" applyAlignment="1">
      <alignment horizontal="center" vertical="center" shrinkToFit="1"/>
    </xf>
    <xf numFmtId="0" fontId="27" fillId="2" borderId="91" xfId="1" applyFont="1" applyFill="1" applyBorder="1" applyAlignment="1">
      <alignment horizontal="center" vertical="center" shrinkToFit="1"/>
    </xf>
    <xf numFmtId="0" fontId="27" fillId="3" borderId="22" xfId="1" applyFont="1" applyFill="1" applyBorder="1" applyAlignment="1">
      <alignment horizontal="center" vertical="center" shrinkToFit="1"/>
    </xf>
    <xf numFmtId="0" fontId="27" fillId="3" borderId="38" xfId="1" applyFont="1" applyFill="1" applyBorder="1" applyAlignment="1">
      <alignment horizontal="center" vertical="center" shrinkToFit="1"/>
    </xf>
    <xf numFmtId="0" fontId="27" fillId="2" borderId="152" xfId="1" applyFont="1" applyFill="1" applyBorder="1" applyAlignment="1">
      <alignment vertical="center" shrinkToFit="1"/>
    </xf>
    <xf numFmtId="0" fontId="27" fillId="2" borderId="157" xfId="1" applyFont="1" applyFill="1" applyBorder="1" applyAlignment="1">
      <alignment vertical="center" shrinkToFit="1"/>
    </xf>
    <xf numFmtId="176" fontId="27" fillId="2" borderId="36" xfId="1" applyNumberFormat="1" applyFont="1" applyFill="1" applyBorder="1" applyAlignment="1">
      <alignment horizontal="center" vertical="center" shrinkToFit="1"/>
    </xf>
    <xf numFmtId="0" fontId="27" fillId="2" borderId="31" xfId="1" applyFont="1" applyFill="1" applyBorder="1" applyAlignment="1">
      <alignment vertical="center" shrinkToFit="1"/>
    </xf>
    <xf numFmtId="0" fontId="27" fillId="3" borderId="3" xfId="1" applyFont="1" applyFill="1" applyBorder="1" applyAlignment="1">
      <alignment horizontal="center" vertical="center" shrinkToFit="1"/>
    </xf>
    <xf numFmtId="0" fontId="27" fillId="3" borderId="4" xfId="1" applyFont="1" applyFill="1" applyBorder="1" applyAlignment="1">
      <alignment horizontal="center" vertical="center" shrinkToFit="1"/>
    </xf>
    <xf numFmtId="0" fontId="27" fillId="3" borderId="62" xfId="1" applyFont="1" applyFill="1" applyBorder="1" applyAlignment="1">
      <alignment horizontal="center" vertical="center" shrinkToFit="1"/>
    </xf>
    <xf numFmtId="176" fontId="27" fillId="2" borderId="63" xfId="1" applyNumberFormat="1" applyFont="1" applyFill="1" applyBorder="1" applyAlignment="1">
      <alignment vertical="center" shrinkToFit="1"/>
    </xf>
    <xf numFmtId="176" fontId="27" fillId="2" borderId="78" xfId="1" applyNumberFormat="1" applyFont="1" applyFill="1" applyBorder="1" applyAlignment="1">
      <alignment vertical="center" shrinkToFit="1"/>
    </xf>
    <xf numFmtId="176" fontId="27" fillId="2" borderId="131" xfId="1" applyNumberFormat="1" applyFont="1" applyFill="1" applyBorder="1" applyAlignment="1">
      <alignment horizontal="center" vertical="center" shrinkToFit="1"/>
    </xf>
    <xf numFmtId="176" fontId="27" fillId="2" borderId="132" xfId="1" applyNumberFormat="1" applyFont="1" applyFill="1" applyBorder="1" applyAlignment="1">
      <alignment horizontal="center" vertical="center" shrinkToFit="1"/>
    </xf>
    <xf numFmtId="176" fontId="27" fillId="2" borderId="115" xfId="1" applyNumberFormat="1" applyFont="1" applyFill="1" applyBorder="1" applyAlignment="1">
      <alignment horizontal="center" vertical="center" shrinkToFit="1"/>
    </xf>
    <xf numFmtId="176" fontId="27" fillId="2" borderId="116" xfId="1" applyNumberFormat="1" applyFont="1" applyFill="1" applyBorder="1" applyAlignment="1">
      <alignment horizontal="center" vertical="center" shrinkToFit="1"/>
    </xf>
    <xf numFmtId="176" fontId="27" fillId="2" borderId="133" xfId="1" applyNumberFormat="1" applyFont="1" applyFill="1" applyBorder="1" applyAlignment="1">
      <alignment horizontal="center" vertical="center" shrinkToFit="1"/>
    </xf>
    <xf numFmtId="176" fontId="27" fillId="2" borderId="134" xfId="1" applyNumberFormat="1" applyFont="1" applyFill="1" applyBorder="1" applyAlignment="1">
      <alignment horizontal="center" vertical="center" shrinkToFit="1"/>
    </xf>
    <xf numFmtId="176" fontId="27" fillId="2" borderId="135" xfId="1" applyNumberFormat="1" applyFont="1" applyFill="1" applyBorder="1" applyAlignment="1">
      <alignment horizontal="center" vertical="center" shrinkToFit="1"/>
    </xf>
    <xf numFmtId="176" fontId="27" fillId="2" borderId="138" xfId="1" applyNumberFormat="1" applyFont="1" applyFill="1" applyBorder="1" applyAlignment="1">
      <alignment horizontal="center" vertical="center" shrinkToFit="1"/>
    </xf>
    <xf numFmtId="176" fontId="27" fillId="2" borderId="139" xfId="1" applyNumberFormat="1" applyFont="1" applyFill="1" applyBorder="1" applyAlignment="1">
      <alignment horizontal="center" vertical="center" shrinkToFit="1"/>
    </xf>
    <xf numFmtId="176" fontId="27" fillId="2" borderId="140" xfId="1" applyNumberFormat="1" applyFont="1" applyFill="1" applyBorder="1" applyAlignment="1">
      <alignment horizontal="center" vertical="center" shrinkToFit="1"/>
    </xf>
    <xf numFmtId="176" fontId="27" fillId="2" borderId="141" xfId="1" applyNumberFormat="1" applyFont="1" applyFill="1" applyBorder="1" applyAlignment="1">
      <alignment horizontal="center" vertical="center" shrinkToFit="1"/>
    </xf>
    <xf numFmtId="176" fontId="27" fillId="2" borderId="142" xfId="1" applyNumberFormat="1" applyFont="1" applyFill="1" applyBorder="1" applyAlignment="1">
      <alignment horizontal="center" vertical="center" shrinkToFit="1"/>
    </xf>
    <xf numFmtId="176" fontId="27" fillId="2" borderId="143" xfId="1" applyNumberFormat="1" applyFont="1" applyFill="1" applyBorder="1" applyAlignment="1">
      <alignment horizontal="center" vertical="center" shrinkToFit="1"/>
    </xf>
    <xf numFmtId="176" fontId="27" fillId="2" borderId="136" xfId="1" applyNumberFormat="1" applyFont="1" applyFill="1" applyBorder="1" applyAlignment="1">
      <alignment horizontal="center" vertical="center" shrinkToFit="1"/>
    </xf>
    <xf numFmtId="176" fontId="27" fillId="2" borderId="137" xfId="1" applyNumberFormat="1" applyFont="1" applyFill="1" applyBorder="1" applyAlignment="1">
      <alignment horizontal="center" vertical="center" shrinkToFit="1"/>
    </xf>
    <xf numFmtId="176" fontId="27" fillId="2" borderId="129" xfId="1" applyNumberFormat="1" applyFont="1" applyFill="1" applyBorder="1" applyAlignment="1">
      <alignment horizontal="center" vertical="center" shrinkToFit="1"/>
    </xf>
    <xf numFmtId="176" fontId="27" fillId="2" borderId="130" xfId="1" applyNumberFormat="1" applyFont="1" applyFill="1" applyBorder="1" applyAlignment="1">
      <alignment horizontal="center" vertical="center" shrinkToFit="1"/>
    </xf>
    <xf numFmtId="176" fontId="27" fillId="2" borderId="67" xfId="4" applyNumberFormat="1" applyFont="1" applyFill="1" applyBorder="1" applyAlignment="1">
      <alignment vertical="center" shrinkToFit="1"/>
    </xf>
    <xf numFmtId="176" fontId="27" fillId="2" borderId="69" xfId="4" applyNumberFormat="1" applyFont="1" applyFill="1" applyBorder="1" applyAlignment="1">
      <alignment vertical="center" shrinkToFit="1"/>
    </xf>
    <xf numFmtId="176" fontId="27" fillId="2" borderId="72" xfId="4" applyNumberFormat="1" applyFont="1" applyFill="1" applyBorder="1" applyAlignment="1">
      <alignment vertical="center" shrinkToFit="1"/>
    </xf>
    <xf numFmtId="176" fontId="27" fillId="2" borderId="73" xfId="4" applyNumberFormat="1" applyFont="1" applyFill="1" applyBorder="1" applyAlignment="1">
      <alignment vertical="center" shrinkToFit="1"/>
    </xf>
    <xf numFmtId="0" fontId="27" fillId="2" borderId="70" xfId="1" applyFont="1" applyFill="1" applyBorder="1" applyAlignment="1">
      <alignment horizontal="center" vertical="center" shrinkToFit="1"/>
    </xf>
    <xf numFmtId="0" fontId="27" fillId="2" borderId="71" xfId="1" applyFont="1" applyFill="1" applyBorder="1" applyAlignment="1">
      <alignment horizontal="center" vertical="center" shrinkToFit="1"/>
    </xf>
    <xf numFmtId="179" fontId="31" fillId="3" borderId="19" xfId="1" applyNumberFormat="1" applyFont="1" applyFill="1" applyBorder="1" applyAlignment="1">
      <alignment horizontal="center" vertical="center" wrapText="1" shrinkToFit="1"/>
    </xf>
    <xf numFmtId="179" fontId="31" fillId="3" borderId="21" xfId="1" applyNumberFormat="1" applyFont="1" applyFill="1" applyBorder="1" applyAlignment="1">
      <alignment horizontal="center" vertical="center" wrapText="1" shrinkToFit="1"/>
    </xf>
    <xf numFmtId="179" fontId="31" fillId="3" borderId="85" xfId="1" applyNumberFormat="1" applyFont="1" applyFill="1" applyBorder="1" applyAlignment="1">
      <alignment horizontal="center" vertical="center" wrapText="1" shrinkToFit="1"/>
    </xf>
    <xf numFmtId="179" fontId="31" fillId="3" borderId="71" xfId="1" applyNumberFormat="1" applyFont="1" applyFill="1" applyBorder="1" applyAlignment="1">
      <alignment horizontal="center" vertical="center" wrapText="1" shrinkToFit="1"/>
    </xf>
    <xf numFmtId="176" fontId="27" fillId="2" borderId="18" xfId="1" applyNumberFormat="1" applyFont="1" applyFill="1" applyBorder="1" applyAlignment="1">
      <alignment vertical="center" shrinkToFit="1"/>
    </xf>
    <xf numFmtId="176" fontId="27" fillId="2" borderId="21" xfId="1" applyNumberFormat="1" applyFont="1" applyFill="1" applyBorder="1" applyAlignment="1">
      <alignment vertical="center" shrinkToFit="1"/>
    </xf>
    <xf numFmtId="181" fontId="27" fillId="2" borderId="70" xfId="1" applyNumberFormat="1" applyFont="1" applyFill="1" applyBorder="1" applyAlignment="1">
      <alignment horizontal="center" vertical="center" shrinkToFit="1"/>
    </xf>
    <xf numFmtId="181" fontId="27" fillId="2" borderId="71" xfId="1" applyNumberFormat="1" applyFont="1" applyFill="1" applyBorder="1" applyAlignment="1">
      <alignment horizontal="center" vertical="center" shrinkToFit="1"/>
    </xf>
    <xf numFmtId="176" fontId="27" fillId="2" borderId="65" xfId="4" applyNumberFormat="1" applyFont="1" applyFill="1" applyBorder="1" applyAlignment="1">
      <alignment horizontal="center" vertical="center" shrinkToFit="1"/>
    </xf>
    <xf numFmtId="176" fontId="27" fillId="2" borderId="74" xfId="4" applyNumberFormat="1" applyFont="1" applyFill="1" applyBorder="1" applyAlignment="1">
      <alignment horizontal="center" vertical="center" shrinkToFit="1"/>
    </xf>
    <xf numFmtId="176" fontId="27" fillId="2" borderId="66" xfId="4" applyNumberFormat="1" applyFont="1" applyFill="1" applyBorder="1" applyAlignment="1">
      <alignment horizontal="center" vertical="center" shrinkToFit="1"/>
    </xf>
    <xf numFmtId="176" fontId="27" fillId="2" borderId="40" xfId="4" applyNumberFormat="1" applyFont="1" applyFill="1" applyBorder="1" applyAlignment="1">
      <alignment horizontal="center" vertical="center" shrinkToFit="1"/>
    </xf>
    <xf numFmtId="176" fontId="27" fillId="2" borderId="41" xfId="4" applyNumberFormat="1" applyFont="1" applyFill="1" applyBorder="1" applyAlignment="1">
      <alignment horizontal="center" vertical="center" shrinkToFit="1"/>
    </xf>
    <xf numFmtId="176" fontId="27" fillId="2" borderId="64" xfId="4" applyNumberFormat="1" applyFont="1" applyFill="1" applyBorder="1" applyAlignment="1">
      <alignment horizontal="center" vertical="center" shrinkToFit="1"/>
    </xf>
    <xf numFmtId="176" fontId="27" fillId="2" borderId="42" xfId="4" applyNumberFormat="1" applyFont="1" applyFill="1" applyBorder="1" applyAlignment="1">
      <alignment horizontal="center" vertical="center" shrinkToFit="1"/>
    </xf>
    <xf numFmtId="176" fontId="27" fillId="2" borderId="43" xfId="4" applyNumberFormat="1" applyFont="1" applyFill="1" applyBorder="1" applyAlignment="1">
      <alignment horizontal="center" vertical="center" shrinkToFit="1"/>
    </xf>
    <xf numFmtId="176" fontId="27" fillId="2" borderId="61" xfId="4" applyNumberFormat="1" applyFont="1" applyFill="1" applyBorder="1" applyAlignment="1">
      <alignment horizontal="center" vertical="center" shrinkToFit="1"/>
    </xf>
    <xf numFmtId="0" fontId="27" fillId="2" borderId="123" xfId="1" applyFont="1" applyFill="1" applyBorder="1" applyAlignment="1">
      <alignment horizontal="center" vertical="center" shrinkToFit="1"/>
    </xf>
    <xf numFmtId="181" fontId="27" fillId="3" borderId="124" xfId="1" applyNumberFormat="1" applyFont="1" applyFill="1" applyBorder="1" applyAlignment="1">
      <alignment horizontal="center" vertical="center" shrinkToFit="1"/>
    </xf>
    <xf numFmtId="181" fontId="27" fillId="3" borderId="125" xfId="1" applyNumberFormat="1" applyFont="1" applyFill="1" applyBorder="1" applyAlignment="1">
      <alignment horizontal="center" vertical="center" shrinkToFit="1"/>
    </xf>
    <xf numFmtId="9" fontId="27" fillId="2" borderId="126" xfId="4" applyFont="1" applyFill="1" applyBorder="1" applyAlignment="1">
      <alignment horizontal="center" vertical="center" shrinkToFit="1"/>
    </xf>
    <xf numFmtId="9" fontId="27" fillId="2" borderId="127" xfId="4" applyFont="1" applyFill="1" applyBorder="1" applyAlignment="1">
      <alignment horizontal="center" vertical="center" shrinkToFit="1"/>
    </xf>
    <xf numFmtId="9" fontId="27" fillId="2" borderId="128" xfId="4" applyFont="1" applyFill="1" applyBorder="1" applyAlignment="1">
      <alignment horizontal="center" vertical="center" shrinkToFit="1"/>
    </xf>
    <xf numFmtId="176" fontId="27" fillId="2" borderId="65" xfId="1" applyNumberFormat="1" applyFont="1" applyFill="1" applyBorder="1" applyAlignment="1">
      <alignment horizontal="center" vertical="center" shrinkToFit="1"/>
    </xf>
    <xf numFmtId="176" fontId="27" fillId="2" borderId="66" xfId="1" applyNumberFormat="1"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7" fillId="2" borderId="59" xfId="0" applyFont="1" applyFill="1" applyBorder="1" applyAlignment="1">
      <alignment horizontal="center" vertical="center" shrinkToFit="1"/>
    </xf>
    <xf numFmtId="0" fontId="27" fillId="2" borderId="18" xfId="1" applyFont="1" applyFill="1" applyBorder="1" applyAlignment="1">
      <alignment vertical="center" shrinkToFit="1"/>
    </xf>
    <xf numFmtId="0" fontId="27" fillId="2" borderId="59" xfId="1" applyFont="1" applyFill="1" applyBorder="1" applyAlignment="1">
      <alignment vertical="center" shrinkToFit="1"/>
    </xf>
    <xf numFmtId="0" fontId="27" fillId="2" borderId="55" xfId="0" applyFont="1" applyFill="1" applyBorder="1" applyAlignment="1">
      <alignment horizontal="center" vertical="center" shrinkToFit="1"/>
    </xf>
    <xf numFmtId="0" fontId="27" fillId="2" borderId="56" xfId="0" applyFont="1" applyFill="1" applyBorder="1" applyAlignment="1">
      <alignment horizontal="center" vertical="center" shrinkToFit="1"/>
    </xf>
    <xf numFmtId="0" fontId="27" fillId="2" borderId="42" xfId="0" applyFont="1" applyFill="1" applyBorder="1" applyAlignment="1">
      <alignment horizontal="center" vertical="center" shrinkToFit="1"/>
    </xf>
    <xf numFmtId="0" fontId="27" fillId="2" borderId="61" xfId="0" applyFont="1" applyFill="1" applyBorder="1" applyAlignment="1">
      <alignment horizontal="center" vertical="center" shrinkToFit="1"/>
    </xf>
    <xf numFmtId="0" fontId="27" fillId="2" borderId="57" xfId="0" applyFont="1" applyFill="1" applyBorder="1" applyAlignment="1">
      <alignment horizontal="center" vertical="center" shrinkToFit="1"/>
    </xf>
    <xf numFmtId="0" fontId="27" fillId="2" borderId="58" xfId="0" applyFont="1" applyFill="1" applyBorder="1" applyAlignment="1">
      <alignment horizontal="center" vertical="center" shrinkToFit="1"/>
    </xf>
    <xf numFmtId="0" fontId="27" fillId="2" borderId="114" xfId="0" applyFont="1" applyFill="1" applyBorder="1" applyAlignment="1">
      <alignment horizontal="center" vertical="center" shrinkToFit="1"/>
    </xf>
    <xf numFmtId="0" fontId="27" fillId="2" borderId="119" xfId="0" applyFont="1" applyFill="1" applyBorder="1" applyAlignment="1">
      <alignment horizontal="center" vertical="center" shrinkToFit="1"/>
    </xf>
    <xf numFmtId="176" fontId="27" fillId="2" borderId="117" xfId="1" applyNumberFormat="1" applyFont="1" applyFill="1" applyBorder="1" applyAlignment="1">
      <alignment horizontal="center" vertical="center" shrinkToFit="1"/>
    </xf>
    <xf numFmtId="176" fontId="27" fillId="2" borderId="118" xfId="1" applyNumberFormat="1" applyFont="1" applyFill="1" applyBorder="1" applyAlignment="1">
      <alignment horizontal="center" vertical="center" shrinkToFit="1"/>
    </xf>
    <xf numFmtId="0" fontId="27" fillId="2" borderId="8" xfId="1" applyFont="1" applyFill="1" applyBorder="1" applyAlignment="1">
      <alignment horizontal="center" vertical="center" shrinkToFit="1"/>
    </xf>
    <xf numFmtId="176" fontId="27" fillId="2" borderId="120" xfId="1" applyNumberFormat="1" applyFont="1" applyFill="1" applyBorder="1" applyAlignment="1">
      <alignment horizontal="center" vertical="center" shrinkToFit="1"/>
    </xf>
    <xf numFmtId="176" fontId="27" fillId="2" borderId="121" xfId="1" applyNumberFormat="1" applyFont="1" applyFill="1" applyBorder="1" applyAlignment="1">
      <alignment horizontal="center" vertical="center" shrinkToFit="1"/>
    </xf>
    <xf numFmtId="176" fontId="27" fillId="2" borderId="122" xfId="1" applyNumberFormat="1" applyFont="1" applyFill="1" applyBorder="1" applyAlignment="1">
      <alignment horizontal="center" vertical="center" shrinkToFit="1"/>
    </xf>
    <xf numFmtId="176" fontId="27" fillId="2" borderId="7" xfId="1" applyNumberFormat="1" applyFont="1" applyFill="1" applyBorder="1" applyAlignment="1">
      <alignment horizontal="center" vertical="center" shrinkToFit="1"/>
    </xf>
    <xf numFmtId="176" fontId="27" fillId="2" borderId="60" xfId="1" applyNumberFormat="1" applyFont="1" applyFill="1" applyBorder="1" applyAlignment="1">
      <alignment horizontal="center" vertical="center" shrinkToFit="1"/>
    </xf>
    <xf numFmtId="0" fontId="31" fillId="2" borderId="3" xfId="1" applyFont="1" applyFill="1" applyBorder="1" applyAlignment="1">
      <alignment vertical="center" wrapText="1" shrinkToFit="1"/>
    </xf>
    <xf numFmtId="0" fontId="31" fillId="2" borderId="4" xfId="1" applyFont="1" applyFill="1" applyBorder="1" applyAlignment="1">
      <alignment vertical="center" wrapText="1" shrinkToFit="1"/>
    </xf>
    <xf numFmtId="0" fontId="31" fillId="2" borderId="62" xfId="1" applyFont="1" applyFill="1" applyBorder="1" applyAlignment="1">
      <alignment vertical="center" wrapText="1" shrinkToFit="1"/>
    </xf>
    <xf numFmtId="0" fontId="31" fillId="2" borderId="5" xfId="1" applyFont="1" applyFill="1" applyBorder="1" applyAlignment="1">
      <alignment vertical="center" wrapText="1" shrinkToFit="1"/>
    </xf>
    <xf numFmtId="0" fontId="31" fillId="2" borderId="0" xfId="1" applyFont="1" applyFill="1" applyBorder="1" applyAlignment="1">
      <alignment vertical="center" wrapText="1" shrinkToFit="1"/>
    </xf>
    <xf numFmtId="0" fontId="31" fillId="2" borderId="38" xfId="1" applyFont="1" applyFill="1" applyBorder="1" applyAlignment="1">
      <alignment vertical="center" wrapText="1" shrinkToFit="1"/>
    </xf>
    <xf numFmtId="0" fontId="27" fillId="3" borderId="49" xfId="1" applyFont="1" applyFill="1" applyBorder="1" applyAlignment="1">
      <alignment horizontal="center" vertical="center" shrinkToFit="1"/>
    </xf>
    <xf numFmtId="0" fontId="27" fillId="3" borderId="85" xfId="1" applyFont="1" applyFill="1" applyBorder="1" applyAlignment="1">
      <alignment horizontal="center" vertical="center" shrinkToFit="1"/>
    </xf>
    <xf numFmtId="176" fontId="27" fillId="2" borderId="49" xfId="1" applyNumberFormat="1" applyFont="1" applyFill="1" applyBorder="1" applyAlignment="1">
      <alignment vertical="center" shrinkToFit="1"/>
    </xf>
    <xf numFmtId="176" fontId="27" fillId="2" borderId="62" xfId="1" applyNumberFormat="1" applyFont="1" applyFill="1" applyBorder="1" applyAlignment="1">
      <alignment vertical="center" shrinkToFit="1"/>
    </xf>
    <xf numFmtId="176" fontId="27" fillId="2" borderId="62" xfId="1" applyNumberFormat="1" applyFont="1" applyFill="1" applyBorder="1" applyAlignment="1">
      <alignment horizontal="center" vertical="center" shrinkToFit="1"/>
    </xf>
    <xf numFmtId="0" fontId="27" fillId="2" borderId="5" xfId="1" applyFont="1" applyFill="1" applyBorder="1" applyAlignment="1">
      <alignment vertical="center" wrapText="1" shrinkToFit="1"/>
    </xf>
    <xf numFmtId="0" fontId="27" fillId="2" borderId="0" xfId="1" applyFont="1" applyFill="1" applyBorder="1" applyAlignment="1">
      <alignment vertical="center" wrapText="1" shrinkToFit="1"/>
    </xf>
    <xf numFmtId="0" fontId="27" fillId="2" borderId="38" xfId="1" applyFont="1" applyFill="1" applyBorder="1" applyAlignment="1">
      <alignment vertical="center" wrapText="1" shrinkToFit="1"/>
    </xf>
    <xf numFmtId="0" fontId="27" fillId="2" borderId="85" xfId="1" applyFont="1" applyFill="1" applyBorder="1" applyAlignment="1">
      <alignment horizontal="center" vertical="center" shrinkToFit="1"/>
    </xf>
    <xf numFmtId="193" fontId="27" fillId="3" borderId="18" xfId="1" applyNumberFormat="1" applyFont="1" applyFill="1" applyBorder="1" applyAlignment="1">
      <alignment horizontal="center" vertical="center" shrinkToFit="1"/>
    </xf>
    <xf numFmtId="193" fontId="27" fillId="3" borderId="21" xfId="1" applyNumberFormat="1" applyFont="1" applyFill="1" applyBorder="1" applyAlignment="1">
      <alignment horizontal="center" vertical="center" shrinkToFit="1"/>
    </xf>
    <xf numFmtId="193" fontId="27" fillId="3" borderId="70" xfId="1" applyNumberFormat="1" applyFont="1" applyFill="1" applyBorder="1" applyAlignment="1">
      <alignment horizontal="center" vertical="center" shrinkToFit="1"/>
    </xf>
    <xf numFmtId="193" fontId="27" fillId="3" borderId="71" xfId="1" applyNumberFormat="1" applyFont="1" applyFill="1" applyBorder="1" applyAlignment="1">
      <alignment horizontal="center" vertical="center" shrinkToFit="1"/>
    </xf>
    <xf numFmtId="203" fontId="27" fillId="2" borderId="75" xfId="1" applyNumberFormat="1" applyFont="1" applyFill="1" applyBorder="1" applyAlignment="1">
      <alignment horizontal="center" vertical="center" shrinkToFit="1"/>
    </xf>
    <xf numFmtId="203" fontId="27" fillId="2" borderId="58" xfId="1" applyNumberFormat="1" applyFont="1" applyFill="1" applyBorder="1" applyAlignment="1">
      <alignment horizontal="center" vertical="center" shrinkToFit="1"/>
    </xf>
    <xf numFmtId="176" fontId="27" fillId="2" borderId="18" xfId="1" applyNumberFormat="1" applyFont="1" applyFill="1" applyBorder="1" applyAlignment="1">
      <alignment horizontal="right" vertical="center" shrinkToFit="1"/>
    </xf>
    <xf numFmtId="176" fontId="27" fillId="2" borderId="19" xfId="1" applyNumberFormat="1" applyFont="1" applyFill="1" applyBorder="1" applyAlignment="1">
      <alignment horizontal="right" vertical="center" shrinkToFit="1"/>
    </xf>
    <xf numFmtId="176" fontId="27" fillId="2" borderId="21" xfId="1" applyNumberFormat="1" applyFont="1" applyFill="1" applyBorder="1" applyAlignment="1">
      <alignment horizontal="right" vertical="center" shrinkToFit="1"/>
    </xf>
    <xf numFmtId="0" fontId="27" fillId="2" borderId="22" xfId="1" applyFont="1" applyFill="1" applyBorder="1" applyAlignment="1">
      <alignment vertical="center" shrinkToFit="1"/>
    </xf>
    <xf numFmtId="0" fontId="27" fillId="3" borderId="3" xfId="0" applyFont="1" applyFill="1" applyBorder="1" applyAlignment="1">
      <alignment vertical="center" shrinkToFit="1"/>
    </xf>
    <xf numFmtId="0" fontId="27" fillId="3" borderId="4" xfId="0" applyFont="1" applyFill="1" applyBorder="1" applyAlignment="1">
      <alignment vertical="center" shrinkToFit="1"/>
    </xf>
    <xf numFmtId="0" fontId="27" fillId="3" borderId="31" xfId="0" applyFont="1" applyFill="1" applyBorder="1" applyAlignment="1">
      <alignment vertical="center" shrinkToFit="1"/>
    </xf>
    <xf numFmtId="0" fontId="27" fillId="3" borderId="5" xfId="0" applyFont="1" applyFill="1" applyBorder="1" applyAlignment="1">
      <alignment vertical="center" shrinkToFit="1"/>
    </xf>
    <xf numFmtId="0" fontId="27" fillId="3" borderId="0" xfId="0" applyFont="1" applyFill="1" applyBorder="1" applyAlignment="1">
      <alignment vertical="center" shrinkToFit="1"/>
    </xf>
    <xf numFmtId="0" fontId="27" fillId="3" borderId="6" xfId="0" applyFont="1" applyFill="1" applyBorder="1" applyAlignment="1">
      <alignment vertical="center" shrinkToFit="1"/>
    </xf>
    <xf numFmtId="0" fontId="27" fillId="3" borderId="7" xfId="0" applyFont="1" applyFill="1" applyBorder="1" applyAlignment="1">
      <alignment vertical="center" shrinkToFit="1"/>
    </xf>
    <xf numFmtId="0" fontId="27" fillId="3" borderId="8" xfId="0" applyFont="1" applyFill="1" applyBorder="1" applyAlignment="1">
      <alignment vertical="center" shrinkToFit="1"/>
    </xf>
    <xf numFmtId="0" fontId="27" fillId="3" borderId="13" xfId="0" applyFont="1" applyFill="1" applyBorder="1" applyAlignment="1">
      <alignment vertical="center" shrinkToFit="1"/>
    </xf>
    <xf numFmtId="0" fontId="27" fillId="2" borderId="99" xfId="1" applyFont="1" applyFill="1" applyBorder="1" applyAlignment="1">
      <alignment vertical="center" shrinkToFit="1"/>
    </xf>
    <xf numFmtId="176" fontId="27" fillId="2" borderId="92" xfId="1" applyNumberFormat="1" applyFont="1" applyFill="1" applyBorder="1" applyAlignment="1">
      <alignment horizontal="right" vertical="center" shrinkToFit="1"/>
    </xf>
    <xf numFmtId="176" fontId="27" fillId="2" borderId="35" xfId="1" applyNumberFormat="1" applyFont="1" applyFill="1" applyBorder="1" applyAlignment="1">
      <alignment horizontal="right" vertical="center" shrinkToFit="1"/>
    </xf>
    <xf numFmtId="176" fontId="27" fillId="2" borderId="93" xfId="1" applyNumberFormat="1" applyFont="1" applyFill="1" applyBorder="1" applyAlignment="1">
      <alignment horizontal="right" vertical="center" shrinkToFit="1"/>
    </xf>
    <xf numFmtId="176" fontId="27" fillId="2" borderId="22" xfId="1" applyNumberFormat="1" applyFont="1" applyFill="1" applyBorder="1" applyAlignment="1">
      <alignment horizontal="right" vertical="center" shrinkToFit="1"/>
    </xf>
    <xf numFmtId="176" fontId="27" fillId="2" borderId="0" xfId="1" applyNumberFormat="1" applyFont="1" applyFill="1" applyBorder="1" applyAlignment="1">
      <alignment horizontal="right" vertical="center" shrinkToFit="1"/>
    </xf>
    <xf numFmtId="176" fontId="27" fillId="2" borderId="38" xfId="1" applyNumberFormat="1" applyFont="1" applyFill="1" applyBorder="1" applyAlignment="1">
      <alignment horizontal="right" vertical="center" shrinkToFit="1"/>
    </xf>
    <xf numFmtId="0" fontId="27" fillId="2" borderId="22" xfId="1" applyFont="1" applyFill="1" applyBorder="1" applyAlignment="1">
      <alignment horizontal="center" vertical="center" wrapText="1" shrinkToFit="1"/>
    </xf>
    <xf numFmtId="0" fontId="27" fillId="2" borderId="0" xfId="1" applyFont="1" applyFill="1" applyBorder="1" applyAlignment="1">
      <alignment horizontal="center" vertical="center" wrapText="1" shrinkToFit="1"/>
    </xf>
    <xf numFmtId="0" fontId="27" fillId="2" borderId="38" xfId="1" applyFont="1" applyFill="1" applyBorder="1" applyAlignment="1">
      <alignment horizontal="center" vertical="center" wrapText="1" shrinkToFit="1"/>
    </xf>
    <xf numFmtId="0" fontId="27" fillId="2" borderId="39" xfId="1" applyFont="1" applyFill="1" applyBorder="1" applyAlignment="1">
      <alignment horizontal="center" vertical="center" wrapText="1" shrinkToFit="1"/>
    </xf>
    <xf numFmtId="0" fontId="27" fillId="2" borderId="51" xfId="1" applyFont="1" applyFill="1" applyBorder="1" applyAlignment="1">
      <alignment horizontal="center" vertical="center" wrapText="1" shrinkToFit="1"/>
    </xf>
    <xf numFmtId="0" fontId="27" fillId="2" borderId="52" xfId="1" applyFont="1" applyFill="1" applyBorder="1" applyAlignment="1">
      <alignment horizontal="center" vertical="center" wrapText="1" shrinkToFit="1"/>
    </xf>
    <xf numFmtId="183" fontId="27" fillId="2" borderId="57" xfId="0" applyNumberFormat="1" applyFont="1" applyFill="1" applyBorder="1" applyAlignment="1">
      <alignment horizontal="right" vertical="center" shrinkToFit="1"/>
    </xf>
    <xf numFmtId="183" fontId="27" fillId="2" borderId="75" xfId="0" applyNumberFormat="1" applyFont="1" applyFill="1" applyBorder="1" applyAlignment="1">
      <alignment horizontal="right" vertical="center" shrinkToFit="1"/>
    </xf>
    <xf numFmtId="183" fontId="27" fillId="2" borderId="113" xfId="0" applyNumberFormat="1" applyFont="1" applyFill="1" applyBorder="1" applyAlignment="1">
      <alignment horizontal="right" vertical="center" shrinkToFit="1"/>
    </xf>
    <xf numFmtId="183" fontId="27" fillId="2" borderId="111" xfId="0" applyNumberFormat="1" applyFont="1" applyFill="1" applyBorder="1" applyAlignment="1">
      <alignment horizontal="right" vertical="center" shrinkToFit="1"/>
    </xf>
    <xf numFmtId="183" fontId="27" fillId="2" borderId="85" xfId="0" applyNumberFormat="1" applyFont="1" applyFill="1" applyBorder="1" applyAlignment="1">
      <alignment horizontal="right" vertical="center" shrinkToFit="1"/>
    </xf>
    <xf numFmtId="183" fontId="27" fillId="2" borderId="71" xfId="0" applyNumberFormat="1" applyFont="1" applyFill="1" applyBorder="1" applyAlignment="1">
      <alignment horizontal="right" vertical="center" shrinkToFit="1"/>
    </xf>
    <xf numFmtId="183" fontId="27" fillId="2" borderId="70" xfId="0" applyNumberFormat="1" applyFont="1" applyFill="1" applyBorder="1" applyAlignment="1">
      <alignment horizontal="right" vertical="center" shrinkToFit="1"/>
    </xf>
    <xf numFmtId="183" fontId="27" fillId="2" borderId="105" xfId="0" applyNumberFormat="1" applyFont="1" applyFill="1" applyBorder="1" applyAlignment="1">
      <alignment horizontal="right" vertical="center" shrinkToFit="1"/>
    </xf>
    <xf numFmtId="0" fontId="27" fillId="2" borderId="112" xfId="1" applyFont="1" applyFill="1" applyBorder="1" applyAlignment="1">
      <alignment vertical="center" shrinkToFit="1"/>
    </xf>
    <xf numFmtId="0" fontId="27" fillId="2" borderId="51" xfId="1" applyFont="1" applyFill="1" applyBorder="1" applyAlignment="1">
      <alignment vertical="center" shrinkToFit="1"/>
    </xf>
    <xf numFmtId="0" fontId="27" fillId="2" borderId="52" xfId="1" applyFont="1" applyFill="1" applyBorder="1" applyAlignment="1">
      <alignment vertical="center" shrinkToFit="1"/>
    </xf>
    <xf numFmtId="183" fontId="27" fillId="2" borderId="67" xfId="0" applyNumberFormat="1" applyFont="1" applyFill="1" applyBorder="1" applyAlignment="1">
      <alignment horizontal="right" vertical="center" shrinkToFit="1"/>
    </xf>
    <xf numFmtId="183" fontId="27" fillId="2" borderId="68" xfId="0" applyNumberFormat="1" applyFont="1" applyFill="1" applyBorder="1" applyAlignment="1">
      <alignment horizontal="right" vertical="center" shrinkToFit="1"/>
    </xf>
    <xf numFmtId="183" fontId="27" fillId="2" borderId="104" xfId="0" applyNumberFormat="1" applyFont="1" applyFill="1" applyBorder="1" applyAlignment="1">
      <alignment horizontal="right" vertical="center" shrinkToFit="1"/>
    </xf>
    <xf numFmtId="177" fontId="27" fillId="3" borderId="12" xfId="0" applyNumberFormat="1" applyFont="1" applyFill="1" applyBorder="1" applyAlignment="1">
      <alignment horizontal="center" vertical="center" shrinkToFit="1"/>
    </xf>
    <xf numFmtId="177" fontId="27" fillId="3" borderId="10" xfId="0" applyNumberFormat="1" applyFont="1" applyFill="1" applyBorder="1" applyAlignment="1">
      <alignment horizontal="center" vertical="center" shrinkToFit="1"/>
    </xf>
    <xf numFmtId="177" fontId="27" fillId="2" borderId="15" xfId="0" applyNumberFormat="1" applyFont="1" applyFill="1" applyBorder="1" applyAlignment="1">
      <alignment horizontal="center" vertical="center"/>
    </xf>
    <xf numFmtId="0" fontId="27" fillId="3" borderId="75" xfId="1" applyFont="1" applyFill="1" applyBorder="1" applyAlignment="1">
      <alignment horizontal="center" vertical="center" shrinkToFit="1"/>
    </xf>
    <xf numFmtId="0" fontId="27" fillId="2" borderId="109" xfId="1" applyFont="1" applyFill="1" applyBorder="1" applyAlignment="1">
      <alignment vertical="center" shrinkToFit="1"/>
    </xf>
    <xf numFmtId="176" fontId="27" fillId="2" borderId="67" xfId="1" applyNumberFormat="1" applyFont="1" applyFill="1" applyBorder="1" applyAlignment="1">
      <alignment horizontal="right" vertical="center" shrinkToFit="1"/>
    </xf>
    <xf numFmtId="176" fontId="27" fillId="2" borderId="68" xfId="1" applyNumberFormat="1" applyFont="1" applyFill="1" applyBorder="1" applyAlignment="1">
      <alignment horizontal="right" vertical="center" shrinkToFit="1"/>
    </xf>
    <xf numFmtId="176" fontId="27" fillId="2" borderId="69" xfId="1" applyNumberFormat="1" applyFont="1" applyFill="1" applyBorder="1" applyAlignment="1">
      <alignment horizontal="right" vertical="center" shrinkToFit="1"/>
    </xf>
    <xf numFmtId="0" fontId="27" fillId="2" borderId="72" xfId="1" applyFont="1" applyFill="1" applyBorder="1" applyAlignment="1">
      <alignment vertical="center" shrinkToFit="1"/>
    </xf>
    <xf numFmtId="176" fontId="27" fillId="2" borderId="39" xfId="1" applyNumberFormat="1" applyFont="1" applyFill="1" applyBorder="1" applyAlignment="1">
      <alignment horizontal="right" vertical="center" shrinkToFit="1"/>
    </xf>
    <xf numFmtId="176" fontId="27" fillId="2" borderId="51" xfId="1" applyNumberFormat="1" applyFont="1" applyFill="1" applyBorder="1" applyAlignment="1">
      <alignment horizontal="right" vertical="center" shrinkToFit="1"/>
    </xf>
    <xf numFmtId="176" fontId="27" fillId="2" borderId="52" xfId="1" applyNumberFormat="1" applyFont="1" applyFill="1" applyBorder="1" applyAlignment="1">
      <alignment horizontal="right" vertical="center" shrinkToFit="1"/>
    </xf>
    <xf numFmtId="176" fontId="27" fillId="2" borderId="97" xfId="1" applyNumberFormat="1" applyFont="1" applyFill="1" applyBorder="1" applyAlignment="1">
      <alignment horizontal="right" vertical="center" shrinkToFit="1"/>
    </xf>
    <xf numFmtId="176" fontId="27" fillId="2" borderId="100" xfId="1" applyNumberFormat="1" applyFont="1" applyFill="1" applyBorder="1" applyAlignment="1">
      <alignment horizontal="right" vertical="center" shrinkToFit="1"/>
    </xf>
    <xf numFmtId="176" fontId="27" fillId="2" borderId="98" xfId="1" applyNumberFormat="1" applyFont="1" applyFill="1" applyBorder="1" applyAlignment="1">
      <alignment horizontal="right" vertical="center" shrinkToFit="1"/>
    </xf>
    <xf numFmtId="0" fontId="27" fillId="2" borderId="231" xfId="1" applyFont="1" applyFill="1" applyBorder="1" applyAlignment="1">
      <alignment vertical="center" shrinkToFit="1"/>
    </xf>
    <xf numFmtId="176" fontId="27" fillId="2" borderId="70" xfId="1" applyNumberFormat="1" applyFont="1" applyFill="1" applyBorder="1" applyAlignment="1">
      <alignment horizontal="right" vertical="center" shrinkToFit="1"/>
    </xf>
    <xf numFmtId="176" fontId="27" fillId="2" borderId="85" xfId="1" applyNumberFormat="1" applyFont="1" applyFill="1" applyBorder="1" applyAlignment="1">
      <alignment horizontal="right" vertical="center" shrinkToFit="1"/>
    </xf>
    <xf numFmtId="176" fontId="27" fillId="2" borderId="71" xfId="1" applyNumberFormat="1" applyFont="1" applyFill="1" applyBorder="1" applyAlignment="1">
      <alignment horizontal="right" vertical="center" shrinkToFit="1"/>
    </xf>
    <xf numFmtId="0" fontId="27" fillId="2" borderId="70" xfId="1" applyFont="1" applyFill="1" applyBorder="1" applyAlignment="1">
      <alignment vertical="center" shrinkToFit="1"/>
    </xf>
    <xf numFmtId="179" fontId="27" fillId="2" borderId="70" xfId="1" applyNumberFormat="1" applyFont="1" applyFill="1" applyBorder="1" applyAlignment="1">
      <alignment horizontal="right" vertical="center" shrinkToFit="1"/>
    </xf>
    <xf numFmtId="179" fontId="27" fillId="2" borderId="85" xfId="1" applyNumberFormat="1" applyFont="1" applyFill="1" applyBorder="1" applyAlignment="1">
      <alignment horizontal="right" vertical="center" shrinkToFit="1"/>
    </xf>
    <xf numFmtId="179" fontId="27" fillId="2" borderId="71" xfId="1" applyNumberFormat="1" applyFont="1" applyFill="1" applyBorder="1" applyAlignment="1">
      <alignment horizontal="right" vertical="center" shrinkToFit="1"/>
    </xf>
    <xf numFmtId="0" fontId="27" fillId="2" borderId="49" xfId="1" applyFont="1" applyFill="1" applyBorder="1" applyAlignment="1">
      <alignment vertical="center" shrinkToFit="1"/>
    </xf>
    <xf numFmtId="0" fontId="27" fillId="2" borderId="195" xfId="1" applyFont="1" applyFill="1" applyBorder="1" applyAlignment="1">
      <alignment horizontal="center" vertical="center" shrinkToFit="1"/>
    </xf>
    <xf numFmtId="0" fontId="27" fillId="2" borderId="9" xfId="1" applyFont="1" applyFill="1" applyBorder="1" applyAlignment="1">
      <alignment horizontal="center" vertical="center" shrinkToFit="1"/>
    </xf>
    <xf numFmtId="0" fontId="27" fillId="2" borderId="196" xfId="1" applyFont="1" applyFill="1" applyBorder="1" applyAlignment="1">
      <alignment horizontal="center" vertical="center" shrinkToFit="1"/>
    </xf>
    <xf numFmtId="0" fontId="27" fillId="2" borderId="92" xfId="1" applyFont="1" applyFill="1" applyBorder="1" applyAlignment="1">
      <alignment vertical="center" shrinkToFit="1"/>
    </xf>
    <xf numFmtId="179" fontId="27" fillId="2" borderId="92" xfId="1" applyNumberFormat="1" applyFont="1" applyFill="1" applyBorder="1" applyAlignment="1">
      <alignment horizontal="right" vertical="center" shrinkToFit="1"/>
    </xf>
    <xf numFmtId="179" fontId="27" fillId="2" borderId="35" xfId="1" applyNumberFormat="1" applyFont="1" applyFill="1" applyBorder="1" applyAlignment="1">
      <alignment horizontal="right" vertical="center" shrinkToFit="1"/>
    </xf>
    <xf numFmtId="179" fontId="27" fillId="2" borderId="93" xfId="1" applyNumberFormat="1" applyFont="1" applyFill="1" applyBorder="1" applyAlignment="1">
      <alignment horizontal="right" vertical="center" shrinkToFit="1"/>
    </xf>
    <xf numFmtId="0" fontId="27" fillId="2" borderId="23" xfId="1" applyFont="1" applyFill="1" applyBorder="1" applyAlignment="1">
      <alignment vertical="center" shrinkToFit="1"/>
    </xf>
    <xf numFmtId="0" fontId="27" fillId="2" borderId="24" xfId="1" applyFont="1" applyFill="1" applyBorder="1" applyAlignment="1">
      <alignment vertical="center" shrinkToFit="1"/>
    </xf>
    <xf numFmtId="0" fontId="27" fillId="2" borderId="54" xfId="1" applyFont="1" applyFill="1" applyBorder="1" applyAlignment="1">
      <alignment vertical="center" shrinkToFit="1"/>
    </xf>
    <xf numFmtId="176" fontId="27" fillId="2" borderId="23" xfId="1" applyNumberFormat="1" applyFont="1" applyFill="1" applyBorder="1" applyAlignment="1">
      <alignment horizontal="right" vertical="center" shrinkToFit="1"/>
    </xf>
    <xf numFmtId="176" fontId="27" fillId="2" borderId="24" xfId="1" applyNumberFormat="1" applyFont="1" applyFill="1" applyBorder="1" applyAlignment="1">
      <alignment horizontal="right" vertical="center" shrinkToFit="1"/>
    </xf>
    <xf numFmtId="176" fontId="27" fillId="2" borderId="54" xfId="1" applyNumberFormat="1" applyFont="1" applyFill="1" applyBorder="1" applyAlignment="1">
      <alignment horizontal="right" vertical="center" shrinkToFit="1"/>
    </xf>
    <xf numFmtId="0" fontId="27" fillId="2" borderId="227" xfId="1" applyFont="1" applyFill="1" applyBorder="1" applyAlignment="1">
      <alignment vertical="center" shrinkToFit="1"/>
    </xf>
    <xf numFmtId="0" fontId="27" fillId="3" borderId="23" xfId="1" applyFont="1" applyFill="1" applyBorder="1" applyAlignment="1">
      <alignment horizontal="center" vertical="center" shrinkToFit="1"/>
    </xf>
    <xf numFmtId="0" fontId="27" fillId="3" borderId="24" xfId="1" applyFont="1" applyFill="1" applyBorder="1" applyAlignment="1">
      <alignment horizontal="center" vertical="center" shrinkToFit="1"/>
    </xf>
    <xf numFmtId="0" fontId="27" fillId="3" borderId="54" xfId="1" applyFont="1" applyFill="1" applyBorder="1" applyAlignment="1">
      <alignment horizontal="center" vertical="center" shrinkToFit="1"/>
    </xf>
    <xf numFmtId="176" fontId="27" fillId="2" borderId="23" xfId="1" applyNumberFormat="1" applyFont="1" applyFill="1" applyBorder="1" applyAlignment="1">
      <alignment vertical="center" shrinkToFit="1"/>
    </xf>
    <xf numFmtId="176" fontId="27" fillId="2" borderId="54" xfId="1" applyNumberFormat="1" applyFont="1" applyFill="1" applyBorder="1" applyAlignment="1">
      <alignment vertical="center" shrinkToFit="1"/>
    </xf>
    <xf numFmtId="176" fontId="27" fillId="2" borderId="23" xfId="1" applyNumberFormat="1" applyFont="1" applyFill="1" applyBorder="1" applyAlignment="1">
      <alignment horizontal="center" vertical="center" shrinkToFit="1"/>
    </xf>
    <xf numFmtId="176" fontId="27" fillId="2" borderId="24" xfId="1" applyNumberFormat="1" applyFont="1" applyFill="1" applyBorder="1" applyAlignment="1">
      <alignment horizontal="center" vertical="center" shrinkToFit="1"/>
    </xf>
    <xf numFmtId="176" fontId="27" fillId="2" borderId="54" xfId="1" applyNumberFormat="1" applyFont="1" applyFill="1" applyBorder="1" applyAlignment="1">
      <alignment horizontal="center" vertical="center" shrinkToFit="1"/>
    </xf>
    <xf numFmtId="0" fontId="27" fillId="3" borderId="29" xfId="1" applyFont="1" applyFill="1" applyBorder="1" applyAlignment="1">
      <alignment horizontal="center" vertical="center" shrinkToFit="1"/>
    </xf>
    <xf numFmtId="179" fontId="27" fillId="4" borderId="22" xfId="1" applyNumberFormat="1" applyFont="1" applyFill="1" applyBorder="1" applyAlignment="1">
      <alignment horizontal="center" vertical="center" shrinkToFit="1"/>
    </xf>
    <xf numFmtId="179" fontId="27" fillId="4" borderId="38" xfId="1" applyNumberFormat="1" applyFont="1" applyFill="1" applyBorder="1" applyAlignment="1">
      <alignment horizontal="center" vertical="center" shrinkToFit="1"/>
    </xf>
    <xf numFmtId="0" fontId="27" fillId="2" borderId="55" xfId="1" applyFont="1" applyFill="1" applyBorder="1" applyAlignment="1">
      <alignment horizontal="center" vertical="center" shrinkToFit="1"/>
    </xf>
    <xf numFmtId="0" fontId="27" fillId="2" borderId="48" xfId="1" applyFont="1" applyFill="1" applyBorder="1" applyAlignment="1">
      <alignment horizontal="center" vertical="center" shrinkToFit="1"/>
    </xf>
    <xf numFmtId="176" fontId="27" fillId="2" borderId="57" xfId="4" applyNumberFormat="1" applyFont="1" applyFill="1" applyBorder="1" applyAlignment="1">
      <alignment vertical="center" shrinkToFit="1"/>
    </xf>
    <xf numFmtId="176" fontId="27" fillId="2" borderId="58" xfId="4" applyNumberFormat="1" applyFont="1" applyFill="1" applyBorder="1" applyAlignment="1">
      <alignment vertical="center" shrinkToFit="1"/>
    </xf>
    <xf numFmtId="176" fontId="27" fillId="2" borderId="22" xfId="4" applyNumberFormat="1" applyFont="1" applyFill="1" applyBorder="1" applyAlignment="1">
      <alignment vertical="center" shrinkToFit="1"/>
    </xf>
    <xf numFmtId="176" fontId="27" fillId="2" borderId="38" xfId="4" applyNumberFormat="1" applyFont="1" applyFill="1" applyBorder="1" applyAlignment="1">
      <alignment vertical="center" shrinkToFit="1"/>
    </xf>
    <xf numFmtId="0" fontId="27" fillId="2" borderId="107" xfId="1" applyFont="1" applyFill="1" applyBorder="1" applyAlignment="1">
      <alignment horizontal="center" vertical="center" shrinkToFit="1"/>
    </xf>
    <xf numFmtId="9" fontId="27" fillId="2" borderId="83" xfId="4" applyFont="1" applyFill="1" applyBorder="1" applyAlignment="1">
      <alignment horizontal="center" vertical="center" shrinkToFit="1"/>
    </xf>
    <xf numFmtId="9" fontId="27" fillId="2" borderId="84" xfId="4" applyFont="1" applyFill="1" applyBorder="1" applyAlignment="1">
      <alignment horizontal="center" vertical="center" shrinkToFit="1"/>
    </xf>
    <xf numFmtId="181" fontId="27" fillId="3" borderId="29" xfId="1" applyNumberFormat="1" applyFont="1" applyFill="1" applyBorder="1" applyAlignment="1">
      <alignment horizontal="center" vertical="center" shrinkToFit="1"/>
    </xf>
    <xf numFmtId="181" fontId="27" fillId="3" borderId="15" xfId="1" applyNumberFormat="1" applyFont="1" applyFill="1" applyBorder="1" applyAlignment="1">
      <alignment horizontal="center" vertical="center" shrinkToFit="1"/>
    </xf>
    <xf numFmtId="181" fontId="27" fillId="2" borderId="57" xfId="1" applyNumberFormat="1" applyFont="1" applyFill="1" applyBorder="1" applyAlignment="1">
      <alignment horizontal="center" vertical="center" shrinkToFit="1"/>
    </xf>
    <xf numFmtId="181" fontId="27" fillId="2" borderId="58" xfId="1" applyNumberFormat="1" applyFont="1" applyFill="1" applyBorder="1" applyAlignment="1">
      <alignment horizontal="center" vertical="center" shrinkToFit="1"/>
    </xf>
    <xf numFmtId="180" fontId="27" fillId="2" borderId="12" xfId="0" applyNumberFormat="1" applyFont="1" applyFill="1" applyBorder="1" applyAlignment="1">
      <alignment horizontal="center" vertical="center" shrinkToFit="1"/>
    </xf>
    <xf numFmtId="180" fontId="27" fillId="2" borderId="10" xfId="0" applyNumberFormat="1" applyFont="1" applyFill="1" applyBorder="1" applyAlignment="1">
      <alignment horizontal="center" vertical="center" shrinkToFit="1"/>
    </xf>
    <xf numFmtId="177" fontId="27" fillId="3" borderId="2" xfId="0" applyNumberFormat="1" applyFont="1" applyFill="1" applyBorder="1" applyAlignment="1">
      <alignment horizontal="center" vertical="center" shrinkToFit="1"/>
    </xf>
    <xf numFmtId="20" fontId="27" fillId="3" borderId="10" xfId="0" applyNumberFormat="1" applyFont="1" applyFill="1" applyBorder="1" applyAlignment="1">
      <alignment horizontal="center" vertical="center" shrinkToFit="1"/>
    </xf>
    <xf numFmtId="0" fontId="27" fillId="2" borderId="11" xfId="0" applyFont="1" applyFill="1" applyBorder="1" applyAlignment="1">
      <alignment horizontal="center" vertical="center" textRotation="255" shrinkToFit="1"/>
    </xf>
    <xf numFmtId="0" fontId="27" fillId="2" borderId="0" xfId="0" applyNumberFormat="1" applyFont="1" applyFill="1" applyBorder="1" applyAlignment="1">
      <alignment vertical="center" shrinkToFit="1"/>
    </xf>
    <xf numFmtId="0" fontId="27" fillId="2" borderId="8" xfId="0" applyFont="1" applyFill="1" applyBorder="1" applyAlignment="1">
      <alignment vertical="center"/>
    </xf>
    <xf numFmtId="0" fontId="27" fillId="2" borderId="75" xfId="1" applyFont="1" applyFill="1" applyBorder="1" applyAlignment="1">
      <alignment vertical="center" shrinkToFit="1"/>
    </xf>
    <xf numFmtId="0" fontId="27" fillId="2" borderId="58" xfId="1" applyFont="1" applyFill="1" applyBorder="1" applyAlignment="1">
      <alignment vertical="center" shrinkToFit="1"/>
    </xf>
    <xf numFmtId="0" fontId="27" fillId="2" borderId="96" xfId="1" applyFont="1" applyFill="1" applyBorder="1" applyAlignment="1">
      <alignment vertical="center" shrinkToFit="1"/>
    </xf>
    <xf numFmtId="0" fontId="32" fillId="0" borderId="228" xfId="1" applyFont="1" applyBorder="1" applyAlignment="1">
      <alignment vertical="center" shrinkToFit="1"/>
    </xf>
    <xf numFmtId="0" fontId="32" fillId="0" borderId="229" xfId="1" applyFont="1" applyBorder="1" applyAlignment="1">
      <alignment vertical="center" shrinkToFit="1"/>
    </xf>
    <xf numFmtId="176" fontId="32" fillId="0" borderId="229" xfId="1" applyNumberFormat="1" applyFont="1" applyBorder="1" applyAlignment="1">
      <alignment horizontal="right" vertical="center" shrinkToFit="1"/>
    </xf>
    <xf numFmtId="176" fontId="32" fillId="0" borderId="230" xfId="1" applyNumberFormat="1" applyFont="1" applyBorder="1" applyAlignment="1">
      <alignment horizontal="right" vertical="center" shrinkToFit="1"/>
    </xf>
    <xf numFmtId="0" fontId="27" fillId="2" borderId="110" xfId="1" applyFont="1" applyFill="1" applyBorder="1" applyAlignment="1">
      <alignment vertical="center" shrinkToFit="1"/>
    </xf>
    <xf numFmtId="0" fontId="27" fillId="2" borderId="43" xfId="1" applyFont="1" applyFill="1" applyBorder="1" applyAlignment="1">
      <alignment horizontal="center" vertical="center" shrinkToFit="1"/>
    </xf>
    <xf numFmtId="176" fontId="27" fillId="2" borderId="26" xfId="1" applyNumberFormat="1" applyFont="1" applyFill="1" applyBorder="1" applyAlignment="1">
      <alignment horizontal="center" vertical="center" shrinkToFit="1"/>
    </xf>
    <xf numFmtId="176" fontId="27" fillId="2" borderId="105" xfId="1" applyNumberFormat="1" applyFont="1" applyFill="1" applyBorder="1" applyAlignment="1">
      <alignment horizontal="center" vertical="center" shrinkToFit="1"/>
    </xf>
    <xf numFmtId="0" fontId="27" fillId="2" borderId="104" xfId="1" applyFont="1" applyFill="1" applyBorder="1" applyAlignment="1">
      <alignment horizontal="center" vertical="center" shrinkToFit="1"/>
    </xf>
    <xf numFmtId="184" fontId="27" fillId="3" borderId="67" xfId="1" applyNumberFormat="1" applyFont="1" applyFill="1" applyBorder="1" applyAlignment="1">
      <alignment horizontal="center" vertical="center" shrinkToFit="1"/>
    </xf>
    <xf numFmtId="184" fontId="27" fillId="3" borderId="69" xfId="1" applyNumberFormat="1" applyFont="1" applyFill="1" applyBorder="1" applyAlignment="1">
      <alignment horizontal="center" vertical="center" shrinkToFit="1"/>
    </xf>
    <xf numFmtId="182" fontId="27" fillId="2" borderId="67" xfId="1" applyNumberFormat="1" applyFont="1" applyFill="1" applyBorder="1" applyAlignment="1">
      <alignment vertical="center" shrinkToFit="1"/>
    </xf>
    <xf numFmtId="182" fontId="27" fillId="2" borderId="69" xfId="1" applyNumberFormat="1" applyFont="1" applyFill="1" applyBorder="1" applyAlignment="1">
      <alignment vertical="center" shrinkToFit="1"/>
    </xf>
    <xf numFmtId="176" fontId="27" fillId="2" borderId="72" xfId="1" applyNumberFormat="1" applyFont="1" applyFill="1" applyBorder="1" applyAlignment="1">
      <alignment vertical="center" shrinkToFit="1"/>
    </xf>
    <xf numFmtId="176" fontId="27" fillId="2" borderId="73" xfId="1" applyNumberFormat="1" applyFont="1" applyFill="1" applyBorder="1" applyAlignment="1">
      <alignment vertical="center" shrinkToFit="1"/>
    </xf>
    <xf numFmtId="184" fontId="27" fillId="3" borderId="23" xfId="1" applyNumberFormat="1" applyFont="1" applyFill="1" applyBorder="1" applyAlignment="1">
      <alignment horizontal="center" vertical="center" shrinkToFit="1"/>
    </xf>
    <xf numFmtId="184" fontId="27" fillId="3" borderId="54" xfId="1" applyNumberFormat="1" applyFont="1" applyFill="1" applyBorder="1" applyAlignment="1">
      <alignment horizontal="center" vertical="center" shrinkToFit="1"/>
    </xf>
    <xf numFmtId="0" fontId="27" fillId="2" borderId="56" xfId="1" applyFont="1" applyFill="1" applyBorder="1" applyAlignment="1">
      <alignment horizontal="center" vertical="center" shrinkToFit="1"/>
    </xf>
    <xf numFmtId="0" fontId="27" fillId="3" borderId="8" xfId="0" applyFont="1" applyFill="1" applyBorder="1" applyAlignment="1">
      <alignment vertical="center"/>
    </xf>
    <xf numFmtId="0" fontId="27" fillId="2" borderId="0" xfId="0" applyFont="1" applyFill="1" applyBorder="1" applyAlignment="1">
      <alignment horizontal="distributed" vertical="center"/>
    </xf>
    <xf numFmtId="0" fontId="27" fillId="3" borderId="9" xfId="0" applyFont="1" applyFill="1" applyBorder="1" applyAlignment="1">
      <alignment vertical="center"/>
    </xf>
    <xf numFmtId="0" fontId="27" fillId="3" borderId="9" xfId="0" applyFont="1" applyFill="1" applyBorder="1" applyAlignment="1">
      <alignment horizontal="left" vertical="center"/>
    </xf>
    <xf numFmtId="0" fontId="27" fillId="0" borderId="9" xfId="0" applyFont="1" applyFill="1" applyBorder="1" applyAlignment="1">
      <alignment horizontal="center" vertical="center"/>
    </xf>
    <xf numFmtId="38" fontId="27" fillId="3" borderId="9" xfId="5" applyFont="1" applyFill="1" applyBorder="1" applyAlignment="1">
      <alignment vertical="center"/>
    </xf>
    <xf numFmtId="0" fontId="27" fillId="0" borderId="12" xfId="0" applyFont="1" applyFill="1" applyBorder="1" applyAlignment="1">
      <alignment vertical="center"/>
    </xf>
    <xf numFmtId="0" fontId="27" fillId="0" borderId="9" xfId="0" applyFont="1" applyFill="1" applyBorder="1" applyAlignment="1">
      <alignment vertical="center"/>
    </xf>
    <xf numFmtId="0" fontId="27" fillId="0" borderId="10" xfId="0" applyFont="1" applyFill="1" applyBorder="1" applyAlignment="1">
      <alignment vertical="center"/>
    </xf>
    <xf numFmtId="49" fontId="27" fillId="0" borderId="12" xfId="0" applyNumberFormat="1" applyFont="1" applyFill="1" applyBorder="1" applyAlignment="1">
      <alignment vertical="center" shrinkToFit="1"/>
    </xf>
    <xf numFmtId="0" fontId="27" fillId="0" borderId="9" xfId="0" applyNumberFormat="1" applyFont="1" applyFill="1" applyBorder="1" applyAlignment="1">
      <alignment vertical="center" shrinkToFit="1"/>
    </xf>
    <xf numFmtId="0" fontId="27" fillId="0" borderId="10" xfId="0" applyNumberFormat="1" applyFont="1" applyFill="1" applyBorder="1" applyAlignment="1">
      <alignment vertical="center" shrinkToFit="1"/>
    </xf>
    <xf numFmtId="179" fontId="27" fillId="3" borderId="11" xfId="0" applyNumberFormat="1" applyFont="1" applyFill="1" applyBorder="1" applyAlignment="1">
      <alignment horizontal="left" vertical="center" shrinkToFit="1"/>
    </xf>
    <xf numFmtId="179" fontId="27" fillId="3" borderId="12" xfId="0" applyNumberFormat="1" applyFont="1" applyFill="1" applyBorder="1" applyAlignment="1">
      <alignment horizontal="left" vertical="center" shrinkToFit="1"/>
    </xf>
    <xf numFmtId="179" fontId="27" fillId="3" borderId="9" xfId="0" applyNumberFormat="1" applyFont="1" applyFill="1" applyBorder="1" applyAlignment="1">
      <alignment horizontal="left" vertical="center" shrinkToFit="1"/>
    </xf>
    <xf numFmtId="179" fontId="27" fillId="3" borderId="10" xfId="0" applyNumberFormat="1" applyFont="1" applyFill="1" applyBorder="1" applyAlignment="1">
      <alignment horizontal="left" vertical="center" shrinkToFi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0" xfId="0" applyFont="1" applyFill="1" applyBorder="1" applyAlignment="1">
      <alignment horizontal="center" vertical="center"/>
    </xf>
    <xf numFmtId="0" fontId="27" fillId="2" borderId="0" xfId="0" applyFont="1" applyFill="1" applyBorder="1" applyAlignment="1">
      <alignment vertical="center"/>
    </xf>
    <xf numFmtId="0" fontId="27" fillId="2" borderId="6" xfId="0" applyFont="1" applyFill="1" applyBorder="1" applyAlignment="1">
      <alignment vertical="center"/>
    </xf>
    <xf numFmtId="0" fontId="27" fillId="2" borderId="13" xfId="0" applyFont="1" applyFill="1" applyBorder="1" applyAlignment="1">
      <alignment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49" fontId="27" fillId="3" borderId="8" xfId="0" applyNumberFormat="1" applyFont="1" applyFill="1" applyBorder="1" applyAlignment="1">
      <alignment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38" fontId="27" fillId="3" borderId="8" xfId="5" applyFont="1" applyFill="1" applyBorder="1" applyAlignment="1">
      <alignment vertical="center"/>
    </xf>
    <xf numFmtId="0" fontId="27" fillId="2" borderId="11" xfId="0" applyFont="1" applyFill="1" applyBorder="1" applyAlignment="1">
      <alignment horizontal="center" vertical="center"/>
    </xf>
    <xf numFmtId="0" fontId="27" fillId="3" borderId="11" xfId="0" applyFont="1" applyFill="1" applyBorder="1" applyAlignment="1">
      <alignment vertical="center"/>
    </xf>
    <xf numFmtId="0" fontId="27" fillId="3" borderId="12"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38" fontId="28" fillId="3" borderId="8" xfId="5" applyFont="1" applyFill="1" applyBorder="1" applyAlignment="1">
      <alignment horizontal="center" vertical="center"/>
    </xf>
    <xf numFmtId="0" fontId="27" fillId="2" borderId="3" xfId="1" applyFont="1" applyFill="1" applyBorder="1" applyAlignment="1">
      <alignment horizontal="center" vertical="center" shrinkToFit="1"/>
    </xf>
    <xf numFmtId="0" fontId="27" fillId="2" borderId="4" xfId="1" applyFont="1" applyFill="1" applyBorder="1" applyAlignment="1">
      <alignment horizontal="center" vertical="center" shrinkToFit="1"/>
    </xf>
    <xf numFmtId="0" fontId="27" fillId="2" borderId="62" xfId="1" applyFont="1" applyFill="1" applyBorder="1" applyAlignment="1">
      <alignment horizontal="center" vertical="center" shrinkToFit="1"/>
    </xf>
    <xf numFmtId="0" fontId="27" fillId="2" borderId="132" xfId="1" applyFont="1" applyFill="1" applyBorder="1" applyAlignment="1">
      <alignment horizontal="center" vertical="center" shrinkToFit="1"/>
    </xf>
    <xf numFmtId="194" fontId="27" fillId="2" borderId="149" xfId="1" applyNumberFormat="1" applyFont="1" applyFill="1" applyBorder="1" applyAlignment="1">
      <alignment vertical="center" shrinkToFit="1"/>
    </xf>
    <xf numFmtId="194" fontId="27" fillId="2" borderId="118" xfId="1" applyNumberFormat="1" applyFont="1" applyFill="1" applyBorder="1" applyAlignment="1">
      <alignment vertical="center" shrinkToFit="1"/>
    </xf>
    <xf numFmtId="176" fontId="27" fillId="2" borderId="57" xfId="1" applyNumberFormat="1" applyFont="1" applyFill="1" applyBorder="1" applyAlignment="1">
      <alignment horizontal="right" vertical="center" shrinkToFit="1"/>
    </xf>
    <xf numFmtId="176" fontId="27" fillId="2" borderId="75" xfId="1" applyNumberFormat="1" applyFont="1" applyFill="1" applyBorder="1" applyAlignment="1">
      <alignment horizontal="right" vertical="center" shrinkToFit="1"/>
    </xf>
    <xf numFmtId="176" fontId="27" fillId="2" borderId="58" xfId="1" applyNumberFormat="1" applyFont="1" applyFill="1" applyBorder="1" applyAlignment="1">
      <alignment horizontal="right" vertical="center" shrinkToFit="1"/>
    </xf>
    <xf numFmtId="0" fontId="27" fillId="2" borderId="49" xfId="1" applyFont="1" applyFill="1" applyBorder="1" applyAlignment="1">
      <alignment vertical="center" wrapText="1" shrinkToFit="1"/>
    </xf>
    <xf numFmtId="0" fontId="27" fillId="2" borderId="57" xfId="1" applyNumberFormat="1" applyFont="1" applyFill="1" applyBorder="1" applyAlignment="1">
      <alignment horizontal="center" vertical="center" shrinkToFit="1"/>
    </xf>
    <xf numFmtId="0" fontId="27" fillId="2" borderId="58" xfId="1" applyNumberFormat="1" applyFont="1" applyFill="1" applyBorder="1" applyAlignment="1">
      <alignment horizontal="center" vertical="center" shrinkToFit="1"/>
    </xf>
    <xf numFmtId="176" fontId="27" fillId="2" borderId="63" xfId="1" applyNumberFormat="1" applyFont="1" applyFill="1" applyBorder="1" applyAlignment="1">
      <alignment horizontal="right" vertical="center" shrinkToFit="1"/>
    </xf>
    <xf numFmtId="176" fontId="27" fillId="2" borderId="78" xfId="1" applyNumberFormat="1" applyFont="1" applyFill="1" applyBorder="1" applyAlignment="1">
      <alignment horizontal="right" vertical="center" shrinkToFit="1"/>
    </xf>
    <xf numFmtId="0" fontId="27" fillId="2" borderId="67" xfId="1" applyNumberFormat="1" applyFont="1" applyFill="1" applyBorder="1" applyAlignment="1">
      <alignment horizontal="center" vertical="center" shrinkToFit="1"/>
    </xf>
    <xf numFmtId="0" fontId="27" fillId="2" borderId="69" xfId="1" applyNumberFormat="1" applyFont="1" applyFill="1" applyBorder="1" applyAlignment="1">
      <alignment horizontal="center" vertical="center" shrinkToFit="1"/>
    </xf>
    <xf numFmtId="176" fontId="27" fillId="2" borderId="165" xfId="1" applyNumberFormat="1" applyFont="1" applyFill="1" applyBorder="1" applyAlignment="1">
      <alignment horizontal="right" vertical="center" shrinkToFit="1"/>
    </xf>
    <xf numFmtId="176" fontId="27" fillId="2" borderId="72" xfId="1" applyNumberFormat="1" applyFont="1" applyFill="1" applyBorder="1" applyAlignment="1">
      <alignment horizontal="right" vertical="center" shrinkToFit="1"/>
    </xf>
    <xf numFmtId="176" fontId="27" fillId="2" borderId="73" xfId="1" applyNumberFormat="1" applyFont="1" applyFill="1" applyBorder="1" applyAlignment="1">
      <alignment horizontal="right" vertical="center" shrinkToFit="1"/>
    </xf>
    <xf numFmtId="179" fontId="27" fillId="2" borderId="67" xfId="1" applyNumberFormat="1" applyFont="1" applyFill="1" applyBorder="1" applyAlignment="1">
      <alignment horizontal="right" vertical="center" shrinkToFit="1"/>
    </xf>
    <xf numFmtId="179" fontId="27" fillId="2" borderId="69" xfId="1" applyNumberFormat="1" applyFont="1" applyFill="1" applyBorder="1" applyAlignment="1">
      <alignment horizontal="right" vertical="center" shrinkToFit="1"/>
    </xf>
    <xf numFmtId="179" fontId="27" fillId="2" borderId="65" xfId="1" applyNumberFormat="1" applyFont="1" applyFill="1" applyBorder="1" applyAlignment="1">
      <alignment horizontal="center" vertical="center" shrinkToFit="1"/>
    </xf>
    <xf numFmtId="179" fontId="27" fillId="2" borderId="74" xfId="1" applyNumberFormat="1" applyFont="1" applyFill="1" applyBorder="1" applyAlignment="1">
      <alignment horizontal="center" vertical="center" shrinkToFit="1"/>
    </xf>
    <xf numFmtId="179" fontId="27" fillId="2" borderId="66" xfId="1" applyNumberFormat="1" applyFont="1" applyFill="1" applyBorder="1" applyAlignment="1">
      <alignment horizontal="center" vertical="center" shrinkToFit="1"/>
    </xf>
    <xf numFmtId="179" fontId="27" fillId="2" borderId="83" xfId="1" applyNumberFormat="1" applyFont="1" applyFill="1" applyBorder="1" applyAlignment="1">
      <alignment horizontal="center" vertical="center" shrinkToFit="1"/>
    </xf>
    <xf numFmtId="179" fontId="27" fillId="2" borderId="28" xfId="1" applyNumberFormat="1" applyFont="1" applyFill="1" applyBorder="1" applyAlignment="1">
      <alignment horizontal="center" vertical="center" shrinkToFit="1"/>
    </xf>
    <xf numFmtId="179" fontId="27" fillId="2" borderId="84" xfId="1" applyNumberFormat="1" applyFont="1" applyFill="1" applyBorder="1" applyAlignment="1">
      <alignment horizontal="center" vertical="center" shrinkToFit="1"/>
    </xf>
    <xf numFmtId="0" fontId="27" fillId="2" borderId="44" xfId="1" applyFont="1" applyFill="1" applyBorder="1" applyAlignment="1">
      <alignment vertical="center" shrinkToFit="1"/>
    </xf>
    <xf numFmtId="0" fontId="27" fillId="2" borderId="44" xfId="1" applyNumberFormat="1" applyFont="1" applyFill="1" applyBorder="1" applyAlignment="1">
      <alignment horizontal="center" vertical="center" shrinkToFit="1"/>
    </xf>
    <xf numFmtId="0" fontId="27" fillId="2" borderId="45" xfId="1" applyNumberFormat="1" applyFont="1" applyFill="1" applyBorder="1" applyAlignment="1">
      <alignment horizontal="center" vertical="center" shrinkToFit="1"/>
    </xf>
    <xf numFmtId="176" fontId="27" fillId="2" borderId="74" xfId="1" applyNumberFormat="1" applyFont="1" applyFill="1" applyBorder="1" applyAlignment="1">
      <alignment horizontal="center" vertical="center" shrinkToFit="1"/>
    </xf>
    <xf numFmtId="0" fontId="27" fillId="2" borderId="72" xfId="1" applyNumberFormat="1" applyFont="1" applyFill="1" applyBorder="1" applyAlignment="1">
      <alignment horizontal="center" vertical="center" shrinkToFit="1"/>
    </xf>
    <xf numFmtId="0" fontId="27" fillId="2" borderId="73" xfId="1" applyNumberFormat="1" applyFont="1" applyFill="1" applyBorder="1" applyAlignment="1">
      <alignment horizontal="center" vertical="center" shrinkToFit="1"/>
    </xf>
    <xf numFmtId="176" fontId="27" fillId="2" borderId="76" xfId="1" applyNumberFormat="1" applyFont="1" applyFill="1" applyBorder="1" applyAlignment="1">
      <alignment horizontal="right" vertical="center" shrinkToFit="1"/>
    </xf>
    <xf numFmtId="176" fontId="27" fillId="2" borderId="77" xfId="1" applyNumberFormat="1" applyFont="1" applyFill="1" applyBorder="1" applyAlignment="1">
      <alignment horizontal="right" vertical="center" shrinkToFit="1"/>
    </xf>
    <xf numFmtId="0" fontId="27" fillId="2" borderId="18" xfId="1" applyFont="1" applyFill="1" applyBorder="1" applyAlignment="1">
      <alignment vertical="center"/>
    </xf>
    <xf numFmtId="0" fontId="27" fillId="2" borderId="19" xfId="1" applyFont="1" applyFill="1" applyBorder="1" applyAlignment="1">
      <alignment vertical="center"/>
    </xf>
    <xf numFmtId="0" fontId="27" fillId="2" borderId="21" xfId="1" applyFont="1" applyFill="1" applyBorder="1" applyAlignment="1">
      <alignment vertical="center"/>
    </xf>
    <xf numFmtId="179" fontId="27" fillId="2" borderId="57" xfId="1" applyNumberFormat="1" applyFont="1" applyFill="1" applyBorder="1" applyAlignment="1">
      <alignment horizontal="right" vertical="center" shrinkToFit="1"/>
    </xf>
    <xf numFmtId="179" fontId="27" fillId="2" borderId="58" xfId="1" applyNumberFormat="1" applyFont="1" applyFill="1" applyBorder="1" applyAlignment="1">
      <alignment horizontal="right" vertical="center" shrinkToFit="1"/>
    </xf>
    <xf numFmtId="179" fontId="27" fillId="2" borderId="72" xfId="1" applyNumberFormat="1" applyFont="1" applyFill="1" applyBorder="1" applyAlignment="1">
      <alignment horizontal="right" vertical="center" shrinkToFit="1"/>
    </xf>
    <xf numFmtId="179" fontId="27" fillId="2" borderId="73" xfId="1" applyNumberFormat="1" applyFont="1" applyFill="1" applyBorder="1" applyAlignment="1">
      <alignment horizontal="right" vertical="center" shrinkToFit="1"/>
    </xf>
    <xf numFmtId="176" fontId="27" fillId="2" borderId="166" xfId="1" applyNumberFormat="1" applyFont="1" applyFill="1" applyBorder="1" applyAlignment="1">
      <alignment horizontal="right" vertical="center" shrinkToFit="1"/>
    </xf>
    <xf numFmtId="0" fontId="27" fillId="2" borderId="79" xfId="0" applyFont="1" applyFill="1" applyBorder="1" applyAlignment="1">
      <alignment vertical="center" shrinkToFit="1"/>
    </xf>
    <xf numFmtId="0" fontId="27" fillId="2" borderId="172" xfId="0" applyFont="1" applyFill="1" applyBorder="1" applyAlignment="1">
      <alignment vertical="center" shrinkToFit="1"/>
    </xf>
    <xf numFmtId="179" fontId="27" fillId="2" borderId="18" xfId="1" applyNumberFormat="1" applyFont="1" applyFill="1" applyBorder="1" applyAlignment="1">
      <alignment horizontal="right" vertical="center" shrinkToFit="1"/>
    </xf>
    <xf numFmtId="179" fontId="27" fillId="2" borderId="21" xfId="1" applyNumberFormat="1" applyFont="1" applyFill="1" applyBorder="1" applyAlignment="1">
      <alignment horizontal="right" vertical="center" shrinkToFit="1"/>
    </xf>
    <xf numFmtId="0" fontId="27" fillId="2" borderId="92" xfId="1" applyNumberFormat="1" applyFont="1" applyFill="1" applyBorder="1" applyAlignment="1">
      <alignment horizontal="center" vertical="center" shrinkToFit="1"/>
    </xf>
    <xf numFmtId="0" fontId="27" fillId="2" borderId="93" xfId="1" applyNumberFormat="1" applyFont="1" applyFill="1" applyBorder="1" applyAlignment="1">
      <alignment horizontal="center" vertical="center" shrinkToFit="1"/>
    </xf>
    <xf numFmtId="176" fontId="27" fillId="2" borderId="174" xfId="1" applyNumberFormat="1" applyFont="1" applyFill="1" applyBorder="1" applyAlignment="1">
      <alignment horizontal="right" vertical="center" shrinkToFit="1"/>
    </xf>
    <xf numFmtId="176" fontId="27" fillId="2" borderId="171" xfId="1" applyNumberFormat="1" applyFont="1" applyFill="1" applyBorder="1" applyAlignment="1">
      <alignment horizontal="right" vertical="center" shrinkToFit="1"/>
    </xf>
    <xf numFmtId="176" fontId="27" fillId="2" borderId="175" xfId="1" applyNumberFormat="1" applyFont="1" applyFill="1" applyBorder="1" applyAlignment="1">
      <alignment horizontal="right" vertical="center" shrinkToFit="1"/>
    </xf>
    <xf numFmtId="0" fontId="27" fillId="2" borderId="1" xfId="1" applyFont="1" applyFill="1" applyBorder="1" applyAlignment="1">
      <alignment horizontal="center" vertical="center" textRotation="255" wrapText="1" shrinkToFit="1"/>
    </xf>
    <xf numFmtId="0" fontId="27" fillId="2" borderId="30" xfId="1" applyFont="1" applyFill="1" applyBorder="1" applyAlignment="1">
      <alignment horizontal="center" vertical="center" textRotation="255" wrapText="1" shrinkToFit="1"/>
    </xf>
    <xf numFmtId="0" fontId="27" fillId="2" borderId="2" xfId="1" applyFont="1" applyFill="1" applyBorder="1" applyAlignment="1">
      <alignment horizontal="center" vertical="center" textRotation="255" wrapText="1" shrinkToFit="1"/>
    </xf>
    <xf numFmtId="0" fontId="27" fillId="2" borderId="4" xfId="1" applyFont="1" applyFill="1" applyBorder="1" applyAlignment="1">
      <alignment vertical="center" wrapText="1" shrinkToFit="1"/>
    </xf>
    <xf numFmtId="0" fontId="27" fillId="2" borderId="62" xfId="1" applyFont="1" applyFill="1" applyBorder="1" applyAlignment="1">
      <alignment vertical="center" wrapText="1" shrinkToFit="1"/>
    </xf>
    <xf numFmtId="176" fontId="27" fillId="2" borderId="176" xfId="1" applyNumberFormat="1" applyFont="1" applyFill="1" applyBorder="1" applyAlignment="1">
      <alignment horizontal="center" vertical="center" shrinkToFit="1"/>
    </xf>
    <xf numFmtId="176" fontId="27" fillId="2" borderId="177" xfId="1" applyNumberFormat="1" applyFont="1" applyFill="1" applyBorder="1" applyAlignment="1">
      <alignment horizontal="center" vertical="center" shrinkToFit="1"/>
    </xf>
    <xf numFmtId="176" fontId="27" fillId="2" borderId="178" xfId="1" applyNumberFormat="1" applyFont="1" applyFill="1" applyBorder="1" applyAlignment="1">
      <alignment horizontal="center" vertical="center" shrinkToFit="1"/>
    </xf>
    <xf numFmtId="176" fontId="27" fillId="2" borderId="179" xfId="1" applyNumberFormat="1" applyFont="1" applyFill="1" applyBorder="1" applyAlignment="1">
      <alignment horizontal="right" vertical="center" shrinkToFit="1"/>
    </xf>
    <xf numFmtId="176" fontId="27" fillId="2" borderId="181" xfId="1" applyNumberFormat="1" applyFont="1" applyFill="1" applyBorder="1" applyAlignment="1">
      <alignment horizontal="right" vertical="center" shrinkToFit="1"/>
    </xf>
    <xf numFmtId="0" fontId="27" fillId="2" borderId="18" xfId="1" applyFont="1" applyFill="1" applyBorder="1" applyAlignment="1">
      <alignment vertical="center" wrapText="1" shrinkToFit="1"/>
    </xf>
    <xf numFmtId="0" fontId="27" fillId="2" borderId="19" xfId="1" applyFont="1" applyFill="1" applyBorder="1" applyAlignment="1">
      <alignment vertical="center" wrapText="1" shrinkToFit="1"/>
    </xf>
    <xf numFmtId="0" fontId="27" fillId="2" borderId="21" xfId="1" applyFont="1" applyFill="1" applyBorder="1" applyAlignment="1">
      <alignment vertical="center" wrapText="1" shrinkToFit="1"/>
    </xf>
    <xf numFmtId="0" fontId="27" fillId="2" borderId="22" xfId="1" applyFont="1" applyFill="1" applyBorder="1" applyAlignment="1">
      <alignment vertical="center" wrapText="1" shrinkToFit="1"/>
    </xf>
    <xf numFmtId="0" fontId="27" fillId="2" borderId="70" xfId="1" applyFont="1" applyFill="1" applyBorder="1" applyAlignment="1">
      <alignment vertical="center" wrapText="1" shrinkToFit="1"/>
    </xf>
    <xf numFmtId="0" fontId="27" fillId="2" borderId="85" xfId="1" applyFont="1" applyFill="1" applyBorder="1" applyAlignment="1">
      <alignment vertical="center" wrapText="1" shrinkToFit="1"/>
    </xf>
    <xf numFmtId="0" fontId="27" fillId="2" borderId="71" xfId="1" applyFont="1" applyFill="1" applyBorder="1" applyAlignment="1">
      <alignment vertical="center" wrapText="1" shrinkToFit="1"/>
    </xf>
    <xf numFmtId="0" fontId="27" fillId="2" borderId="19" xfId="1" applyFont="1" applyFill="1" applyBorder="1" applyAlignment="1">
      <alignment horizontal="center" vertical="center" wrapText="1" shrinkToFit="1"/>
    </xf>
    <xf numFmtId="0" fontId="27" fillId="2" borderId="70" xfId="1" applyFont="1" applyFill="1" applyBorder="1" applyAlignment="1">
      <alignment horizontal="center" vertical="center" wrapText="1" shrinkToFit="1"/>
    </xf>
    <xf numFmtId="0" fontId="27" fillId="2" borderId="85" xfId="1" applyFont="1" applyFill="1" applyBorder="1" applyAlignment="1">
      <alignment horizontal="center" vertical="center" wrapText="1" shrinkToFit="1"/>
    </xf>
    <xf numFmtId="0" fontId="27" fillId="2" borderId="71" xfId="1" applyFont="1" applyFill="1" applyBorder="1" applyAlignment="1">
      <alignment horizontal="center" vertical="center" wrapText="1" shrinkToFit="1"/>
    </xf>
    <xf numFmtId="0" fontId="27" fillId="2" borderId="18" xfId="1" applyNumberFormat="1" applyFont="1" applyFill="1" applyBorder="1" applyAlignment="1">
      <alignment horizontal="center" vertical="center" shrinkToFit="1"/>
    </xf>
    <xf numFmtId="0" fontId="27" fillId="2" borderId="21" xfId="1" applyNumberFormat="1" applyFont="1" applyFill="1" applyBorder="1" applyAlignment="1">
      <alignment horizontal="center" vertical="center" shrinkToFit="1"/>
    </xf>
    <xf numFmtId="0" fontId="27" fillId="2" borderId="70" xfId="1" applyNumberFormat="1" applyFont="1" applyFill="1" applyBorder="1" applyAlignment="1">
      <alignment horizontal="center" vertical="center" shrinkToFit="1"/>
    </xf>
    <xf numFmtId="0" fontId="27" fillId="2" borderId="71" xfId="1" applyNumberFormat="1" applyFont="1" applyFill="1" applyBorder="1" applyAlignment="1">
      <alignment horizontal="center" vertical="center" shrinkToFit="1"/>
    </xf>
    <xf numFmtId="183" fontId="27" fillId="2" borderId="182" xfId="0" applyNumberFormat="1" applyFont="1" applyFill="1" applyBorder="1" applyAlignment="1">
      <alignment horizontal="right" vertical="center" shrinkToFit="1"/>
    </xf>
    <xf numFmtId="183" fontId="27" fillId="2" borderId="183" xfId="0" applyNumberFormat="1" applyFont="1" applyFill="1" applyBorder="1" applyAlignment="1">
      <alignment horizontal="right" vertical="center" shrinkToFit="1"/>
    </xf>
    <xf numFmtId="0" fontId="27" fillId="2" borderId="39" xfId="1" applyFont="1" applyFill="1" applyBorder="1" applyAlignment="1">
      <alignment vertical="center" wrapText="1" shrinkToFit="1"/>
    </xf>
    <xf numFmtId="0" fontId="27" fillId="2" borderId="51" xfId="1" applyFont="1" applyFill="1" applyBorder="1" applyAlignment="1">
      <alignment vertical="center" wrapText="1" shrinkToFit="1"/>
    </xf>
    <xf numFmtId="0" fontId="27" fillId="2" borderId="52" xfId="1" applyFont="1" applyFill="1" applyBorder="1" applyAlignment="1">
      <alignment vertical="center" wrapText="1" shrinkToFit="1"/>
    </xf>
    <xf numFmtId="184" fontId="27" fillId="2" borderId="184" xfId="0" applyNumberFormat="1" applyFont="1" applyFill="1" applyBorder="1" applyAlignment="1">
      <alignment horizontal="center" vertical="center" shrinkToFit="1"/>
    </xf>
    <xf numFmtId="184" fontId="27" fillId="2" borderId="177" xfId="0" applyNumberFormat="1" applyFont="1" applyFill="1" applyBorder="1" applyAlignment="1">
      <alignment horizontal="center" vertical="center" shrinkToFit="1"/>
    </xf>
    <xf numFmtId="0" fontId="27" fillId="2" borderId="22" xfId="1" applyNumberFormat="1" applyFont="1" applyFill="1" applyBorder="1" applyAlignment="1">
      <alignment horizontal="center" vertical="center" shrinkToFit="1"/>
    </xf>
    <xf numFmtId="0" fontId="27" fillId="2" borderId="38" xfId="1" applyNumberFormat="1" applyFont="1" applyFill="1" applyBorder="1" applyAlignment="1">
      <alignment horizontal="center" vertical="center" shrinkToFit="1"/>
    </xf>
    <xf numFmtId="0" fontId="27" fillId="2" borderId="185" xfId="1" applyFont="1" applyFill="1" applyBorder="1" applyAlignment="1">
      <alignment vertical="center" shrinkToFit="1"/>
    </xf>
    <xf numFmtId="0" fontId="27" fillId="2" borderId="100" xfId="1" applyFont="1" applyFill="1" applyBorder="1" applyAlignment="1">
      <alignment vertical="center" shrinkToFit="1"/>
    </xf>
    <xf numFmtId="0" fontId="27" fillId="2" borderId="98" xfId="1" applyFont="1" applyFill="1" applyBorder="1" applyAlignment="1">
      <alignment vertical="center" shrinkToFit="1"/>
    </xf>
    <xf numFmtId="0" fontId="27" fillId="2" borderId="187" xfId="1" applyFont="1" applyFill="1" applyBorder="1" applyAlignment="1">
      <alignment vertical="center" shrinkToFit="1"/>
    </xf>
    <xf numFmtId="0" fontId="27" fillId="2" borderId="3" xfId="1" applyFont="1" applyFill="1" applyBorder="1" applyAlignment="1">
      <alignment vertical="center" wrapText="1" shrinkToFit="1"/>
    </xf>
    <xf numFmtId="0" fontId="27" fillId="2" borderId="49" xfId="1" applyFont="1" applyFill="1" applyBorder="1" applyAlignment="1">
      <alignment horizontal="center" vertical="center" wrapText="1" shrinkToFit="1"/>
    </xf>
    <xf numFmtId="0" fontId="27" fillId="2" borderId="4" xfId="1" applyFont="1" applyFill="1" applyBorder="1" applyAlignment="1">
      <alignment horizontal="center" vertical="center" wrapText="1" shrinkToFit="1"/>
    </xf>
    <xf numFmtId="0" fontId="27" fillId="2" borderId="62" xfId="1" applyFont="1" applyFill="1" applyBorder="1" applyAlignment="1">
      <alignment horizontal="center" vertical="center" wrapText="1" shrinkToFit="1"/>
    </xf>
    <xf numFmtId="0" fontId="27" fillId="2" borderId="49" xfId="1" applyNumberFormat="1" applyFont="1" applyFill="1" applyBorder="1" applyAlignment="1">
      <alignment horizontal="center" vertical="center" shrinkToFit="1"/>
    </xf>
    <xf numFmtId="0" fontId="27" fillId="2" borderId="62" xfId="1" applyNumberFormat="1" applyFont="1" applyFill="1" applyBorder="1" applyAlignment="1">
      <alignment horizontal="center" vertical="center" shrinkToFit="1"/>
    </xf>
    <xf numFmtId="183" fontId="27" fillId="2" borderId="166" xfId="0" applyNumberFormat="1" applyFont="1" applyFill="1" applyBorder="1" applyAlignment="1">
      <alignment horizontal="right" vertical="center" shrinkToFit="1"/>
    </xf>
    <xf numFmtId="176" fontId="27" fillId="2" borderId="189" xfId="1" applyNumberFormat="1" applyFont="1" applyFill="1" applyBorder="1" applyAlignment="1">
      <alignment horizontal="right" vertical="center" shrinkToFit="1"/>
    </xf>
    <xf numFmtId="183" fontId="27" fillId="2" borderId="58" xfId="0" applyNumberFormat="1" applyFont="1" applyFill="1" applyBorder="1" applyAlignment="1">
      <alignment horizontal="right" vertical="center" shrinkToFit="1"/>
    </xf>
    <xf numFmtId="184" fontId="27" fillId="2" borderId="190" xfId="0" applyNumberFormat="1" applyFont="1" applyFill="1" applyBorder="1" applyAlignment="1">
      <alignment horizontal="center" vertical="center" shrinkToFit="1"/>
    </xf>
    <xf numFmtId="184" fontId="27" fillId="2" borderId="191" xfId="0" applyNumberFormat="1" applyFont="1" applyFill="1" applyBorder="1" applyAlignment="1">
      <alignment horizontal="center" vertical="center" shrinkToFit="1"/>
    </xf>
    <xf numFmtId="183" fontId="27" fillId="2" borderId="69" xfId="0" applyNumberFormat="1" applyFont="1" applyFill="1" applyBorder="1" applyAlignment="1">
      <alignment horizontal="right" vertical="center" shrinkToFit="1"/>
    </xf>
    <xf numFmtId="176" fontId="27" fillId="2" borderId="170" xfId="1" applyNumberFormat="1" applyFont="1" applyFill="1" applyBorder="1" applyAlignment="1">
      <alignment horizontal="right" vertical="center" shrinkToFit="1"/>
    </xf>
    <xf numFmtId="176" fontId="27" fillId="2" borderId="192" xfId="1" applyNumberFormat="1" applyFont="1" applyFill="1" applyBorder="1" applyAlignment="1">
      <alignment horizontal="right" vertical="center" shrinkToFit="1"/>
    </xf>
    <xf numFmtId="176" fontId="27" fillId="2" borderId="169" xfId="1" applyNumberFormat="1" applyFont="1" applyFill="1" applyBorder="1" applyAlignment="1">
      <alignment horizontal="right" vertical="center" shrinkToFit="1"/>
    </xf>
    <xf numFmtId="0" fontId="27" fillId="2" borderId="193" xfId="0" applyFont="1" applyFill="1" applyBorder="1" applyAlignment="1">
      <alignment vertical="center" shrinkToFit="1"/>
    </xf>
    <xf numFmtId="0" fontId="27" fillId="2" borderId="171" xfId="1" applyFont="1" applyFill="1" applyBorder="1" applyAlignment="1">
      <alignment horizontal="center" vertical="center" textRotation="255" shrinkToFit="1"/>
    </xf>
    <xf numFmtId="0" fontId="27" fillId="2" borderId="170" xfId="1" applyFont="1" applyFill="1" applyBorder="1" applyAlignment="1">
      <alignment horizontal="center" vertical="center" textRotation="255" shrinkToFit="1"/>
    </xf>
    <xf numFmtId="0" fontId="27" fillId="2" borderId="221" xfId="1" applyFont="1" applyFill="1" applyBorder="1" applyAlignment="1">
      <alignment horizontal="center" vertical="center" textRotation="255" shrinkToFit="1"/>
    </xf>
    <xf numFmtId="0" fontId="27" fillId="2" borderId="18" xfId="1" applyFont="1" applyFill="1" applyBorder="1" applyAlignment="1">
      <alignment horizontal="center" vertical="center" textRotation="255" shrinkToFit="1"/>
    </xf>
    <xf numFmtId="0" fontId="27" fillId="2" borderId="44" xfId="1" applyFont="1" applyFill="1" applyBorder="1" applyAlignment="1">
      <alignment horizontal="center" vertical="center" textRotation="255" shrinkToFit="1"/>
    </xf>
    <xf numFmtId="0" fontId="38" fillId="2" borderId="11" xfId="0" applyFont="1" applyFill="1" applyBorder="1" applyAlignment="1">
      <alignment horizontal="center" vertical="center" wrapText="1"/>
    </xf>
    <xf numFmtId="0" fontId="38" fillId="2" borderId="11"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9" xfId="0" applyFont="1" applyFill="1" applyBorder="1" applyAlignment="1">
      <alignment horizontal="center" vertical="center"/>
    </xf>
    <xf numFmtId="0" fontId="37" fillId="4" borderId="10" xfId="0" applyFont="1" applyFill="1" applyBorder="1" applyAlignment="1">
      <alignment horizontal="center" vertical="center"/>
    </xf>
    <xf numFmtId="0" fontId="32" fillId="2" borderId="228" xfId="1" applyFont="1" applyFill="1" applyBorder="1" applyAlignment="1">
      <alignment vertical="center" shrinkToFit="1"/>
    </xf>
    <xf numFmtId="0" fontId="32" fillId="2" borderId="229" xfId="1" applyFont="1" applyFill="1" applyBorder="1" applyAlignment="1">
      <alignment vertical="center" shrinkToFit="1"/>
    </xf>
    <xf numFmtId="176" fontId="32" fillId="2" borderId="229" xfId="1" applyNumberFormat="1" applyFont="1" applyFill="1" applyBorder="1" applyAlignment="1">
      <alignment horizontal="right" vertical="center" shrinkToFit="1"/>
    </xf>
    <xf numFmtId="176" fontId="32" fillId="2" borderId="230" xfId="1" applyNumberFormat="1" applyFont="1" applyFill="1" applyBorder="1" applyAlignment="1">
      <alignment horizontal="right" vertical="center" shrinkToFit="1"/>
    </xf>
    <xf numFmtId="0" fontId="30" fillId="3" borderId="3" xfId="0" applyFont="1" applyFill="1" applyBorder="1" applyAlignment="1">
      <alignment vertical="center" shrinkToFit="1"/>
    </xf>
    <xf numFmtId="0" fontId="30" fillId="3" borderId="4" xfId="0" applyFont="1" applyFill="1" applyBorder="1" applyAlignment="1">
      <alignment vertical="center" shrinkToFit="1"/>
    </xf>
    <xf numFmtId="0" fontId="30" fillId="3" borderId="31" xfId="0" applyFont="1" applyFill="1" applyBorder="1" applyAlignment="1">
      <alignment vertical="center" shrinkToFit="1"/>
    </xf>
    <xf numFmtId="0" fontId="30" fillId="3" borderId="5" xfId="0" applyFont="1" applyFill="1" applyBorder="1" applyAlignment="1">
      <alignment vertical="center" shrinkToFit="1"/>
    </xf>
    <xf numFmtId="0" fontId="30" fillId="3" borderId="0" xfId="0" applyFont="1" applyFill="1" applyBorder="1" applyAlignment="1">
      <alignment vertical="center" shrinkToFit="1"/>
    </xf>
    <xf numFmtId="0" fontId="30" fillId="3" borderId="6" xfId="0" applyFont="1" applyFill="1" applyBorder="1" applyAlignment="1">
      <alignment vertical="center" shrinkToFit="1"/>
    </xf>
    <xf numFmtId="0" fontId="30" fillId="3" borderId="7" xfId="0" applyFont="1" applyFill="1" applyBorder="1" applyAlignment="1">
      <alignment vertical="center" shrinkToFit="1"/>
    </xf>
    <xf numFmtId="0" fontId="30" fillId="3" borderId="8" xfId="0" applyFont="1" applyFill="1" applyBorder="1" applyAlignment="1">
      <alignment vertical="center" shrinkToFit="1"/>
    </xf>
    <xf numFmtId="0" fontId="30" fillId="3" borderId="13" xfId="0" applyFont="1" applyFill="1" applyBorder="1" applyAlignment="1">
      <alignment vertical="center" shrinkToFit="1"/>
    </xf>
    <xf numFmtId="176" fontId="27" fillId="3" borderId="11" xfId="1" applyNumberFormat="1" applyFont="1" applyFill="1" applyBorder="1" applyAlignment="1">
      <alignment horizontal="right" vertical="center" shrinkToFit="1"/>
    </xf>
    <xf numFmtId="0" fontId="27" fillId="0" borderId="5" xfId="3" applyFont="1" applyFill="1" applyBorder="1" applyAlignment="1">
      <alignment horizontal="center" vertical="center" shrinkToFit="1"/>
    </xf>
    <xf numFmtId="0" fontId="27" fillId="0" borderId="0" xfId="3" applyFont="1" applyFill="1" applyBorder="1" applyAlignment="1">
      <alignment horizontal="center" vertical="center" shrinkToFit="1"/>
    </xf>
    <xf numFmtId="0" fontId="27" fillId="0" borderId="1" xfId="3" applyFont="1" applyFill="1" applyBorder="1" applyAlignment="1">
      <alignment horizontal="center" vertical="center"/>
    </xf>
    <xf numFmtId="0" fontId="27" fillId="0" borderId="30" xfId="3" applyFont="1" applyFill="1" applyBorder="1" applyAlignment="1">
      <alignment horizontal="center" vertical="center"/>
    </xf>
    <xf numFmtId="0" fontId="27" fillId="0" borderId="2" xfId="3" applyFont="1" applyFill="1" applyBorder="1" applyAlignment="1">
      <alignment horizontal="center" vertical="center"/>
    </xf>
    <xf numFmtId="0" fontId="27" fillId="2" borderId="11"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0" borderId="1" xfId="3" applyFont="1" applyFill="1" applyBorder="1" applyAlignment="1">
      <alignment horizontal="center" vertical="center" wrapText="1"/>
    </xf>
    <xf numFmtId="0" fontId="27" fillId="0" borderId="2" xfId="3" applyFont="1" applyFill="1" applyBorder="1" applyAlignment="1">
      <alignment horizontal="center" vertical="center" wrapText="1"/>
    </xf>
    <xf numFmtId="0" fontId="27" fillId="2" borderId="12" xfId="3" applyFont="1" applyFill="1" applyBorder="1" applyAlignment="1">
      <alignment horizontal="center" vertical="center"/>
    </xf>
    <xf numFmtId="0" fontId="27" fillId="2" borderId="9" xfId="3" applyFont="1" applyFill="1" applyBorder="1" applyAlignment="1">
      <alignment horizontal="center" vertical="center"/>
    </xf>
    <xf numFmtId="0" fontId="27" fillId="2" borderId="10" xfId="3" applyFont="1" applyFill="1" applyBorder="1" applyAlignment="1">
      <alignment horizontal="center" vertical="center"/>
    </xf>
    <xf numFmtId="0" fontId="27" fillId="0" borderId="11" xfId="3" applyFont="1" applyFill="1" applyBorder="1" applyAlignment="1">
      <alignment horizontal="center" vertical="center" wrapText="1"/>
    </xf>
    <xf numFmtId="0" fontId="27" fillId="0" borderId="11" xfId="3" applyFont="1" applyFill="1" applyBorder="1" applyAlignment="1">
      <alignment vertical="center" wrapText="1"/>
    </xf>
    <xf numFmtId="3" fontId="27" fillId="3" borderId="12" xfId="3" applyNumberFormat="1" applyFont="1" applyFill="1" applyBorder="1" applyAlignment="1">
      <alignment horizontal="center" vertical="center" shrinkToFit="1"/>
    </xf>
    <xf numFmtId="3" fontId="27" fillId="3" borderId="10" xfId="3" applyNumberFormat="1" applyFont="1" applyFill="1" applyBorder="1" applyAlignment="1">
      <alignment horizontal="center" vertical="center" shrinkToFit="1"/>
    </xf>
    <xf numFmtId="184" fontId="27" fillId="3" borderId="12" xfId="3" applyNumberFormat="1" applyFont="1" applyFill="1" applyBorder="1" applyAlignment="1">
      <alignment horizontal="center" vertical="center" shrinkToFit="1"/>
    </xf>
    <xf numFmtId="184" fontId="27" fillId="3" borderId="10" xfId="3" applyNumberFormat="1" applyFont="1" applyFill="1" applyBorder="1" applyAlignment="1">
      <alignment horizontal="center" vertical="center" shrinkToFit="1"/>
    </xf>
    <xf numFmtId="0" fontId="27" fillId="3" borderId="12" xfId="3" applyFont="1" applyFill="1" applyBorder="1" applyAlignment="1">
      <alignment horizontal="center" vertical="center" shrinkToFit="1"/>
    </xf>
    <xf numFmtId="0" fontId="27" fillId="3" borderId="10" xfId="3" applyFont="1" applyFill="1" applyBorder="1" applyAlignment="1">
      <alignment horizontal="center" vertical="center" shrinkToFit="1"/>
    </xf>
    <xf numFmtId="0" fontId="27" fillId="0" borderId="12" xfId="3" applyFont="1" applyFill="1" applyBorder="1" applyAlignment="1">
      <alignment horizontal="center" vertical="center" shrinkToFit="1"/>
    </xf>
    <xf numFmtId="0" fontId="27" fillId="0" borderId="10" xfId="3" applyFont="1" applyFill="1" applyBorder="1" applyAlignment="1">
      <alignment horizontal="center" vertical="center" shrinkToFit="1"/>
    </xf>
    <xf numFmtId="0" fontId="27" fillId="3" borderId="9" xfId="3" applyFont="1" applyFill="1" applyBorder="1" applyAlignment="1">
      <alignment horizontal="center" vertical="center" shrinkToFit="1"/>
    </xf>
    <xf numFmtId="58" fontId="27" fillId="3" borderId="12" xfId="3" applyNumberFormat="1" applyFont="1" applyFill="1" applyBorder="1" applyAlignment="1">
      <alignment horizontal="center" vertical="center" shrinkToFit="1"/>
    </xf>
    <xf numFmtId="58" fontId="27" fillId="3" borderId="9" xfId="3" applyNumberFormat="1" applyFont="1" applyFill="1" applyBorder="1" applyAlignment="1">
      <alignment horizontal="center" vertical="center" shrinkToFit="1"/>
    </xf>
    <xf numFmtId="58" fontId="27" fillId="3" borderId="10" xfId="3" applyNumberFormat="1" applyFont="1" applyFill="1" applyBorder="1" applyAlignment="1">
      <alignment horizontal="center" vertical="center" shrinkToFit="1"/>
    </xf>
    <xf numFmtId="0" fontId="27" fillId="2" borderId="1" xfId="3" applyFont="1" applyFill="1" applyBorder="1" applyAlignment="1">
      <alignment horizontal="center" vertical="center"/>
    </xf>
    <xf numFmtId="0" fontId="27" fillId="2" borderId="30"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3" xfId="3" applyFont="1" applyFill="1" applyBorder="1" applyAlignment="1">
      <alignment horizontal="center" vertical="center" wrapText="1"/>
    </xf>
    <xf numFmtId="0" fontId="27" fillId="2" borderId="31" xfId="3" applyFont="1" applyFill="1" applyBorder="1" applyAlignment="1">
      <alignment horizontal="center" vertical="center" wrapText="1"/>
    </xf>
    <xf numFmtId="0" fontId="27" fillId="2" borderId="5" xfId="3" applyFont="1" applyFill="1" applyBorder="1" applyAlignment="1">
      <alignment horizontal="center" vertical="center" wrapText="1"/>
    </xf>
    <xf numFmtId="0" fontId="27" fillId="2" borderId="6" xfId="3" applyFont="1" applyFill="1" applyBorder="1" applyAlignment="1">
      <alignment horizontal="center" vertical="center" wrapText="1"/>
    </xf>
    <xf numFmtId="0" fontId="27" fillId="2" borderId="4"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12"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0" fontId="27" fillId="2" borderId="11" xfId="0" applyFont="1" applyFill="1" applyBorder="1" applyAlignment="1">
      <alignment horizontal="distributed" vertical="center" shrinkToFit="1"/>
    </xf>
    <xf numFmtId="0" fontId="27" fillId="0" borderId="12" xfId="3" applyFont="1" applyFill="1" applyBorder="1" applyAlignment="1">
      <alignment vertical="top"/>
    </xf>
    <xf numFmtId="0" fontId="27" fillId="0" borderId="9" xfId="3" applyFont="1" applyFill="1" applyBorder="1" applyAlignment="1">
      <alignment vertical="top"/>
    </xf>
    <xf numFmtId="0" fontId="27" fillId="0" borderId="10" xfId="3" applyFont="1" applyFill="1" applyBorder="1" applyAlignment="1">
      <alignment vertical="top"/>
    </xf>
    <xf numFmtId="0" fontId="27" fillId="2" borderId="12"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11" xfId="3" applyFont="1" applyFill="1" applyBorder="1" applyAlignment="1">
      <alignment horizontal="left" vertical="top"/>
    </xf>
    <xf numFmtId="0" fontId="27" fillId="2" borderId="3" xfId="3" applyFont="1" applyFill="1" applyBorder="1" applyAlignment="1">
      <alignment vertical="center" wrapText="1" shrinkToFit="1"/>
    </xf>
    <xf numFmtId="0" fontId="27" fillId="2" borderId="4" xfId="3" applyFont="1" applyFill="1" applyBorder="1" applyAlignment="1">
      <alignment vertical="center" wrapText="1" shrinkToFit="1"/>
    </xf>
    <xf numFmtId="0" fontId="27" fillId="2" borderId="7" xfId="3" applyFont="1" applyFill="1" applyBorder="1" applyAlignment="1">
      <alignment vertical="center" wrapText="1" shrinkToFit="1"/>
    </xf>
    <xf numFmtId="0" fontId="27" fillId="2" borderId="8" xfId="3" applyFont="1" applyFill="1" applyBorder="1" applyAlignment="1">
      <alignment vertical="center" wrapText="1" shrinkToFit="1"/>
    </xf>
    <xf numFmtId="196" fontId="27" fillId="0" borderId="3" xfId="3" applyNumberFormat="1" applyFont="1" applyFill="1" applyBorder="1" applyAlignment="1">
      <alignment horizontal="center" vertical="center" wrapText="1"/>
    </xf>
    <xf numFmtId="196" fontId="27" fillId="0" borderId="31" xfId="3" applyNumberFormat="1" applyFont="1" applyFill="1" applyBorder="1" applyAlignment="1">
      <alignment horizontal="center" vertical="center" wrapText="1"/>
    </xf>
    <xf numFmtId="196" fontId="27" fillId="0" borderId="7" xfId="3" applyNumberFormat="1" applyFont="1" applyFill="1" applyBorder="1" applyAlignment="1">
      <alignment horizontal="center" vertical="center" wrapText="1"/>
    </xf>
    <xf numFmtId="196" fontId="27" fillId="0" borderId="13" xfId="3" applyNumberFormat="1" applyFont="1" applyFill="1" applyBorder="1" applyAlignment="1">
      <alignment horizontal="center" vertical="center" wrapText="1"/>
    </xf>
    <xf numFmtId="183" fontId="27" fillId="3" borderId="115" xfId="3" applyNumberFormat="1" applyFont="1" applyFill="1" applyBorder="1" applyAlignment="1">
      <alignment horizontal="center" wrapText="1"/>
    </xf>
    <xf numFmtId="183" fontId="27" fillId="3" borderId="117" xfId="3" applyNumberFormat="1" applyFont="1" applyFill="1" applyBorder="1" applyAlignment="1">
      <alignment horizontal="center" wrapText="1"/>
    </xf>
    <xf numFmtId="0" fontId="27" fillId="2" borderId="7" xfId="3" applyFont="1" applyFill="1" applyBorder="1" applyAlignment="1">
      <alignment vertical="center" shrinkToFit="1"/>
    </xf>
    <xf numFmtId="0" fontId="27" fillId="2" borderId="8" xfId="3" applyFont="1" applyFill="1" applyBorder="1" applyAlignment="1">
      <alignment vertical="center" shrinkToFit="1"/>
    </xf>
    <xf numFmtId="0" fontId="27" fillId="2" borderId="13" xfId="3" applyFont="1" applyFill="1" applyBorder="1" applyAlignment="1">
      <alignment vertical="center" shrinkToFit="1"/>
    </xf>
    <xf numFmtId="183" fontId="27" fillId="3" borderId="120" xfId="3" applyNumberFormat="1" applyFont="1" applyFill="1" applyBorder="1" applyAlignment="1">
      <alignment horizontal="center" wrapText="1"/>
    </xf>
    <xf numFmtId="183" fontId="27" fillId="3" borderId="122" xfId="3" applyNumberFormat="1" applyFont="1" applyFill="1" applyBorder="1" applyAlignment="1">
      <alignment horizontal="center" wrapText="1"/>
    </xf>
    <xf numFmtId="0" fontId="27" fillId="2" borderId="3" xfId="3" applyFont="1" applyFill="1" applyBorder="1" applyAlignment="1">
      <alignment vertical="center" shrinkToFit="1"/>
    </xf>
    <xf numFmtId="0" fontId="27" fillId="2" borderId="4" xfId="3" applyFont="1" applyFill="1" applyBorder="1" applyAlignment="1">
      <alignment vertical="center" shrinkToFit="1"/>
    </xf>
    <xf numFmtId="0" fontId="27" fillId="2" borderId="31" xfId="3" applyFont="1" applyFill="1" applyBorder="1" applyAlignment="1">
      <alignment vertical="center" shrinkToFit="1"/>
    </xf>
    <xf numFmtId="183" fontId="27" fillId="3" borderId="115" xfId="3" quotePrefix="1" applyNumberFormat="1" applyFont="1" applyFill="1" applyBorder="1" applyAlignment="1">
      <alignment horizontal="center" wrapText="1"/>
    </xf>
    <xf numFmtId="3" fontId="27" fillId="3" borderId="11" xfId="3" applyNumberFormat="1" applyFont="1" applyFill="1" applyBorder="1" applyAlignment="1">
      <alignment horizontal="center" vertical="center" shrinkToFit="1"/>
    </xf>
    <xf numFmtId="0" fontId="27" fillId="2" borderId="2" xfId="3" applyFont="1" applyFill="1" applyBorder="1" applyAlignment="1">
      <alignment horizontal="center" vertical="center" wrapText="1"/>
    </xf>
    <xf numFmtId="0" fontId="27" fillId="2" borderId="11" xfId="3" applyFont="1" applyFill="1" applyBorder="1" applyAlignment="1">
      <alignment vertical="center" wrapText="1"/>
    </xf>
    <xf numFmtId="0" fontId="27" fillId="2" borderId="31" xfId="3" applyFont="1" applyFill="1" applyBorder="1" applyAlignment="1">
      <alignment horizontal="center" vertical="center"/>
    </xf>
    <xf numFmtId="0" fontId="27" fillId="2" borderId="6" xfId="3" applyFont="1" applyFill="1" applyBorder="1" applyAlignment="1">
      <alignment horizontal="center" vertical="center"/>
    </xf>
    <xf numFmtId="0" fontId="27" fillId="2" borderId="13" xfId="3" applyFont="1" applyFill="1" applyBorder="1" applyAlignment="1">
      <alignment horizontal="center" vertical="center"/>
    </xf>
    <xf numFmtId="0" fontId="27" fillId="2" borderId="12" xfId="3" applyFont="1" applyFill="1" applyBorder="1" applyAlignment="1">
      <alignment horizontal="center" vertical="top"/>
    </xf>
    <xf numFmtId="0" fontId="27" fillId="2" borderId="9" xfId="3" applyFont="1" applyFill="1" applyBorder="1" applyAlignment="1">
      <alignment horizontal="center" vertical="top"/>
    </xf>
    <xf numFmtId="0" fontId="27" fillId="2" borderId="10" xfId="3" applyFont="1" applyFill="1" applyBorder="1" applyAlignment="1">
      <alignment horizontal="center" vertical="top"/>
    </xf>
    <xf numFmtId="0" fontId="27" fillId="2" borderId="12" xfId="3" applyFont="1" applyFill="1" applyBorder="1" applyAlignment="1">
      <alignment vertical="top"/>
    </xf>
    <xf numFmtId="0" fontId="27" fillId="2" borderId="9" xfId="3" applyFont="1" applyFill="1" applyBorder="1" applyAlignment="1">
      <alignment vertical="top"/>
    </xf>
    <xf numFmtId="0" fontId="27" fillId="2" borderId="10" xfId="3" applyFont="1" applyFill="1" applyBorder="1" applyAlignment="1">
      <alignment vertical="top"/>
    </xf>
    <xf numFmtId="0" fontId="27" fillId="2" borderId="7"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13" xfId="3" applyFont="1" applyFill="1" applyBorder="1" applyAlignment="1">
      <alignment horizontal="center" vertical="center" wrapText="1"/>
    </xf>
    <xf numFmtId="0" fontId="27" fillId="3" borderId="12" xfId="3" applyNumberFormat="1" applyFont="1" applyFill="1" applyBorder="1" applyAlignment="1">
      <alignment horizontal="center" vertical="center" shrinkToFit="1"/>
    </xf>
    <xf numFmtId="0" fontId="27" fillId="3" borderId="10" xfId="3" applyNumberFormat="1" applyFont="1" applyFill="1" applyBorder="1" applyAlignment="1">
      <alignment horizontal="center" vertical="center" shrinkToFit="1"/>
    </xf>
    <xf numFmtId="0" fontId="30" fillId="2" borderId="3" xfId="3" applyFont="1" applyFill="1" applyBorder="1" applyAlignment="1">
      <alignment vertical="center" wrapText="1" shrinkToFit="1"/>
    </xf>
    <xf numFmtId="0" fontId="30" fillId="2" borderId="4" xfId="3" applyFont="1" applyFill="1" applyBorder="1" applyAlignment="1">
      <alignment vertical="center" wrapText="1" shrinkToFit="1"/>
    </xf>
    <xf numFmtId="0" fontId="30" fillId="2" borderId="31" xfId="3" applyFont="1" applyFill="1" applyBorder="1" applyAlignment="1">
      <alignment vertical="center" wrapText="1" shrinkToFit="1"/>
    </xf>
    <xf numFmtId="0" fontId="30" fillId="2" borderId="7" xfId="3" applyFont="1" applyFill="1" applyBorder="1" applyAlignment="1">
      <alignment vertical="center" wrapText="1" shrinkToFit="1"/>
    </xf>
    <xf numFmtId="0" fontId="30" fillId="2" borderId="8" xfId="3" applyFont="1" applyFill="1" applyBorder="1" applyAlignment="1">
      <alignment vertical="center" wrapText="1" shrinkToFit="1"/>
    </xf>
    <xf numFmtId="0" fontId="30" fillId="2" borderId="13" xfId="3" applyFont="1" applyFill="1" applyBorder="1" applyAlignment="1">
      <alignment vertical="center" wrapText="1" shrinkToFit="1"/>
    </xf>
    <xf numFmtId="196" fontId="27" fillId="2" borderId="3" xfId="3" applyNumberFormat="1" applyFont="1" applyFill="1" applyBorder="1" applyAlignment="1">
      <alignment horizontal="center" vertical="center" wrapText="1"/>
    </xf>
    <xf numFmtId="196" fontId="27" fillId="2" borderId="31" xfId="3" applyNumberFormat="1" applyFont="1" applyFill="1" applyBorder="1" applyAlignment="1">
      <alignment horizontal="center" vertical="center" wrapText="1"/>
    </xf>
    <xf numFmtId="196" fontId="27" fillId="2" borderId="7" xfId="3" applyNumberFormat="1" applyFont="1" applyFill="1" applyBorder="1" applyAlignment="1">
      <alignment horizontal="center" vertical="center" wrapText="1"/>
    </xf>
    <xf numFmtId="196" fontId="27" fillId="2" borderId="13" xfId="3" applyNumberFormat="1" applyFont="1" applyFill="1" applyBorder="1" applyAlignment="1">
      <alignment horizontal="center" vertical="center" wrapText="1"/>
    </xf>
    <xf numFmtId="183" fontId="27" fillId="0" borderId="133" xfId="3" applyNumberFormat="1" applyFont="1" applyFill="1" applyBorder="1" applyAlignment="1">
      <alignment horizontal="center" wrapText="1"/>
    </xf>
    <xf numFmtId="183" fontId="27" fillId="0" borderId="134" xfId="3" applyNumberFormat="1" applyFont="1" applyFill="1" applyBorder="1" applyAlignment="1">
      <alignment horizontal="center" wrapText="1"/>
    </xf>
    <xf numFmtId="183" fontId="27" fillId="0" borderId="197" xfId="3" applyNumberFormat="1" applyFont="1" applyFill="1" applyBorder="1" applyAlignment="1">
      <alignment horizontal="center" wrapText="1"/>
    </xf>
    <xf numFmtId="183" fontId="27" fillId="0" borderId="198" xfId="3" applyNumberFormat="1" applyFont="1" applyFill="1" applyBorder="1" applyAlignment="1">
      <alignment horizontal="center" wrapText="1"/>
    </xf>
    <xf numFmtId="183" fontId="27" fillId="0" borderId="162" xfId="3" applyNumberFormat="1" applyFont="1" applyFill="1" applyBorder="1" applyAlignment="1">
      <alignment horizontal="center" wrapText="1"/>
    </xf>
    <xf numFmtId="183" fontId="27" fillId="0" borderId="199" xfId="3" applyNumberFormat="1" applyFont="1" applyFill="1" applyBorder="1" applyAlignment="1">
      <alignment horizontal="center" wrapText="1"/>
    </xf>
    <xf numFmtId="0" fontId="27" fillId="2" borderId="5" xfId="3" applyFont="1" applyFill="1" applyBorder="1" applyAlignment="1">
      <alignment vertical="center" wrapText="1" shrinkToFit="1"/>
    </xf>
    <xf numFmtId="0" fontId="27" fillId="2" borderId="0" xfId="3" applyFont="1" applyFill="1" applyBorder="1" applyAlignment="1">
      <alignment vertical="center" wrapText="1" shrinkToFit="1"/>
    </xf>
    <xf numFmtId="0" fontId="27" fillId="2" borderId="6" xfId="3" applyFont="1" applyFill="1" applyBorder="1" applyAlignment="1">
      <alignment vertical="center" wrapText="1" shrinkToFit="1"/>
    </xf>
    <xf numFmtId="0" fontId="27" fillId="2" borderId="13" xfId="3" applyFont="1" applyFill="1" applyBorder="1" applyAlignment="1">
      <alignment vertical="center" wrapText="1" shrinkToFit="1"/>
    </xf>
    <xf numFmtId="0" fontId="27" fillId="2" borderId="1" xfId="3" applyFont="1" applyFill="1" applyBorder="1" applyAlignment="1">
      <alignment horizontal="center" vertical="center" textRotation="255"/>
    </xf>
    <xf numFmtId="0" fontId="27" fillId="2" borderId="30" xfId="3" applyFont="1" applyFill="1" applyBorder="1" applyAlignment="1">
      <alignment horizontal="center" vertical="center" textRotation="255"/>
    </xf>
    <xf numFmtId="0" fontId="27" fillId="2" borderId="2" xfId="3" applyFont="1" applyFill="1" applyBorder="1" applyAlignment="1">
      <alignment horizontal="center" vertical="center" textRotation="255"/>
    </xf>
    <xf numFmtId="183" fontId="27" fillId="3" borderId="117" xfId="3" quotePrefix="1" applyNumberFormat="1" applyFont="1" applyFill="1" applyBorder="1" applyAlignment="1">
      <alignment horizontal="center" wrapText="1"/>
    </xf>
    <xf numFmtId="0" fontId="27" fillId="2" borderId="31" xfId="3" applyFont="1" applyFill="1" applyBorder="1" applyAlignment="1">
      <alignment vertical="center" wrapText="1" shrinkToFit="1"/>
    </xf>
    <xf numFmtId="0" fontId="27" fillId="2" borderId="5" xfId="3" applyFont="1" applyFill="1" applyBorder="1" applyAlignment="1">
      <alignment vertical="center" shrinkToFit="1"/>
    </xf>
    <xf numFmtId="0" fontId="27" fillId="2" borderId="0" xfId="3" applyFont="1" applyFill="1" applyBorder="1" applyAlignment="1">
      <alignment vertical="center" shrinkToFit="1"/>
    </xf>
    <xf numFmtId="0" fontId="27" fillId="2" borderId="6" xfId="3" applyFont="1" applyFill="1" applyBorder="1" applyAlignment="1">
      <alignment vertical="center" shrinkToFit="1"/>
    </xf>
    <xf numFmtId="196" fontId="27" fillId="2" borderId="133" xfId="3" applyNumberFormat="1" applyFont="1" applyFill="1" applyBorder="1" applyAlignment="1">
      <alignment horizontal="center" vertical="center" wrapText="1"/>
    </xf>
    <xf numFmtId="196" fontId="27" fillId="2" borderId="134" xfId="3" applyNumberFormat="1" applyFont="1" applyFill="1" applyBorder="1" applyAlignment="1">
      <alignment horizontal="center" vertical="center" wrapText="1"/>
    </xf>
    <xf numFmtId="196" fontId="27" fillId="2" borderId="197" xfId="3" applyNumberFormat="1" applyFont="1" applyFill="1" applyBorder="1" applyAlignment="1">
      <alignment horizontal="center" vertical="center" wrapText="1"/>
    </xf>
    <xf numFmtId="196" fontId="27" fillId="2" borderId="198" xfId="3" applyNumberFormat="1" applyFont="1" applyFill="1" applyBorder="1" applyAlignment="1">
      <alignment horizontal="center" vertical="center" wrapText="1"/>
    </xf>
    <xf numFmtId="196" fontId="27" fillId="2" borderId="162" xfId="3" applyNumberFormat="1" applyFont="1" applyFill="1" applyBorder="1" applyAlignment="1">
      <alignment horizontal="center" vertical="center" wrapText="1"/>
    </xf>
    <xf numFmtId="196" fontId="27" fillId="2" borderId="199" xfId="3" applyNumberFormat="1" applyFont="1" applyFill="1" applyBorder="1" applyAlignment="1">
      <alignment horizontal="center" vertical="center" wrapText="1"/>
    </xf>
    <xf numFmtId="3" fontId="14" fillId="0" borderId="11" xfId="8" applyNumberFormat="1" applyFont="1" applyBorder="1" applyAlignment="1">
      <alignment horizontal="left" vertical="center"/>
    </xf>
    <xf numFmtId="3" fontId="16" fillId="0" borderId="11" xfId="8" applyNumberFormat="1" applyFont="1" applyBorder="1" applyAlignment="1">
      <alignment horizontal="left" vertical="center"/>
    </xf>
    <xf numFmtId="192" fontId="16" fillId="0" borderId="11" xfId="8" applyNumberFormat="1" applyFont="1" applyBorder="1" applyAlignment="1">
      <alignment horizontal="lef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3" fontId="17" fillId="0" borderId="11" xfId="8" quotePrefix="1" applyNumberFormat="1" applyFont="1" applyFill="1" applyBorder="1" applyAlignment="1">
      <alignment horizontal="left" vertical="center"/>
    </xf>
    <xf numFmtId="3" fontId="16" fillId="0" borderId="11" xfId="8" quotePrefix="1" applyNumberFormat="1" applyFont="1" applyFill="1" applyBorder="1" applyAlignment="1">
      <alignment horizontal="left" vertical="center"/>
    </xf>
    <xf numFmtId="3" fontId="16" fillId="0" borderId="11" xfId="8" quotePrefix="1" applyNumberFormat="1" applyFont="1" applyBorder="1" applyAlignment="1">
      <alignment horizontal="left" vertical="center"/>
    </xf>
    <xf numFmtId="192" fontId="14" fillId="0" borderId="11" xfId="8" applyNumberFormat="1" applyFont="1" applyFill="1" applyBorder="1" applyAlignment="1">
      <alignment horizontal="left" vertical="center"/>
    </xf>
    <xf numFmtId="192" fontId="16" fillId="0" borderId="11" xfId="8" applyNumberFormat="1" applyFont="1" applyFill="1" applyBorder="1" applyAlignment="1">
      <alignment horizontal="left" vertical="center"/>
    </xf>
    <xf numFmtId="3" fontId="20" fillId="0" borderId="1" xfId="8" applyNumberFormat="1" applyFont="1" applyFill="1" applyBorder="1" applyAlignment="1">
      <alignment vertical="center"/>
    </xf>
    <xf numFmtId="3" fontId="20" fillId="0" borderId="2" xfId="8" applyNumberFormat="1" applyFont="1" applyFill="1" applyBorder="1" applyAlignment="1">
      <alignment vertical="center"/>
    </xf>
    <xf numFmtId="0" fontId="19" fillId="0" borderId="0" xfId="0" applyFont="1" applyFill="1" applyAlignment="1">
      <alignment horizontal="center" vertical="center"/>
    </xf>
    <xf numFmtId="3" fontId="20" fillId="0" borderId="11" xfId="8" quotePrefix="1" applyNumberFormat="1" applyFont="1" applyFill="1" applyBorder="1" applyAlignment="1">
      <alignment horizontal="left" vertical="center"/>
    </xf>
    <xf numFmtId="192" fontId="20" fillId="0" borderId="1" xfId="8" applyNumberFormat="1" applyFont="1" applyFill="1" applyBorder="1" applyAlignment="1">
      <alignment vertical="center"/>
    </xf>
    <xf numFmtId="192" fontId="20" fillId="0" borderId="30" xfId="8" applyNumberFormat="1" applyFont="1" applyFill="1" applyBorder="1" applyAlignment="1">
      <alignment vertical="center"/>
    </xf>
    <xf numFmtId="192" fontId="20" fillId="0" borderId="2" xfId="8" applyNumberFormat="1" applyFont="1" applyFill="1" applyBorder="1" applyAlignment="1">
      <alignment vertical="center"/>
    </xf>
    <xf numFmtId="3" fontId="14" fillId="0" borderId="11" xfId="8" applyNumberFormat="1" applyFont="1" applyFill="1" applyBorder="1" applyAlignment="1">
      <alignment horizontal="left" vertical="center"/>
    </xf>
    <xf numFmtId="3" fontId="16" fillId="0" borderId="11" xfId="8" applyNumberFormat="1" applyFont="1" applyFill="1" applyBorder="1" applyAlignment="1">
      <alignment horizontal="left" vertical="center"/>
    </xf>
    <xf numFmtId="3" fontId="20" fillId="0" borderId="1" xfId="8" quotePrefix="1" applyNumberFormat="1" applyFont="1" applyFill="1" applyBorder="1" applyAlignment="1">
      <alignment vertical="center"/>
    </xf>
    <xf numFmtId="3" fontId="20" fillId="0" borderId="30" xfId="8" quotePrefix="1" applyNumberFormat="1" applyFont="1" applyFill="1" applyBorder="1" applyAlignment="1">
      <alignment vertical="center"/>
    </xf>
    <xf numFmtId="3" fontId="20" fillId="0" borderId="2" xfId="8" quotePrefix="1" applyNumberFormat="1" applyFont="1" applyFill="1" applyBorder="1" applyAlignment="1">
      <alignment vertical="center"/>
    </xf>
    <xf numFmtId="3" fontId="20" fillId="0" borderId="11" xfId="8" applyNumberFormat="1" applyFont="1" applyFill="1" applyBorder="1" applyAlignment="1">
      <alignment horizontal="left" vertical="center"/>
    </xf>
    <xf numFmtId="0" fontId="19" fillId="0" borderId="101" xfId="0" applyFont="1" applyFill="1" applyBorder="1" applyAlignment="1">
      <alignment horizontal="center" vertical="center"/>
    </xf>
    <xf numFmtId="0" fontId="19" fillId="0" borderId="102" xfId="0" applyFont="1" applyFill="1" applyBorder="1" applyAlignment="1">
      <alignment horizontal="center" vertical="center"/>
    </xf>
    <xf numFmtId="0" fontId="19" fillId="0" borderId="103" xfId="0" applyFont="1" applyFill="1" applyBorder="1" applyAlignment="1">
      <alignment horizontal="center" vertical="center"/>
    </xf>
    <xf numFmtId="178" fontId="26" fillId="0" borderId="1" xfId="9" applyNumberFormat="1" applyFont="1" applyFill="1" applyBorder="1" applyAlignment="1">
      <alignment horizontal="right" vertical="center"/>
    </xf>
    <xf numFmtId="178" fontId="26" fillId="0" borderId="2" xfId="9" applyNumberFormat="1" applyFont="1" applyFill="1" applyBorder="1" applyAlignment="1">
      <alignment horizontal="right" vertical="center"/>
    </xf>
    <xf numFmtId="197" fontId="22" fillId="0" borderId="30" xfId="9" applyNumberFormat="1" applyFont="1" applyFill="1" applyBorder="1" applyAlignment="1">
      <alignment horizontal="center" vertical="center"/>
    </xf>
    <xf numFmtId="38" fontId="26" fillId="0" borderId="1" xfId="5" applyFont="1" applyFill="1" applyBorder="1" applyAlignment="1">
      <alignment horizontal="right" vertical="center"/>
    </xf>
    <xf numFmtId="38" fontId="26" fillId="0" borderId="2" xfId="5" applyFont="1" applyFill="1" applyBorder="1" applyAlignment="1">
      <alignment horizontal="right" vertical="center"/>
    </xf>
    <xf numFmtId="178" fontId="26" fillId="0" borderId="0" xfId="9" applyNumberFormat="1" applyFont="1" applyFill="1" applyBorder="1" applyAlignment="1">
      <alignment horizontal="right" vertical="center"/>
    </xf>
    <xf numFmtId="0" fontId="0" fillId="0" borderId="1" xfId="0" applyFont="1" applyBorder="1" applyAlignment="1">
      <alignment horizontal="center" vertical="center" wrapText="1"/>
    </xf>
    <xf numFmtId="0" fontId="0" fillId="0" borderId="30" xfId="0" applyFont="1" applyBorder="1" applyAlignment="1">
      <alignment horizontal="center" vertical="center" wrapText="1"/>
    </xf>
    <xf numFmtId="3" fontId="26" fillId="0" borderId="3" xfId="9" applyNumberFormat="1" applyFont="1" applyFill="1" applyBorder="1" applyAlignment="1">
      <alignment horizontal="center" vertical="center" wrapText="1"/>
    </xf>
    <xf numFmtId="3" fontId="26" fillId="0" borderId="31" xfId="9" applyNumberFormat="1" applyFont="1" applyFill="1" applyBorder="1" applyAlignment="1">
      <alignment horizontal="center" vertical="center" wrapText="1"/>
    </xf>
    <xf numFmtId="3" fontId="26" fillId="0" borderId="5" xfId="9" applyNumberFormat="1" applyFont="1" applyFill="1" applyBorder="1" applyAlignment="1">
      <alignment horizontal="center" vertical="center" wrapText="1"/>
    </xf>
    <xf numFmtId="3" fontId="26" fillId="0" borderId="6" xfId="9" applyNumberFormat="1" applyFont="1" applyFill="1" applyBorder="1" applyAlignment="1">
      <alignment horizontal="center" vertical="center" wrapText="1"/>
    </xf>
    <xf numFmtId="3" fontId="26" fillId="0" borderId="3" xfId="9" applyNumberFormat="1" applyFont="1" applyFill="1" applyBorder="1" applyAlignment="1">
      <alignment horizontal="center" vertical="center"/>
    </xf>
    <xf numFmtId="3" fontId="26" fillId="0" borderId="4" xfId="9" applyNumberFormat="1" applyFont="1" applyFill="1" applyBorder="1" applyAlignment="1">
      <alignment horizontal="center" vertical="center"/>
    </xf>
    <xf numFmtId="3" fontId="26" fillId="0" borderId="31" xfId="9" applyNumberFormat="1" applyFont="1" applyFill="1" applyBorder="1" applyAlignment="1">
      <alignment horizontal="center" vertical="center"/>
    </xf>
    <xf numFmtId="3" fontId="26" fillId="0" borderId="5" xfId="9" applyNumberFormat="1" applyFont="1" applyFill="1" applyBorder="1" applyAlignment="1">
      <alignment horizontal="center" vertical="center"/>
    </xf>
    <xf numFmtId="3" fontId="26" fillId="0" borderId="0" xfId="9" applyNumberFormat="1" applyFont="1" applyFill="1" applyBorder="1" applyAlignment="1">
      <alignment horizontal="center" vertical="center"/>
    </xf>
    <xf numFmtId="3" fontId="26" fillId="0" borderId="6" xfId="9" applyNumberFormat="1" applyFont="1" applyFill="1" applyBorder="1" applyAlignment="1">
      <alignment horizontal="center" vertical="center"/>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201" fontId="26" fillId="0" borderId="1" xfId="9" applyNumberFormat="1" applyFont="1" applyFill="1" applyBorder="1" applyAlignment="1">
      <alignment horizontal="right" vertical="center"/>
    </xf>
    <xf numFmtId="201" fontId="26" fillId="0" borderId="2" xfId="9" applyNumberFormat="1" applyFont="1" applyFill="1" applyBorder="1" applyAlignment="1">
      <alignment horizontal="righ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185" fontId="0" fillId="0" borderId="3" xfId="0" applyNumberFormat="1" applyFont="1" applyBorder="1" applyAlignment="1">
      <alignment horizontal="center" vertical="center" wrapText="1"/>
    </xf>
    <xf numFmtId="185" fontId="0" fillId="0" borderId="4" xfId="0" applyNumberFormat="1" applyFont="1" applyBorder="1" applyAlignment="1">
      <alignment horizontal="center" vertical="center" wrapText="1"/>
    </xf>
    <xf numFmtId="185" fontId="0" fillId="0" borderId="31" xfId="0" applyNumberFormat="1" applyFont="1" applyBorder="1" applyAlignment="1">
      <alignment horizontal="center" vertical="center" wrapText="1"/>
    </xf>
    <xf numFmtId="185" fontId="0" fillId="0" borderId="5" xfId="0" applyNumberFormat="1" applyFont="1" applyBorder="1" applyAlignment="1">
      <alignment horizontal="center" vertical="center" wrapText="1"/>
    </xf>
    <xf numFmtId="185" fontId="0" fillId="0" borderId="0" xfId="0" applyNumberFormat="1" applyFont="1" applyBorder="1" applyAlignment="1">
      <alignment horizontal="center" vertical="center" wrapText="1"/>
    </xf>
    <xf numFmtId="185" fontId="0" fillId="0" borderId="6" xfId="0" applyNumberFormat="1" applyFont="1" applyBorder="1" applyAlignment="1">
      <alignment horizontal="center" vertical="center" wrapText="1"/>
    </xf>
    <xf numFmtId="186" fontId="0" fillId="0" borderId="1" xfId="0" applyNumberFormat="1" applyFont="1" applyBorder="1" applyAlignment="1">
      <alignment horizontal="center" vertical="center" wrapText="1"/>
    </xf>
    <xf numFmtId="186" fontId="0" fillId="0" borderId="30" xfId="0" applyNumberFormat="1" applyFont="1" applyBorder="1" applyAlignment="1">
      <alignment horizontal="center" vertical="center" wrapText="1"/>
    </xf>
    <xf numFmtId="187" fontId="0" fillId="0" borderId="3" xfId="0" applyNumberFormat="1" applyFont="1" applyBorder="1" applyAlignment="1">
      <alignment horizontal="center" vertical="center" wrapText="1"/>
    </xf>
    <xf numFmtId="187" fontId="0" fillId="0" borderId="31" xfId="0" applyNumberFormat="1" applyFont="1" applyBorder="1" applyAlignment="1">
      <alignment horizontal="center" vertical="center" wrapText="1"/>
    </xf>
    <xf numFmtId="3" fontId="22" fillId="0" borderId="3" xfId="9" applyNumberFormat="1" applyFont="1" applyFill="1" applyBorder="1" applyAlignment="1">
      <alignment horizontal="center" vertical="center"/>
    </xf>
    <xf numFmtId="3" fontId="22" fillId="0" borderId="4" xfId="9" applyNumberFormat="1" applyFont="1" applyFill="1" applyBorder="1" applyAlignment="1">
      <alignment horizontal="center" vertical="center"/>
    </xf>
    <xf numFmtId="3" fontId="22" fillId="0" borderId="31" xfId="9" applyNumberFormat="1" applyFont="1" applyFill="1" applyBorder="1" applyAlignment="1">
      <alignment horizontal="center" vertical="center"/>
    </xf>
    <xf numFmtId="3" fontId="22" fillId="0" borderId="5" xfId="9" applyNumberFormat="1" applyFont="1" applyFill="1" applyBorder="1" applyAlignment="1">
      <alignment horizontal="center" vertical="center"/>
    </xf>
    <xf numFmtId="3" fontId="22" fillId="0" borderId="0" xfId="9" applyNumberFormat="1" applyFont="1" applyFill="1" applyBorder="1" applyAlignment="1">
      <alignment horizontal="center" vertical="center"/>
    </xf>
    <xf numFmtId="3" fontId="22" fillId="0" borderId="6" xfId="9" applyNumberFormat="1" applyFont="1" applyFill="1" applyBorder="1" applyAlignment="1">
      <alignment horizontal="center" vertical="center"/>
    </xf>
    <xf numFmtId="3" fontId="22" fillId="0" borderId="1" xfId="9" applyNumberFormat="1" applyFont="1" applyFill="1" applyBorder="1" applyAlignment="1">
      <alignment horizontal="center" vertical="center" wrapText="1"/>
    </xf>
    <xf numFmtId="3" fontId="22" fillId="0" borderId="30" xfId="9" applyNumberFormat="1" applyFont="1" applyFill="1" applyBorder="1" applyAlignment="1">
      <alignment horizontal="center" vertical="center" wrapText="1"/>
    </xf>
    <xf numFmtId="185" fontId="0" fillId="0" borderId="7" xfId="0" applyNumberFormat="1" applyFont="1" applyBorder="1" applyAlignment="1">
      <alignment horizontal="center" vertical="center"/>
    </xf>
    <xf numFmtId="185" fontId="0" fillId="0" borderId="8" xfId="0" applyNumberFormat="1" applyFont="1" applyBorder="1" applyAlignment="1">
      <alignment horizontal="center" vertical="center"/>
    </xf>
    <xf numFmtId="185" fontId="0" fillId="0" borderId="13" xfId="0" applyNumberFormat="1" applyFont="1" applyBorder="1" applyAlignment="1">
      <alignment horizontal="center" vertical="center"/>
    </xf>
    <xf numFmtId="0" fontId="0" fillId="0" borderId="11" xfId="0" applyFont="1" applyBorder="1" applyAlignment="1">
      <alignment horizontal="center" vertical="center" wrapText="1"/>
    </xf>
    <xf numFmtId="178" fontId="22" fillId="0" borderId="7" xfId="9" applyNumberFormat="1" applyFont="1" applyFill="1" applyBorder="1" applyAlignment="1">
      <alignment horizontal="center" vertical="center" wrapText="1"/>
    </xf>
    <xf numFmtId="178" fontId="22" fillId="0" borderId="8" xfId="9" applyNumberFormat="1" applyFont="1" applyFill="1" applyBorder="1" applyAlignment="1">
      <alignment horizontal="center" vertical="center" wrapText="1"/>
    </xf>
    <xf numFmtId="178" fontId="22" fillId="0" borderId="13" xfId="9" applyNumberFormat="1" applyFont="1" applyFill="1" applyBorder="1" applyAlignment="1">
      <alignment horizontal="center" vertical="center" wrapText="1"/>
    </xf>
    <xf numFmtId="178" fontId="26" fillId="0" borderId="7" xfId="9" applyNumberFormat="1" applyFont="1" applyFill="1" applyBorder="1" applyAlignment="1">
      <alignment horizontal="center" vertical="center" wrapText="1"/>
    </xf>
    <xf numFmtId="178" fontId="26" fillId="0" borderId="13" xfId="9" applyNumberFormat="1" applyFont="1" applyFill="1" applyBorder="1" applyAlignment="1">
      <alignment horizontal="center" vertical="center" wrapText="1"/>
    </xf>
    <xf numFmtId="178" fontId="26" fillId="0" borderId="8" xfId="9" applyNumberFormat="1" applyFont="1" applyFill="1" applyBorder="1" applyAlignment="1">
      <alignment horizontal="center" vertical="center" wrapText="1"/>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78" fontId="26" fillId="0" borderId="0" xfId="9" applyNumberFormat="1" applyFont="1" applyFill="1" applyBorder="1" applyAlignment="1">
      <alignment horizontal="center" vertical="center"/>
    </xf>
    <xf numFmtId="0" fontId="14" fillId="0" borderId="3" xfId="0" applyFont="1" applyFill="1" applyBorder="1" applyAlignment="1">
      <alignment vertical="center" wrapText="1"/>
    </xf>
    <xf numFmtId="0" fontId="2" fillId="0" borderId="7" xfId="0" applyFont="1" applyFill="1" applyBorder="1" applyAlignment="1">
      <alignment vertical="center" wrapText="1"/>
    </xf>
    <xf numFmtId="0" fontId="14" fillId="0" borderId="31" xfId="0" applyFont="1" applyFill="1" applyBorder="1" applyAlignment="1">
      <alignment vertical="center" wrapText="1"/>
    </xf>
    <xf numFmtId="0" fontId="2" fillId="0" borderId="13" xfId="0" applyFont="1" applyFill="1" applyBorder="1" applyAlignment="1">
      <alignment vertical="center" wrapText="1"/>
    </xf>
    <xf numFmtId="0" fontId="14" fillId="0" borderId="3" xfId="14" applyFont="1" applyFill="1" applyBorder="1" applyAlignment="1">
      <alignment horizontal="center" vertical="center"/>
    </xf>
    <xf numFmtId="0" fontId="14" fillId="0" borderId="7" xfId="14" applyFont="1" applyFill="1" applyBorder="1" applyAlignment="1">
      <alignment horizontal="center" vertical="center"/>
    </xf>
    <xf numFmtId="3" fontId="14" fillId="0" borderId="4" xfId="14" applyNumberFormat="1"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4" xfId="14" applyFont="1" applyFill="1" applyBorder="1" applyAlignment="1">
      <alignment horizontal="left" vertical="center" wrapText="1"/>
    </xf>
    <xf numFmtId="0" fontId="14" fillId="0" borderId="31" xfId="14" applyFont="1" applyFill="1" applyBorder="1" applyAlignment="1">
      <alignment horizontal="left" vertical="center" wrapText="1"/>
    </xf>
    <xf numFmtId="0" fontId="10" fillId="0" borderId="11" xfId="0" applyFont="1" applyFill="1" applyBorder="1" applyAlignment="1">
      <alignment vertical="center" wrapText="1"/>
    </xf>
    <xf numFmtId="0" fontId="14" fillId="0" borderId="8" xfId="14" applyFont="1" applyFill="1" applyBorder="1" applyAlignment="1">
      <alignment horizontal="left" vertical="center" wrapText="1"/>
    </xf>
    <xf numFmtId="0" fontId="14" fillId="0" borderId="13" xfId="14" applyFont="1" applyFill="1" applyBorder="1" applyAlignment="1">
      <alignment horizontal="left" vertical="center" wrapText="1"/>
    </xf>
    <xf numFmtId="178" fontId="14" fillId="0" borderId="3" xfId="7" applyNumberFormat="1" applyFont="1" applyFill="1" applyBorder="1" applyAlignment="1">
      <alignment horizontal="left" vertical="center"/>
    </xf>
    <xf numFmtId="178" fontId="14" fillId="0" borderId="5" xfId="7" applyNumberFormat="1" applyFont="1" applyFill="1" applyBorder="1" applyAlignment="1">
      <alignment horizontal="left" vertical="center"/>
    </xf>
    <xf numFmtId="178" fontId="14" fillId="0" borderId="7" xfId="7" applyNumberFormat="1" applyFont="1" applyFill="1" applyBorder="1" applyAlignment="1">
      <alignment horizontal="left" vertical="center"/>
    </xf>
    <xf numFmtId="178" fontId="14" fillId="0" borderId="31" xfId="7" applyNumberFormat="1" applyFont="1" applyFill="1" applyBorder="1" applyAlignment="1">
      <alignment horizontal="center" vertical="center"/>
    </xf>
    <xf numFmtId="178" fontId="14" fillId="0" borderId="6" xfId="7" applyNumberFormat="1" applyFont="1" applyFill="1" applyBorder="1" applyAlignment="1">
      <alignment horizontal="center" vertical="center"/>
    </xf>
    <xf numFmtId="178" fontId="14" fillId="0" borderId="13" xfId="7" applyNumberFormat="1" applyFont="1" applyFill="1" applyBorder="1" applyAlignment="1">
      <alignment horizontal="center" vertical="center"/>
    </xf>
    <xf numFmtId="0" fontId="14" fillId="0" borderId="3"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7" xfId="7" applyFont="1" applyFill="1" applyBorder="1" applyAlignment="1">
      <alignment horizontal="center" vertical="center"/>
    </xf>
    <xf numFmtId="0" fontId="14" fillId="0" borderId="4" xfId="7" applyFont="1" applyFill="1" applyBorder="1" applyAlignment="1">
      <alignment horizontal="center" wrapText="1"/>
    </xf>
    <xf numFmtId="0" fontId="14" fillId="0" borderId="4" xfId="7" applyFont="1" applyFill="1" applyBorder="1" applyAlignment="1">
      <alignment horizontal="center"/>
    </xf>
    <xf numFmtId="178" fontId="10" fillId="0" borderId="1" xfId="7" applyNumberFormat="1" applyFont="1" applyFill="1" applyBorder="1" applyAlignment="1">
      <alignment horizontal="left" vertical="center"/>
    </xf>
    <xf numFmtId="178" fontId="10" fillId="0" borderId="30" xfId="7" applyNumberFormat="1" applyFont="1" applyFill="1" applyBorder="1" applyAlignment="1">
      <alignment horizontal="left" vertical="center"/>
    </xf>
    <xf numFmtId="178" fontId="10" fillId="0" borderId="2" xfId="7" applyNumberFormat="1" applyFont="1" applyFill="1" applyBorder="1" applyAlignment="1">
      <alignment horizontal="left" vertical="center"/>
    </xf>
    <xf numFmtId="3" fontId="14" fillId="0" borderId="0" xfId="7" applyNumberFormat="1" applyFont="1" applyFill="1" applyBorder="1" applyAlignment="1">
      <alignment horizontal="right" vertical="center" wrapText="1"/>
    </xf>
    <xf numFmtId="189" fontId="14" fillId="0" borderId="0" xfId="7" applyNumberFormat="1" applyFont="1" applyFill="1" applyBorder="1" applyAlignment="1">
      <alignment horizontal="center" vertical="center"/>
    </xf>
    <xf numFmtId="0" fontId="14" fillId="0" borderId="8" xfId="7" applyFont="1" applyFill="1" applyBorder="1" applyAlignment="1">
      <alignment horizontal="left" vertical="center" wrapText="1"/>
    </xf>
    <xf numFmtId="0" fontId="14" fillId="0" borderId="13" xfId="7" applyFont="1" applyFill="1" applyBorder="1" applyAlignment="1">
      <alignment horizontal="left" vertical="center" wrapText="1"/>
    </xf>
    <xf numFmtId="0" fontId="14" fillId="0" borderId="3" xfId="7" applyFont="1" applyFill="1" applyBorder="1" applyAlignment="1">
      <alignment vertical="center" wrapText="1"/>
    </xf>
    <xf numFmtId="0" fontId="14" fillId="0" borderId="5" xfId="7" applyFont="1" applyFill="1" applyBorder="1" applyAlignment="1">
      <alignment vertical="center" wrapText="1"/>
    </xf>
    <xf numFmtId="0" fontId="14" fillId="0" borderId="7" xfId="7" applyFont="1" applyFill="1" applyBorder="1" applyAlignment="1">
      <alignment vertical="center" wrapText="1"/>
    </xf>
    <xf numFmtId="0" fontId="14" fillId="0" borderId="31" xfId="7" applyFont="1" applyFill="1" applyBorder="1" applyAlignment="1">
      <alignment vertical="center" wrapText="1"/>
    </xf>
    <xf numFmtId="0" fontId="14" fillId="0" borderId="6" xfId="7" applyFont="1" applyFill="1" applyBorder="1" applyAlignment="1">
      <alignment vertical="center" wrapText="1"/>
    </xf>
    <xf numFmtId="0" fontId="14" fillId="0" borderId="13" xfId="7" applyFont="1" applyFill="1" applyBorder="1" applyAlignment="1">
      <alignment vertical="center" wrapText="1"/>
    </xf>
    <xf numFmtId="0" fontId="14" fillId="0" borderId="1" xfId="7" applyFont="1" applyFill="1" applyBorder="1" applyAlignment="1">
      <alignment horizontal="center" vertical="center"/>
    </xf>
    <xf numFmtId="0" fontId="14" fillId="0" borderId="30" xfId="7" applyFont="1" applyFill="1" applyBorder="1" applyAlignment="1">
      <alignment horizontal="center" vertical="center"/>
    </xf>
    <xf numFmtId="0" fontId="14" fillId="0" borderId="2" xfId="7" applyFont="1" applyFill="1" applyBorder="1" applyAlignment="1">
      <alignment horizontal="center" vertical="center"/>
    </xf>
    <xf numFmtId="0" fontId="10" fillId="0" borderId="11" xfId="7" applyFont="1" applyFill="1" applyBorder="1" applyAlignment="1">
      <alignment vertical="center" wrapText="1"/>
    </xf>
    <xf numFmtId="0" fontId="14" fillId="0" borderId="8" xfId="7" applyFont="1" applyFill="1" applyBorder="1" applyAlignment="1">
      <alignment horizontal="left" vertical="top" wrapText="1"/>
    </xf>
    <xf numFmtId="0" fontId="14" fillId="0" borderId="13" xfId="7" applyFont="1" applyFill="1" applyBorder="1" applyAlignment="1">
      <alignment horizontal="left" vertical="top" wrapText="1"/>
    </xf>
    <xf numFmtId="178" fontId="10" fillId="0" borderId="1" xfId="7" applyNumberFormat="1" applyFont="1" applyFill="1" applyBorder="1" applyAlignment="1">
      <alignment horizontal="left" vertical="center" wrapText="1"/>
    </xf>
    <xf numFmtId="178" fontId="10" fillId="0" borderId="30" xfId="7" applyNumberFormat="1" applyFont="1" applyFill="1" applyBorder="1" applyAlignment="1">
      <alignment horizontal="left" vertical="center" wrapText="1"/>
    </xf>
    <xf numFmtId="178" fontId="10" fillId="0" borderId="2" xfId="7" applyNumberFormat="1" applyFont="1" applyFill="1" applyBorder="1" applyAlignment="1">
      <alignment horizontal="left" vertical="center" wrapText="1"/>
    </xf>
    <xf numFmtId="178" fontId="14" fillId="0" borderId="3" xfId="7" applyNumberFormat="1" applyFont="1" applyFill="1" applyBorder="1" applyAlignment="1">
      <alignment horizontal="left" vertical="center" wrapText="1"/>
    </xf>
    <xf numFmtId="0" fontId="14" fillId="0" borderId="3" xfId="6" applyFont="1" applyFill="1" applyBorder="1" applyAlignment="1">
      <alignment vertical="center" wrapText="1"/>
    </xf>
    <xf numFmtId="0" fontId="2" fillId="0" borderId="5" xfId="6" applyFont="1" applyFill="1" applyBorder="1" applyAlignment="1">
      <alignment vertical="center" wrapText="1"/>
    </xf>
    <xf numFmtId="0" fontId="2" fillId="0" borderId="7" xfId="6" applyFont="1" applyFill="1" applyBorder="1" applyAlignment="1">
      <alignment vertical="center" wrapText="1"/>
    </xf>
    <xf numFmtId="0" fontId="14" fillId="0" borderId="31" xfId="6" applyFont="1" applyFill="1" applyBorder="1" applyAlignment="1">
      <alignment vertical="center" wrapText="1"/>
    </xf>
    <xf numFmtId="0" fontId="7" fillId="0" borderId="6" xfId="6" applyFont="1" applyFill="1" applyBorder="1" applyAlignment="1">
      <alignment vertical="center" wrapText="1"/>
    </xf>
    <xf numFmtId="0" fontId="7" fillId="0" borderId="13" xfId="6" applyFont="1" applyFill="1" applyBorder="1" applyAlignment="1">
      <alignment vertical="center" wrapText="1"/>
    </xf>
    <xf numFmtId="0" fontId="7" fillId="0" borderId="4" xfId="0" applyFont="1" applyFill="1" applyBorder="1" applyAlignment="1">
      <alignment wrapText="1"/>
    </xf>
    <xf numFmtId="0" fontId="7" fillId="0" borderId="31" xfId="0" applyFont="1" applyFill="1" applyBorder="1" applyAlignment="1">
      <alignment wrapText="1"/>
    </xf>
    <xf numFmtId="0" fontId="10" fillId="0" borderId="1" xfId="6" applyFont="1" applyFill="1" applyBorder="1" applyAlignment="1">
      <alignment vertical="center" wrapText="1"/>
    </xf>
    <xf numFmtId="0" fontId="7" fillId="0" borderId="30" xfId="6" applyFont="1" applyFill="1" applyBorder="1" applyAlignment="1">
      <alignment vertical="center" wrapText="1"/>
    </xf>
    <xf numFmtId="0" fontId="7" fillId="0" borderId="2" xfId="6" applyFont="1" applyFill="1" applyBorder="1" applyAlignment="1">
      <alignmen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7" applyFont="1" applyFill="1" applyBorder="1" applyAlignment="1">
      <alignment horizontal="center" vertical="center"/>
    </xf>
    <xf numFmtId="56" fontId="14" fillId="0" borderId="0" xfId="7" quotePrefix="1" applyNumberFormat="1"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3" fontId="14" fillId="0" borderId="8" xfId="7" applyNumberFormat="1" applyFont="1" applyFill="1" applyBorder="1" applyAlignment="1">
      <alignment horizontal="right" vertical="center" wrapText="1"/>
    </xf>
    <xf numFmtId="0" fontId="14" fillId="0" borderId="8" xfId="7" applyFont="1" applyFill="1" applyBorder="1" applyAlignment="1">
      <alignment horizontal="center" vertical="center"/>
    </xf>
    <xf numFmtId="56" fontId="14" fillId="0" borderId="8" xfId="7" quotePrefix="1" applyNumberFormat="1"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3" xfId="7" applyFont="1" applyFill="1" applyBorder="1" applyAlignment="1">
      <alignment horizontal="left" vertical="center" wrapText="1"/>
    </xf>
    <xf numFmtId="0" fontId="14" fillId="0" borderId="5" xfId="7" applyFont="1" applyFill="1" applyBorder="1" applyAlignment="1">
      <alignment horizontal="left" vertical="center" wrapText="1"/>
    </xf>
    <xf numFmtId="0" fontId="14" fillId="0" borderId="7" xfId="7" applyFont="1" applyFill="1" applyBorder="1" applyAlignment="1">
      <alignment horizontal="left" vertical="center" wrapText="1"/>
    </xf>
    <xf numFmtId="0" fontId="14" fillId="0" borderId="31" xfId="7" applyFont="1" applyFill="1" applyBorder="1" applyAlignment="1">
      <alignment horizontal="left" vertical="center" wrapText="1"/>
    </xf>
    <xf numFmtId="0" fontId="14" fillId="0" borderId="6" xfId="7" applyFont="1" applyFill="1" applyBorder="1" applyAlignment="1">
      <alignment horizontal="left" vertical="center" wrapText="1"/>
    </xf>
    <xf numFmtId="0" fontId="14" fillId="0" borderId="11" xfId="7" applyFont="1" applyFill="1" applyBorder="1" applyAlignment="1">
      <alignment horizontal="center" vertical="center"/>
    </xf>
    <xf numFmtId="190" fontId="14" fillId="0" borderId="4" xfId="7" applyNumberFormat="1" applyFont="1" applyFill="1" applyBorder="1" applyAlignment="1">
      <alignment horizontal="center" vertical="center" wrapText="1"/>
    </xf>
    <xf numFmtId="190" fontId="14" fillId="0" borderId="31" xfId="7" applyNumberFormat="1" applyFont="1" applyFill="1" applyBorder="1" applyAlignment="1">
      <alignment horizontal="center" vertical="center" wrapText="1"/>
    </xf>
    <xf numFmtId="190" fontId="14" fillId="0" borderId="8" xfId="7" applyNumberFormat="1" applyFont="1" applyFill="1" applyBorder="1" applyAlignment="1">
      <alignment horizontal="center" vertical="center" wrapText="1"/>
    </xf>
    <xf numFmtId="190" fontId="14" fillId="0" borderId="13" xfId="7" applyNumberFormat="1" applyFont="1" applyFill="1" applyBorder="1" applyAlignment="1">
      <alignment horizontal="center" vertical="center" wrapText="1"/>
    </xf>
    <xf numFmtId="0" fontId="10" fillId="0" borderId="1" xfId="7" applyFont="1" applyFill="1" applyBorder="1" applyAlignment="1">
      <alignment horizontal="left" vertical="center" wrapText="1"/>
    </xf>
    <xf numFmtId="0" fontId="10" fillId="0" borderId="30" xfId="7" applyFont="1" applyFill="1" applyBorder="1" applyAlignment="1">
      <alignment horizontal="left" vertical="center"/>
    </xf>
    <xf numFmtId="0" fontId="10" fillId="0" borderId="2" xfId="7" applyFont="1" applyFill="1" applyBorder="1" applyAlignment="1">
      <alignment horizontal="left" vertical="center"/>
    </xf>
    <xf numFmtId="0" fontId="14" fillId="0" borderId="12" xfId="7" applyFont="1" applyFill="1" applyBorder="1" applyAlignment="1">
      <alignment horizontal="distributed" vertical="center" wrapText="1"/>
    </xf>
    <xf numFmtId="0" fontId="14" fillId="0" borderId="9" xfId="7" applyFont="1" applyFill="1" applyBorder="1" applyAlignment="1">
      <alignment horizontal="distributed" vertical="center" wrapText="1"/>
    </xf>
    <xf numFmtId="3" fontId="14" fillId="0" borderId="9" xfId="7" applyNumberFormat="1" applyFont="1" applyFill="1" applyBorder="1" applyAlignment="1">
      <alignment horizontal="right" vertical="center" wrapText="1"/>
    </xf>
    <xf numFmtId="3" fontId="14" fillId="0" borderId="10" xfId="7" applyNumberFormat="1" applyFont="1" applyFill="1" applyBorder="1" applyAlignment="1">
      <alignment horizontal="right" vertical="center" wrapText="1"/>
    </xf>
    <xf numFmtId="0" fontId="14" fillId="0" borderId="12" xfId="7" applyFont="1" applyFill="1" applyBorder="1" applyAlignment="1">
      <alignment horizontal="center" vertical="center" wrapText="1"/>
    </xf>
    <xf numFmtId="0" fontId="14" fillId="0" borderId="9" xfId="7" applyFont="1" applyFill="1" applyBorder="1" applyAlignment="1">
      <alignment horizontal="center" vertical="center" wrapText="1"/>
    </xf>
    <xf numFmtId="0" fontId="14" fillId="0" borderId="10" xfId="7" applyFont="1" applyFill="1" applyBorder="1" applyAlignment="1">
      <alignment horizontal="center" vertical="center" wrapText="1"/>
    </xf>
    <xf numFmtId="3" fontId="14" fillId="0" borderId="11" xfId="7" applyNumberFormat="1" applyFont="1" applyFill="1" applyBorder="1" applyAlignment="1">
      <alignment horizontal="center" vertical="center" wrapText="1"/>
    </xf>
    <xf numFmtId="3" fontId="14" fillId="0" borderId="12" xfId="7" applyNumberFormat="1" applyFont="1" applyFill="1" applyBorder="1" applyAlignment="1">
      <alignment horizontal="center" vertical="center" wrapText="1"/>
    </xf>
    <xf numFmtId="190" fontId="14" fillId="0" borderId="12" xfId="7" applyNumberFormat="1" applyFont="1" applyFill="1" applyBorder="1" applyAlignment="1">
      <alignment horizontal="center" vertical="center" wrapText="1"/>
    </xf>
    <xf numFmtId="190" fontId="14" fillId="0" borderId="9" xfId="7" applyNumberFormat="1" applyFont="1" applyFill="1" applyBorder="1" applyAlignment="1">
      <alignment horizontal="center" vertical="center" wrapText="1"/>
    </xf>
    <xf numFmtId="190" fontId="14" fillId="0" borderId="10" xfId="7" applyNumberFormat="1" applyFont="1" applyFill="1" applyBorder="1" applyAlignment="1">
      <alignment horizontal="center" vertical="center" wrapText="1"/>
    </xf>
    <xf numFmtId="0" fontId="10" fillId="0" borderId="3" xfId="7" applyFont="1" applyFill="1" applyBorder="1" applyAlignment="1">
      <alignment vertical="center" wrapText="1"/>
    </xf>
    <xf numFmtId="0" fontId="10" fillId="0" borderId="4" xfId="7" applyFont="1" applyFill="1" applyBorder="1" applyAlignment="1">
      <alignment vertical="center" wrapText="1"/>
    </xf>
    <xf numFmtId="0" fontId="10" fillId="0" borderId="7" xfId="7" applyFont="1" applyFill="1" applyBorder="1" applyAlignment="1">
      <alignment vertical="center" wrapText="1"/>
    </xf>
    <xf numFmtId="0" fontId="10" fillId="0" borderId="8" xfId="7" applyFont="1" applyFill="1" applyBorder="1" applyAlignment="1">
      <alignment vertical="center" wrapText="1"/>
    </xf>
    <xf numFmtId="3" fontId="14" fillId="0" borderId="4" xfId="7" applyNumberFormat="1" applyFont="1" applyFill="1" applyBorder="1" applyAlignment="1">
      <alignment horizontal="left" wrapText="1"/>
    </xf>
    <xf numFmtId="190" fontId="14" fillId="0" borderId="8" xfId="7" applyNumberFormat="1" applyFont="1" applyFill="1" applyBorder="1" applyAlignment="1">
      <alignment horizontal="center" vertical="top" wrapText="1"/>
    </xf>
    <xf numFmtId="190" fontId="14" fillId="0" borderId="13" xfId="7" applyNumberFormat="1" applyFont="1" applyFill="1" applyBorder="1" applyAlignment="1">
      <alignment horizontal="center" vertical="top" wrapText="1"/>
    </xf>
    <xf numFmtId="0" fontId="14" fillId="0" borderId="0" xfId="7" applyFont="1" applyFill="1" applyBorder="1" applyAlignment="1">
      <alignment horizontal="left" vertical="center"/>
    </xf>
    <xf numFmtId="191" fontId="14" fillId="0" borderId="12" xfId="7" applyNumberFormat="1" applyFont="1" applyFill="1" applyBorder="1" applyAlignment="1">
      <alignment horizontal="center" vertical="center" wrapText="1"/>
    </xf>
    <xf numFmtId="191" fontId="14" fillId="0" borderId="9" xfId="7" applyNumberFormat="1" applyFont="1" applyFill="1" applyBorder="1" applyAlignment="1">
      <alignment horizontal="center" vertical="center" wrapText="1"/>
    </xf>
    <xf numFmtId="191" fontId="14" fillId="0" borderId="10" xfId="7" applyNumberFormat="1" applyFont="1" applyFill="1" applyBorder="1" applyAlignment="1">
      <alignment horizontal="center" vertical="center" wrapText="1"/>
    </xf>
    <xf numFmtId="186" fontId="26" fillId="0" borderId="239" xfId="9" applyNumberFormat="1" applyFont="1" applyFill="1" applyBorder="1" applyAlignment="1">
      <alignment horizontal="center" vertical="center"/>
    </xf>
    <xf numFmtId="186" fontId="26" fillId="0" borderId="244" xfId="9" applyNumberFormat="1" applyFont="1" applyFill="1" applyBorder="1" applyAlignment="1">
      <alignment horizontal="center" vertical="center"/>
    </xf>
    <xf numFmtId="186" fontId="26" fillId="0" borderId="248" xfId="9" applyNumberFormat="1" applyFont="1" applyFill="1" applyBorder="1" applyAlignment="1">
      <alignment horizontal="center" vertical="center"/>
    </xf>
    <xf numFmtId="186" fontId="26" fillId="0" borderId="211" xfId="9" applyNumberFormat="1" applyFont="1" applyFill="1" applyBorder="1" applyAlignment="1">
      <alignment horizontal="center" vertical="center"/>
    </xf>
    <xf numFmtId="186" fontId="26" fillId="0" borderId="218" xfId="9" applyNumberFormat="1" applyFont="1" applyFill="1" applyBorder="1" applyAlignment="1">
      <alignment horizontal="center" vertical="center"/>
    </xf>
    <xf numFmtId="3" fontId="26" fillId="0" borderId="1" xfId="9" applyNumberFormat="1" applyFont="1" applyFill="1" applyBorder="1" applyAlignment="1">
      <alignment horizontal="center" vertical="center" wrapText="1"/>
    </xf>
    <xf numFmtId="3" fontId="26" fillId="0" borderId="2" xfId="9" applyNumberFormat="1" applyFont="1" applyFill="1" applyBorder="1" applyAlignment="1">
      <alignment horizontal="center" vertical="center" wrapText="1"/>
    </xf>
    <xf numFmtId="3" fontId="26" fillId="0" borderId="11" xfId="9" applyNumberFormat="1" applyFont="1" applyFill="1" applyBorder="1" applyAlignment="1">
      <alignment horizontal="center" vertical="center" wrapText="1"/>
    </xf>
    <xf numFmtId="186" fontId="26" fillId="0" borderId="238" xfId="9" applyNumberFormat="1" applyFont="1" applyFill="1" applyBorder="1" applyAlignment="1">
      <alignment horizontal="center" vertical="center"/>
    </xf>
    <xf numFmtId="186" fontId="26" fillId="0" borderId="212" xfId="9" applyNumberFormat="1" applyFont="1" applyFill="1" applyBorder="1" applyAlignment="1">
      <alignment horizontal="center" vertical="center"/>
    </xf>
    <xf numFmtId="186" fontId="26" fillId="0" borderId="219" xfId="9" applyNumberFormat="1" applyFont="1" applyFill="1" applyBorder="1" applyAlignment="1">
      <alignment horizontal="center" vertical="center"/>
    </xf>
    <xf numFmtId="3" fontId="26" fillId="0" borderId="222" xfId="9" applyNumberFormat="1" applyFont="1" applyFill="1" applyBorder="1" applyAlignment="1">
      <alignment horizontal="center" vertical="center" wrapText="1"/>
    </xf>
    <xf numFmtId="3" fontId="26" fillId="0" borderId="223" xfId="9" applyNumberFormat="1" applyFont="1" applyFill="1" applyBorder="1" applyAlignment="1">
      <alignment horizontal="center" vertical="center" wrapText="1"/>
    </xf>
    <xf numFmtId="3" fontId="26" fillId="0" borderId="30" xfId="9" applyNumberFormat="1" applyFont="1" applyFill="1" applyBorder="1" applyAlignment="1">
      <alignment horizontal="center" vertical="center" wrapText="1"/>
    </xf>
    <xf numFmtId="3" fontId="26" fillId="0" borderId="225" xfId="9" applyNumberFormat="1" applyFont="1" applyFill="1" applyBorder="1" applyAlignment="1">
      <alignment horizontal="center" vertical="center" wrapText="1"/>
    </xf>
    <xf numFmtId="178" fontId="26" fillId="0" borderId="212" xfId="9" applyNumberFormat="1" applyFont="1" applyFill="1" applyBorder="1" applyAlignment="1">
      <alignment horizontal="center" vertical="center" wrapText="1"/>
    </xf>
    <xf numFmtId="178" fontId="26" fillId="0" borderId="215" xfId="9" applyNumberFormat="1" applyFont="1" applyFill="1" applyBorder="1" applyAlignment="1">
      <alignment horizontal="center" vertical="center" wrapText="1"/>
    </xf>
    <xf numFmtId="178" fontId="26" fillId="0" borderId="219" xfId="9" applyNumberFormat="1" applyFont="1" applyFill="1" applyBorder="1" applyAlignment="1">
      <alignment horizontal="center" vertical="center" wrapText="1"/>
    </xf>
    <xf numFmtId="178" fontId="26" fillId="0" borderId="31" xfId="9" applyNumberFormat="1" applyFont="1" applyFill="1" applyBorder="1" applyAlignment="1">
      <alignment horizontal="center" vertical="center" wrapText="1"/>
    </xf>
    <xf numFmtId="178" fontId="26" fillId="0" borderId="6" xfId="9" applyNumberFormat="1" applyFont="1" applyFill="1" applyBorder="1" applyAlignment="1">
      <alignment horizontal="center" vertical="center" wrapText="1"/>
    </xf>
    <xf numFmtId="0" fontId="26" fillId="0" borderId="12" xfId="7" applyFont="1" applyBorder="1" applyAlignment="1">
      <alignment horizontal="center" vertical="center"/>
    </xf>
    <xf numFmtId="0" fontId="26" fillId="0" borderId="9" xfId="7" applyFont="1" applyBorder="1" applyAlignment="1">
      <alignment horizontal="center" vertical="center"/>
    </xf>
    <xf numFmtId="0" fontId="26" fillId="0" borderId="10" xfId="7" applyFont="1" applyBorder="1" applyAlignment="1">
      <alignment horizontal="center" vertical="center"/>
    </xf>
    <xf numFmtId="178" fontId="26" fillId="0" borderId="3" xfId="9" applyNumberFormat="1" applyFont="1" applyFill="1" applyBorder="1" applyAlignment="1">
      <alignment horizontal="center" vertical="center" wrapText="1"/>
    </xf>
    <xf numFmtId="178" fontId="26" fillId="0" borderId="5" xfId="9" applyNumberFormat="1" applyFont="1" applyFill="1" applyBorder="1" applyAlignment="1">
      <alignment horizontal="center" vertical="center" wrapText="1"/>
    </xf>
    <xf numFmtId="199" fontId="24" fillId="0" borderId="30" xfId="9" applyNumberFormat="1" applyFont="1" applyFill="1" applyBorder="1" applyAlignment="1">
      <alignment horizontal="center" vertical="center"/>
    </xf>
    <xf numFmtId="178" fontId="24" fillId="0" borderId="30" xfId="9" applyNumberFormat="1" applyFont="1" applyFill="1" applyBorder="1" applyAlignment="1">
      <alignment vertical="center" wrapText="1"/>
    </xf>
    <xf numFmtId="178" fontId="24" fillId="0" borderId="3" xfId="9" applyNumberFormat="1" applyFont="1" applyFill="1" applyBorder="1" applyAlignment="1">
      <alignment vertical="center"/>
    </xf>
    <xf numFmtId="178" fontId="24" fillId="0" borderId="5" xfId="9" applyNumberFormat="1" applyFont="1" applyFill="1" applyBorder="1" applyAlignment="1">
      <alignment vertical="center"/>
    </xf>
    <xf numFmtId="178" fontId="24" fillId="0" borderId="216" xfId="9" applyNumberFormat="1" applyFont="1" applyFill="1" applyBorder="1" applyAlignment="1">
      <alignment vertical="center"/>
    </xf>
    <xf numFmtId="178" fontId="24" fillId="0" borderId="7" xfId="9" applyNumberFormat="1" applyFont="1" applyFill="1" applyBorder="1" applyAlignment="1">
      <alignment vertical="center"/>
    </xf>
    <xf numFmtId="178" fontId="24" fillId="0" borderId="210" xfId="9" applyNumberFormat="1" applyFont="1" applyFill="1" applyBorder="1" applyAlignment="1">
      <alignment horizontal="center" vertical="center"/>
    </xf>
    <xf numFmtId="178" fontId="24" fillId="0" borderId="213" xfId="9" applyNumberFormat="1" applyFont="1" applyFill="1" applyBorder="1" applyAlignment="1">
      <alignment horizontal="center" vertical="center"/>
    </xf>
    <xf numFmtId="178" fontId="24" fillId="0" borderId="188" xfId="9" applyNumberFormat="1" applyFont="1" applyFill="1" applyBorder="1" applyAlignment="1">
      <alignment horizontal="center" vertical="center"/>
    </xf>
    <xf numFmtId="178" fontId="24" fillId="0" borderId="211" xfId="9" applyNumberFormat="1" applyFont="1" applyFill="1" applyBorder="1" applyAlignment="1">
      <alignment horizontal="center" vertical="center"/>
    </xf>
    <xf numFmtId="178" fontId="24" fillId="0" borderId="214" xfId="9" applyNumberFormat="1" applyFont="1" applyFill="1" applyBorder="1" applyAlignment="1">
      <alignment horizontal="center" vertical="center"/>
    </xf>
    <xf numFmtId="178" fontId="24" fillId="0" borderId="218" xfId="9" applyNumberFormat="1" applyFont="1" applyFill="1" applyBorder="1" applyAlignment="1">
      <alignment horizontal="center" vertical="center"/>
    </xf>
    <xf numFmtId="178" fontId="26" fillId="0" borderId="1" xfId="9" applyNumberFormat="1" applyFont="1" applyFill="1" applyBorder="1" applyAlignment="1">
      <alignment vertical="center" wrapText="1"/>
    </xf>
    <xf numFmtId="178" fontId="26" fillId="0" borderId="2" xfId="9" applyNumberFormat="1" applyFont="1" applyFill="1" applyBorder="1" applyAlignment="1">
      <alignment vertical="center" wrapText="1"/>
    </xf>
    <xf numFmtId="3" fontId="24" fillId="0" borderId="1" xfId="9" applyNumberFormat="1" applyFont="1" applyFill="1" applyBorder="1" applyAlignment="1">
      <alignment horizontal="center" vertical="center" wrapText="1"/>
    </xf>
    <xf numFmtId="3" fontId="24" fillId="0" borderId="30" xfId="9" applyNumberFormat="1" applyFont="1" applyFill="1" applyBorder="1" applyAlignment="1">
      <alignment horizontal="center" vertical="center" wrapText="1"/>
    </xf>
    <xf numFmtId="3" fontId="24" fillId="0" borderId="3" xfId="9" applyNumberFormat="1" applyFont="1" applyFill="1" applyBorder="1" applyAlignment="1">
      <alignment horizontal="center" vertical="center"/>
    </xf>
    <xf numFmtId="3" fontId="24" fillId="0" borderId="4" xfId="9" applyNumberFormat="1" applyFont="1" applyFill="1" applyBorder="1" applyAlignment="1">
      <alignment horizontal="center" vertical="center"/>
    </xf>
    <xf numFmtId="3" fontId="24" fillId="0" borderId="31" xfId="9" applyNumberFormat="1" applyFont="1" applyFill="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3" fontId="24" fillId="0" borderId="11" xfId="9" applyNumberFormat="1" applyFont="1" applyFill="1" applyBorder="1" applyAlignment="1">
      <alignment horizontal="center" vertical="center"/>
    </xf>
    <xf numFmtId="3" fontId="24" fillId="2" borderId="11" xfId="9" applyNumberFormat="1" applyFont="1" applyFill="1" applyBorder="1" applyAlignment="1">
      <alignment horizontal="center" vertical="center"/>
    </xf>
    <xf numFmtId="3" fontId="24" fillId="0" borderId="3" xfId="9" applyNumberFormat="1" applyFont="1" applyFill="1" applyBorder="1" applyAlignment="1">
      <alignment horizontal="center" vertical="center" wrapText="1"/>
    </xf>
    <xf numFmtId="3" fontId="24" fillId="0" borderId="31" xfId="9" applyNumberFormat="1" applyFont="1" applyFill="1" applyBorder="1" applyAlignment="1">
      <alignment horizontal="center" vertical="center" wrapText="1"/>
    </xf>
    <xf numFmtId="178" fontId="24" fillId="0" borderId="208" xfId="9" applyNumberFormat="1" applyFont="1" applyFill="1" applyBorder="1" applyAlignment="1">
      <alignment horizontal="center" vertical="center" wrapText="1"/>
    </xf>
    <xf numFmtId="178" fontId="24" fillId="0" borderId="207" xfId="9" applyNumberFormat="1" applyFont="1" applyFill="1" applyBorder="1" applyAlignment="1">
      <alignment horizontal="center" vertical="center" wrapText="1"/>
    </xf>
    <xf numFmtId="178" fontId="24" fillId="0" borderId="2" xfId="9" applyNumberFormat="1" applyFont="1" applyFill="1" applyBorder="1" applyAlignment="1">
      <alignment horizontal="center" vertical="center" wrapText="1"/>
    </xf>
    <xf numFmtId="178" fontId="24" fillId="0" borderId="2" xfId="9" applyNumberFormat="1" applyFont="1" applyFill="1" applyBorder="1" applyAlignment="1">
      <alignment horizontal="center"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185" fontId="23" fillId="0" borderId="3" xfId="0" applyNumberFormat="1" applyFont="1" applyBorder="1" applyAlignment="1">
      <alignment horizontal="center" vertical="center" wrapText="1"/>
    </xf>
    <xf numFmtId="185" fontId="23" fillId="0" borderId="4" xfId="0" applyNumberFormat="1" applyFont="1" applyBorder="1" applyAlignment="1">
      <alignment horizontal="center" vertical="center" wrapText="1"/>
    </xf>
    <xf numFmtId="185" fontId="23" fillId="0" borderId="31" xfId="0" applyNumberFormat="1" applyFont="1" applyBorder="1" applyAlignment="1">
      <alignment horizontal="center" vertical="center" wrapText="1"/>
    </xf>
    <xf numFmtId="185" fontId="23" fillId="0" borderId="5" xfId="0" applyNumberFormat="1" applyFont="1" applyBorder="1" applyAlignment="1">
      <alignment horizontal="center" vertical="center" wrapText="1"/>
    </xf>
    <xf numFmtId="185" fontId="23" fillId="0" borderId="0" xfId="0" applyNumberFormat="1" applyFont="1" applyBorder="1" applyAlignment="1">
      <alignment horizontal="center" vertical="center" wrapText="1"/>
    </xf>
    <xf numFmtId="185" fontId="23" fillId="0" borderId="6" xfId="0" applyNumberFormat="1" applyFont="1" applyBorder="1" applyAlignment="1">
      <alignment horizontal="center" vertical="center" wrapText="1"/>
    </xf>
    <xf numFmtId="186" fontId="23" fillId="0" borderId="1" xfId="0" applyNumberFormat="1" applyFont="1" applyBorder="1" applyAlignment="1">
      <alignment horizontal="center" vertical="center" wrapText="1"/>
    </xf>
    <xf numFmtId="186" fontId="23" fillId="0" borderId="30" xfId="0" applyNumberFormat="1" applyFont="1" applyBorder="1" applyAlignment="1">
      <alignment horizontal="center" vertical="center" wrapText="1"/>
    </xf>
    <xf numFmtId="197" fontId="24" fillId="0" borderId="11" xfId="9" applyNumberFormat="1" applyFont="1" applyFill="1" applyBorder="1" applyAlignment="1">
      <alignment horizontal="center" vertical="center"/>
    </xf>
    <xf numFmtId="3" fontId="24" fillId="0" borderId="136" xfId="9" applyNumberFormat="1" applyFont="1" applyFill="1" applyBorder="1" applyAlignment="1">
      <alignment horizontal="center" vertical="center"/>
    </xf>
    <xf numFmtId="3" fontId="24" fillId="0" borderId="137" xfId="9" applyNumberFormat="1" applyFont="1" applyFill="1" applyBorder="1" applyAlignment="1">
      <alignment horizontal="center" vertical="center"/>
    </xf>
    <xf numFmtId="3" fontId="24" fillId="0" borderId="204" xfId="9" applyNumberFormat="1" applyFont="1" applyFill="1" applyBorder="1" applyAlignment="1">
      <alignment horizontal="center" vertical="center"/>
    </xf>
    <xf numFmtId="186" fontId="23" fillId="0" borderId="11" xfId="0" applyNumberFormat="1" applyFont="1" applyBorder="1" applyAlignment="1">
      <alignment horizontal="center" vertical="center" wrapText="1"/>
    </xf>
    <xf numFmtId="0" fontId="23" fillId="0" borderId="3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186" fontId="23" fillId="0" borderId="2"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178" fontId="24" fillId="0" borderId="206" xfId="9" applyNumberFormat="1" applyFont="1" applyFill="1" applyBorder="1" applyAlignment="1">
      <alignment horizontal="center" vertical="center" wrapText="1"/>
    </xf>
    <xf numFmtId="3" fontId="24" fillId="0" borderId="12" xfId="9" applyNumberFormat="1" applyFont="1" applyFill="1" applyBorder="1" applyAlignment="1">
      <alignment horizontal="center" vertical="center"/>
    </xf>
    <xf numFmtId="3" fontId="24" fillId="0" borderId="205" xfId="9" applyNumberFormat="1" applyFont="1" applyFill="1" applyBorder="1" applyAlignment="1">
      <alignment horizontal="center" vertical="center"/>
    </xf>
    <xf numFmtId="178" fontId="24" fillId="0" borderId="112" xfId="9" applyNumberFormat="1" applyFont="1" applyFill="1" applyBorder="1" applyAlignment="1">
      <alignment vertical="center"/>
    </xf>
    <xf numFmtId="185" fontId="23" fillId="0" borderId="7" xfId="0" applyNumberFormat="1" applyFont="1" applyBorder="1" applyAlignment="1">
      <alignment horizontal="center" vertical="center"/>
    </xf>
    <xf numFmtId="185" fontId="23" fillId="0" borderId="8" xfId="0" applyNumberFormat="1" applyFont="1" applyBorder="1" applyAlignment="1">
      <alignment horizontal="center" vertical="center"/>
    </xf>
    <xf numFmtId="185" fontId="23" fillId="0" borderId="13" xfId="0" applyNumberFormat="1" applyFont="1" applyBorder="1" applyAlignment="1">
      <alignment horizontal="center" vertical="center"/>
    </xf>
    <xf numFmtId="178" fontId="24" fillId="0" borderId="7" xfId="9" applyNumberFormat="1" applyFont="1" applyFill="1" applyBorder="1" applyAlignment="1">
      <alignment horizontal="center" vertical="center" wrapText="1"/>
    </xf>
    <xf numFmtId="178" fontId="24" fillId="0" borderId="8" xfId="9" applyNumberFormat="1" applyFont="1" applyFill="1" applyBorder="1" applyAlignment="1">
      <alignment horizontal="center" vertical="center" wrapText="1"/>
    </xf>
    <xf numFmtId="178" fontId="24" fillId="0" borderId="13" xfId="9" applyNumberFormat="1" applyFont="1" applyFill="1" applyBorder="1" applyAlignment="1">
      <alignment horizontal="center" vertical="center" wrapText="1"/>
    </xf>
    <xf numFmtId="186" fontId="23" fillId="0" borderId="11" xfId="0" applyNumberFormat="1" applyFont="1" applyBorder="1" applyAlignment="1">
      <alignment horizontal="center" vertical="center"/>
    </xf>
    <xf numFmtId="0" fontId="14" fillId="0" borderId="13"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0" fillId="0" borderId="11" xfId="6" applyFont="1" applyFill="1" applyBorder="1" applyAlignment="1">
      <alignment vertical="center" wrapText="1"/>
    </xf>
    <xf numFmtId="3" fontId="14" fillId="0" borderId="0" xfId="0" applyNumberFormat="1" applyFont="1" applyFill="1" applyBorder="1" applyAlignment="1">
      <alignment horizontal="right" vertical="center" wrapText="1"/>
    </xf>
    <xf numFmtId="189" fontId="14" fillId="0" borderId="0"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 xfId="0" applyFont="1" applyFill="1" applyBorder="1" applyAlignment="1">
      <alignment horizontal="center" vertical="center"/>
    </xf>
    <xf numFmtId="0" fontId="9" fillId="0" borderId="5" xfId="6" applyFont="1" applyFill="1" applyBorder="1" applyAlignment="1">
      <alignment vertical="center" wrapText="1"/>
    </xf>
    <xf numFmtId="0" fontId="9" fillId="0" borderId="7" xfId="6" applyFont="1" applyFill="1" applyBorder="1" applyAlignment="1">
      <alignment vertical="center" wrapText="1"/>
    </xf>
    <xf numFmtId="0" fontId="9" fillId="0" borderId="6" xfId="6" applyFont="1" applyFill="1" applyBorder="1" applyAlignment="1">
      <alignment vertical="center" wrapText="1"/>
    </xf>
    <xf numFmtId="0" fontId="9" fillId="0" borderId="13" xfId="6" applyFont="1" applyFill="1" applyBorder="1" applyAlignment="1">
      <alignment vertical="center" wrapText="1"/>
    </xf>
    <xf numFmtId="0" fontId="0" fillId="0" borderId="4" xfId="0" applyFont="1" applyFill="1" applyBorder="1" applyAlignment="1">
      <alignment wrapText="1"/>
    </xf>
    <xf numFmtId="0" fontId="0" fillId="0" borderId="31" xfId="0" applyFont="1" applyFill="1" applyBorder="1" applyAlignment="1">
      <alignment wrapText="1"/>
    </xf>
    <xf numFmtId="0" fontId="14" fillId="0" borderId="5" xfId="6" applyFont="1" applyFill="1" applyBorder="1" applyAlignment="1">
      <alignment vertical="center" wrapText="1"/>
    </xf>
    <xf numFmtId="0" fontId="14" fillId="0" borderId="7" xfId="6" applyFont="1" applyFill="1" applyBorder="1" applyAlignment="1">
      <alignment vertical="center" wrapText="1"/>
    </xf>
    <xf numFmtId="0" fontId="14" fillId="0" borderId="6" xfId="6" applyFont="1" applyFill="1" applyBorder="1" applyAlignment="1">
      <alignment vertical="center" wrapText="1"/>
    </xf>
    <xf numFmtId="0" fontId="14" fillId="0" borderId="13" xfId="6" applyFont="1" applyFill="1" applyBorder="1" applyAlignment="1">
      <alignment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4" fillId="0" borderId="8" xfId="0" applyFont="1" applyFill="1" applyBorder="1" applyAlignment="1">
      <alignment horizontal="left" vertical="top" wrapText="1"/>
    </xf>
    <xf numFmtId="0" fontId="14" fillId="0" borderId="13" xfId="0" applyFont="1" applyFill="1" applyBorder="1" applyAlignment="1">
      <alignment horizontal="left" vertical="top" wrapText="1"/>
    </xf>
    <xf numFmtId="0" fontId="9" fillId="0" borderId="30" xfId="6" applyFont="1" applyFill="1" applyBorder="1" applyAlignment="1">
      <alignment vertical="center" wrapText="1"/>
    </xf>
    <xf numFmtId="0" fontId="9" fillId="0" borderId="2" xfId="6" applyFont="1" applyFill="1" applyBorder="1" applyAlignment="1">
      <alignment vertical="center" wrapText="1"/>
    </xf>
    <xf numFmtId="0" fontId="14" fillId="0" borderId="0" xfId="0" applyFont="1" applyFill="1" applyBorder="1" applyAlignment="1">
      <alignment horizontal="right" vertical="center" wrapText="1"/>
    </xf>
    <xf numFmtId="0" fontId="14" fillId="0" borderId="6" xfId="0" applyFont="1" applyFill="1" applyBorder="1" applyAlignment="1">
      <alignment horizontal="left" vertical="center" wrapText="1"/>
    </xf>
    <xf numFmtId="3" fontId="14" fillId="0" borderId="8" xfId="0" applyNumberFormat="1" applyFont="1" applyFill="1" applyBorder="1" applyAlignment="1">
      <alignment horizontal="right" vertical="center" wrapText="1"/>
    </xf>
    <xf numFmtId="0" fontId="14" fillId="0" borderId="8" xfId="0" applyFont="1" applyFill="1" applyBorder="1" applyAlignment="1">
      <alignment horizontal="right" vertical="center" wrapText="1"/>
    </xf>
    <xf numFmtId="0" fontId="14" fillId="0" borderId="6" xfId="0" applyFont="1" applyFill="1" applyBorder="1" applyAlignment="1">
      <alignment vertical="center" wrapText="1"/>
    </xf>
    <xf numFmtId="0" fontId="14" fillId="0" borderId="13" xfId="0" applyFont="1" applyFill="1" applyBorder="1" applyAlignment="1">
      <alignment vertical="center" wrapText="1"/>
    </xf>
    <xf numFmtId="0" fontId="14" fillId="0" borderId="12"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3" fontId="14" fillId="0" borderId="9" xfId="0" applyNumberFormat="1"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190" fontId="14" fillId="0" borderId="11" xfId="0" applyNumberFormat="1" applyFont="1" applyFill="1" applyBorder="1" applyAlignment="1">
      <alignment horizontal="center" vertical="center" wrapText="1"/>
    </xf>
    <xf numFmtId="190" fontId="14" fillId="0" borderId="12" xfId="0"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3" fontId="14" fillId="0" borderId="4" xfId="0" applyNumberFormat="1" applyFont="1" applyFill="1" applyBorder="1" applyAlignment="1">
      <alignment horizontal="left" wrapText="1"/>
    </xf>
    <xf numFmtId="190" fontId="14" fillId="0" borderId="8" xfId="0" applyNumberFormat="1" applyFont="1" applyFill="1" applyBorder="1" applyAlignment="1">
      <alignment horizontal="center" vertical="top" wrapText="1"/>
    </xf>
    <xf numFmtId="190" fontId="14" fillId="0" borderId="13" xfId="0" applyNumberFormat="1" applyFont="1" applyFill="1" applyBorder="1" applyAlignment="1">
      <alignment horizontal="center" vertical="top" wrapText="1"/>
    </xf>
    <xf numFmtId="191" fontId="14" fillId="0" borderId="11" xfId="0" applyNumberFormat="1" applyFont="1" applyFill="1" applyBorder="1" applyAlignment="1">
      <alignment horizontal="center" vertical="center" wrapText="1"/>
    </xf>
    <xf numFmtId="191" fontId="14" fillId="0" borderId="12" xfId="0" applyNumberFormat="1" applyFont="1" applyFill="1" applyBorder="1" applyAlignment="1">
      <alignment horizontal="center" vertical="center" wrapText="1"/>
    </xf>
    <xf numFmtId="0" fontId="14" fillId="0" borderId="3" xfId="7" applyFont="1" applyFill="1" applyBorder="1" applyAlignment="1">
      <alignment horizontal="center" wrapText="1"/>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6" applyFont="1" applyFill="1" applyBorder="1" applyAlignment="1">
      <alignment horizontal="left" vertical="center"/>
    </xf>
    <xf numFmtId="0" fontId="10" fillId="0" borderId="31" xfId="6" applyFont="1" applyFill="1" applyBorder="1" applyAlignment="1">
      <alignment vertical="center" wrapText="1"/>
    </xf>
    <xf numFmtId="178" fontId="14" fillId="0" borderId="0" xfId="7" applyNumberFormat="1" applyFont="1" applyFill="1" applyBorder="1" applyAlignment="1">
      <alignment horizontal="center" vertical="center"/>
    </xf>
    <xf numFmtId="0" fontId="14" fillId="0" borderId="8" xfId="0" applyFont="1" applyFill="1" applyBorder="1" applyAlignment="1">
      <alignment horizontal="right" vertical="center"/>
    </xf>
    <xf numFmtId="0" fontId="14" fillId="0" borderId="13" xfId="0" applyFont="1" applyFill="1" applyBorder="1" applyAlignment="1">
      <alignment horizontal="right" vertical="center"/>
    </xf>
    <xf numFmtId="178" fontId="14" fillId="0" borderId="8" xfId="7" applyNumberFormat="1" applyFont="1" applyFill="1" applyBorder="1" applyAlignment="1">
      <alignment horizontal="center" vertical="center"/>
    </xf>
    <xf numFmtId="0" fontId="26" fillId="0" borderId="223" xfId="9" applyFont="1" applyFill="1" applyBorder="1" applyAlignment="1">
      <alignment horizontal="center" vertical="center"/>
    </xf>
    <xf numFmtId="0" fontId="26" fillId="0" borderId="225" xfId="9" applyFont="1" applyFill="1" applyBorder="1" applyAlignment="1">
      <alignment horizontal="center" vertical="center"/>
    </xf>
    <xf numFmtId="186" fontId="26" fillId="0" borderId="240" xfId="1" applyNumberFormat="1" applyFont="1" applyBorder="1" applyAlignment="1">
      <alignment horizontal="center" vertical="center"/>
    </xf>
    <xf numFmtId="186" fontId="26" fillId="0" borderId="241" xfId="1" applyNumberFormat="1" applyFont="1" applyBorder="1" applyAlignment="1">
      <alignment horizontal="center" vertical="center"/>
    </xf>
    <xf numFmtId="186" fontId="26" fillId="0" borderId="242" xfId="1" applyNumberFormat="1" applyFont="1" applyBorder="1" applyAlignment="1">
      <alignment horizontal="center" vertical="center"/>
    </xf>
    <xf numFmtId="186" fontId="26" fillId="0" borderId="243" xfId="1" applyNumberFormat="1" applyFont="1" applyBorder="1" applyAlignment="1">
      <alignment horizontal="center" vertical="center"/>
    </xf>
    <xf numFmtId="186" fontId="26" fillId="0" borderId="245" xfId="1" applyNumberFormat="1" applyFont="1" applyBorder="1" applyAlignment="1">
      <alignment horizontal="center" vertical="center"/>
    </xf>
    <xf numFmtId="186" fontId="26" fillId="0" borderId="247" xfId="1" applyNumberFormat="1" applyFont="1" applyBorder="1" applyAlignment="1">
      <alignment horizontal="center" vertical="center"/>
    </xf>
    <xf numFmtId="186" fontId="26" fillId="0" borderId="244" xfId="1" applyNumberFormat="1" applyFont="1" applyBorder="1" applyAlignment="1">
      <alignment horizontal="center" vertical="center"/>
    </xf>
    <xf numFmtId="186" fontId="26" fillId="0" borderId="246" xfId="1" applyNumberFormat="1" applyFont="1" applyBorder="1" applyAlignment="1">
      <alignment horizontal="center" vertical="center"/>
    </xf>
    <xf numFmtId="186" fontId="26" fillId="0" borderId="248" xfId="1" applyNumberFormat="1" applyFont="1" applyBorder="1" applyAlignment="1">
      <alignment horizontal="center" vertical="center"/>
    </xf>
    <xf numFmtId="186" fontId="26" fillId="0" borderId="211" xfId="1" applyNumberFormat="1" applyFont="1" applyBorder="1" applyAlignment="1">
      <alignment horizontal="center" vertical="center"/>
    </xf>
    <xf numFmtId="186" fontId="26" fillId="0" borderId="214" xfId="1" applyNumberFormat="1" applyFont="1" applyBorder="1" applyAlignment="1">
      <alignment horizontal="center" vertical="center"/>
    </xf>
    <xf numFmtId="186" fontId="26" fillId="0" borderId="218" xfId="1" applyNumberFormat="1" applyFont="1" applyBorder="1" applyAlignment="1">
      <alignment horizontal="center" vertical="center"/>
    </xf>
    <xf numFmtId="3" fontId="26" fillId="0" borderId="7" xfId="9" applyNumberFormat="1" applyFont="1" applyFill="1" applyBorder="1" applyAlignment="1">
      <alignment vertical="center" wrapText="1"/>
    </xf>
    <xf numFmtId="0" fontId="26" fillId="0" borderId="12" xfId="9" applyFont="1" applyFill="1" applyBorder="1" applyAlignment="1">
      <alignment vertical="center"/>
    </xf>
    <xf numFmtId="186" fontId="26" fillId="0" borderId="232" xfId="1" applyNumberFormat="1" applyFont="1" applyBorder="1" applyAlignment="1">
      <alignment horizontal="center" vertical="center"/>
    </xf>
    <xf numFmtId="186" fontId="26" fillId="0" borderId="234" xfId="1" applyNumberFormat="1" applyFont="1" applyBorder="1" applyAlignment="1">
      <alignment horizontal="center" vertical="center"/>
    </xf>
    <xf numFmtId="186" fontId="26" fillId="0" borderId="237" xfId="1" applyNumberFormat="1" applyFont="1" applyBorder="1" applyAlignment="1">
      <alignment horizontal="center" vertical="center"/>
    </xf>
    <xf numFmtId="186" fontId="26" fillId="0" borderId="239" xfId="1" applyNumberFormat="1" applyFont="1" applyBorder="1" applyAlignment="1">
      <alignment horizontal="center" vertical="center"/>
    </xf>
    <xf numFmtId="186" fontId="26" fillId="0" borderId="233" xfId="1" applyNumberFormat="1" applyFont="1" applyBorder="1" applyAlignment="1">
      <alignment horizontal="center" vertical="center"/>
    </xf>
    <xf numFmtId="186" fontId="26" fillId="0" borderId="235" xfId="1" applyNumberFormat="1" applyFont="1" applyBorder="1" applyAlignment="1">
      <alignment horizontal="center" vertical="center"/>
    </xf>
    <xf numFmtId="186" fontId="26" fillId="0" borderId="231" xfId="1" applyNumberFormat="1" applyFont="1" applyBorder="1" applyAlignment="1">
      <alignment horizontal="center" vertical="center"/>
    </xf>
    <xf numFmtId="3" fontId="26" fillId="0" borderId="12" xfId="9" applyNumberFormat="1" applyFont="1" applyFill="1" applyBorder="1" applyAlignment="1">
      <alignment vertical="center" wrapText="1"/>
    </xf>
    <xf numFmtId="186" fontId="26" fillId="0" borderId="238" xfId="1" applyNumberFormat="1" applyFont="1" applyBorder="1" applyAlignment="1">
      <alignment horizontal="center" vertical="center"/>
    </xf>
    <xf numFmtId="186" fontId="26" fillId="0" borderId="212" xfId="1" applyNumberFormat="1" applyFont="1" applyBorder="1" applyAlignment="1">
      <alignment horizontal="center" vertical="center"/>
    </xf>
    <xf numFmtId="186" fontId="26" fillId="0" borderId="215" xfId="1" applyNumberFormat="1" applyFont="1" applyBorder="1" applyAlignment="1">
      <alignment horizontal="center" vertical="center"/>
    </xf>
    <xf numFmtId="186" fontId="26" fillId="0" borderId="219" xfId="1" applyNumberFormat="1" applyFont="1" applyBorder="1" applyAlignment="1">
      <alignment horizontal="center" vertical="center"/>
    </xf>
    <xf numFmtId="3" fontId="26" fillId="0" borderId="3" xfId="9" applyNumberFormat="1" applyFont="1" applyFill="1" applyBorder="1" applyAlignment="1">
      <alignment vertical="center" wrapText="1"/>
    </xf>
    <xf numFmtId="0" fontId="26" fillId="0" borderId="5" xfId="9" applyFont="1" applyFill="1" applyBorder="1" applyAlignment="1">
      <alignment vertical="center"/>
    </xf>
    <xf numFmtId="3" fontId="26" fillId="0" borderId="5" xfId="9" applyNumberFormat="1" applyFont="1" applyFill="1" applyBorder="1" applyAlignment="1">
      <alignment vertical="center" wrapText="1"/>
    </xf>
    <xf numFmtId="0" fontId="26" fillId="0" borderId="7" xfId="9" applyFont="1" applyFill="1" applyBorder="1" applyAlignment="1">
      <alignment vertical="center"/>
    </xf>
    <xf numFmtId="3" fontId="26" fillId="0" borderId="1" xfId="9" applyNumberFormat="1" applyFont="1" applyFill="1" applyBorder="1" applyAlignment="1">
      <alignment vertical="center" wrapText="1"/>
    </xf>
    <xf numFmtId="0" fontId="26" fillId="0" borderId="30" xfId="9" applyFont="1" applyFill="1" applyBorder="1" applyAlignment="1">
      <alignment vertical="center"/>
    </xf>
    <xf numFmtId="0" fontId="26" fillId="0" borderId="2" xfId="9" applyFont="1" applyFill="1" applyBorder="1" applyAlignment="1">
      <alignment vertical="center"/>
    </xf>
    <xf numFmtId="0" fontId="26" fillId="0" borderId="236" xfId="9" applyFont="1" applyFill="1" applyBorder="1" applyAlignment="1">
      <alignment horizontal="center" vertical="center"/>
    </xf>
    <xf numFmtId="0" fontId="26" fillId="0" borderId="2" xfId="9" applyFont="1" applyFill="1" applyBorder="1" applyAlignment="1">
      <alignment horizontal="center" vertical="center"/>
    </xf>
    <xf numFmtId="3" fontId="26" fillId="0" borderId="224" xfId="9" applyNumberFormat="1" applyFont="1" applyFill="1" applyBorder="1" applyAlignment="1">
      <alignment horizontal="center" vertical="center" wrapText="1"/>
    </xf>
    <xf numFmtId="3" fontId="26" fillId="0" borderId="31" xfId="9" applyNumberFormat="1" applyFont="1" applyBorder="1" applyAlignment="1">
      <alignment horizontal="center" vertical="center" wrapText="1"/>
    </xf>
    <xf numFmtId="3" fontId="26" fillId="0" borderId="6" xfId="9" applyNumberFormat="1" applyFont="1" applyBorder="1" applyAlignment="1">
      <alignment horizontal="center" vertical="center" wrapText="1"/>
    </xf>
    <xf numFmtId="3" fontId="26" fillId="0" borderId="13" xfId="9" applyNumberFormat="1" applyFont="1" applyBorder="1" applyAlignment="1">
      <alignment horizontal="center" vertical="center" wrapText="1"/>
    </xf>
    <xf numFmtId="3" fontId="26" fillId="0" borderId="212" xfId="9" applyNumberFormat="1" applyFont="1" applyBorder="1" applyAlignment="1">
      <alignment horizontal="center" vertical="center" wrapText="1"/>
    </xf>
    <xf numFmtId="3" fontId="26" fillId="0" borderId="215" xfId="9" applyNumberFormat="1" applyFont="1" applyBorder="1" applyAlignment="1">
      <alignment horizontal="center" vertical="center" wrapText="1"/>
    </xf>
    <xf numFmtId="3" fontId="26" fillId="0" borderId="219" xfId="9" applyNumberFormat="1" applyFont="1" applyBorder="1" applyAlignment="1">
      <alignment horizontal="center" vertical="center" wrapText="1"/>
    </xf>
    <xf numFmtId="3" fontId="26" fillId="0" borderId="3" xfId="9" applyNumberFormat="1" applyFont="1" applyBorder="1" applyAlignment="1">
      <alignment horizontal="center" vertical="center" wrapText="1"/>
    </xf>
    <xf numFmtId="3" fontId="26" fillId="0" borderId="5" xfId="9" applyNumberFormat="1" applyFont="1" applyBorder="1" applyAlignment="1">
      <alignment horizontal="center" vertical="center" wrapText="1"/>
    </xf>
    <xf numFmtId="3" fontId="26" fillId="0" borderId="7" xfId="9" applyNumberFormat="1" applyFont="1" applyBorder="1" applyAlignment="1">
      <alignment horizontal="center" vertical="center" wrapText="1"/>
    </xf>
  </cellXfs>
  <cellStyles count="15">
    <cellStyle name="Comma [0] 2" xfId="2"/>
    <cellStyle name="Normal" xfId="14"/>
    <cellStyle name="Normal 2" xfId="1"/>
    <cellStyle name="パーセント" xfId="4" builtinId="5"/>
    <cellStyle name="桁区切り" xfId="5" builtinId="6"/>
    <cellStyle name="標準" xfId="0" builtinId="0"/>
    <cellStyle name="標準 14 2" xfId="11"/>
    <cellStyle name="標準 14 3" xfId="13"/>
    <cellStyle name="標準 2" xfId="3"/>
    <cellStyle name="標準 2 3" xfId="7"/>
    <cellStyle name="標準 3" xfId="6"/>
    <cellStyle name="標準 4 2" xfId="9"/>
    <cellStyle name="標準 7 4 2 2" xfId="8"/>
    <cellStyle name="標準 7 5 2" xfId="12"/>
    <cellStyle name="標準 7 6" xfId="10"/>
  </cellStyles>
  <dxfs count="1503">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149680</xdr:colOff>
      <xdr:row>169</xdr:row>
      <xdr:rowOff>13608</xdr:rowOff>
    </xdr:from>
    <xdr:to>
      <xdr:col>29</xdr:col>
      <xdr:colOff>190500</xdr:colOff>
      <xdr:row>178</xdr:row>
      <xdr:rowOff>70756</xdr:rowOff>
    </xdr:to>
    <xdr:sp macro="" textlink="">
      <xdr:nvSpPr>
        <xdr:cNvPr id="2" name="右中かっこ 1"/>
        <xdr:cNvSpPr/>
      </xdr:nvSpPr>
      <xdr:spPr>
        <a:xfrm>
          <a:off x="7769680" y="29908501"/>
          <a:ext cx="312963" cy="16491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149678</xdr:colOff>
      <xdr:row>187</xdr:row>
      <xdr:rowOff>27214</xdr:rowOff>
    </xdr:from>
    <xdr:to>
      <xdr:col>29</xdr:col>
      <xdr:colOff>163286</xdr:colOff>
      <xdr:row>195</xdr:row>
      <xdr:rowOff>152398</xdr:rowOff>
    </xdr:to>
    <xdr:sp macro="" textlink="">
      <xdr:nvSpPr>
        <xdr:cNvPr id="3" name="右中かっこ 2"/>
        <xdr:cNvSpPr/>
      </xdr:nvSpPr>
      <xdr:spPr>
        <a:xfrm>
          <a:off x="7769678" y="33106178"/>
          <a:ext cx="285751" cy="154032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180894</xdr:colOff>
      <xdr:row>205</xdr:row>
      <xdr:rowOff>145676</xdr:rowOff>
    </xdr:from>
    <xdr:to>
      <xdr:col>29</xdr:col>
      <xdr:colOff>221714</xdr:colOff>
      <xdr:row>215</xdr:row>
      <xdr:rowOff>34736</xdr:rowOff>
    </xdr:to>
    <xdr:sp macro="" textlink="">
      <xdr:nvSpPr>
        <xdr:cNvPr id="4" name="右中かっこ 3"/>
        <xdr:cNvSpPr/>
      </xdr:nvSpPr>
      <xdr:spPr>
        <a:xfrm>
          <a:off x="7464718" y="33259058"/>
          <a:ext cx="320967" cy="89759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194502</xdr:colOff>
      <xdr:row>224</xdr:row>
      <xdr:rowOff>56830</xdr:rowOff>
    </xdr:from>
    <xdr:to>
      <xdr:col>29</xdr:col>
      <xdr:colOff>221716</xdr:colOff>
      <xdr:row>232</xdr:row>
      <xdr:rowOff>159602</xdr:rowOff>
    </xdr:to>
    <xdr:sp macro="" textlink="">
      <xdr:nvSpPr>
        <xdr:cNvPr id="5" name="右中かっこ 4"/>
        <xdr:cNvSpPr/>
      </xdr:nvSpPr>
      <xdr:spPr>
        <a:xfrm>
          <a:off x="7478326" y="35691536"/>
          <a:ext cx="307361" cy="775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1"/>
  <sheetViews>
    <sheetView workbookViewId="0">
      <selection activeCell="A5" sqref="A5"/>
    </sheetView>
  </sheetViews>
  <sheetFormatPr defaultRowHeight="13.5"/>
  <cols>
    <col min="1" max="6" width="9" style="508"/>
    <col min="7" max="7" width="9" style="508" customWidth="1"/>
    <col min="8" max="16384" width="9" style="508"/>
  </cols>
  <sheetData>
    <row r="1" spans="1:1" ht="25.5" customHeight="1">
      <c r="A1" s="507" t="s">
        <v>837</v>
      </c>
    </row>
    <row r="2" spans="1:1" ht="15.75" customHeight="1">
      <c r="A2" s="508" t="s">
        <v>838</v>
      </c>
    </row>
    <row r="4" spans="1:1" ht="24" customHeight="1">
      <c r="A4" s="509" t="s">
        <v>839</v>
      </c>
    </row>
    <row r="5" spans="1:1" ht="16.5" customHeight="1">
      <c r="A5" s="508" t="s">
        <v>840</v>
      </c>
    </row>
    <row r="6" spans="1:1" ht="16.5" customHeight="1">
      <c r="A6" s="508" t="s">
        <v>841</v>
      </c>
    </row>
    <row r="8" spans="1:1" ht="19.5" customHeight="1">
      <c r="A8" s="509" t="s">
        <v>842</v>
      </c>
    </row>
    <row r="9" spans="1:1" ht="16.5" customHeight="1">
      <c r="A9" s="508" t="s">
        <v>843</v>
      </c>
    </row>
    <row r="10" spans="1:1" ht="16.5" customHeight="1">
      <c r="A10" s="508" t="s">
        <v>844</v>
      </c>
    </row>
    <row r="11" spans="1:1" ht="16.5" customHeight="1">
      <c r="A11" s="508" t="s">
        <v>845</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H659"/>
  <sheetViews>
    <sheetView topLeftCell="W5" zoomScale="80" zoomScaleNormal="80" workbookViewId="0">
      <selection activeCell="CI7" sqref="CI7"/>
    </sheetView>
  </sheetViews>
  <sheetFormatPr defaultRowHeight="18.75"/>
  <cols>
    <col min="1" max="2" width="9" style="157"/>
    <col min="3" max="5" width="9" style="160"/>
    <col min="6" max="6" width="6.875" style="285" customWidth="1"/>
    <col min="7" max="7" width="8.125" style="286" customWidth="1"/>
    <col min="8" max="8" width="6.875" style="285" customWidth="1"/>
    <col min="9" max="9" width="8.125" style="286" customWidth="1"/>
    <col min="10" max="10" width="2.25" style="161" customWidth="1"/>
    <col min="11" max="11" width="6.25" style="285" customWidth="1"/>
    <col min="12" max="12" width="6.25" style="286" customWidth="1"/>
    <col min="13" max="13" width="7.625" style="287" customWidth="1"/>
    <col min="14" max="14" width="6.25" style="285" customWidth="1"/>
    <col min="15" max="15" width="6.25" style="286" customWidth="1"/>
    <col min="16" max="16" width="7.625" style="287" customWidth="1"/>
    <col min="17" max="18" width="9" style="160"/>
    <col min="19" max="19" width="7.875" style="160" customWidth="1"/>
    <col min="20" max="20" width="11.875" style="160" customWidth="1"/>
    <col min="21" max="22" width="9" style="160"/>
    <col min="23" max="23" width="9" style="208"/>
    <col min="24" max="24" width="9" style="160"/>
    <col min="25" max="25" width="11.625" style="208" customWidth="1"/>
    <col min="26" max="27" width="9" style="160"/>
    <col min="28" max="28" width="11.75" style="160" customWidth="1"/>
    <col min="29" max="29" width="9" style="160"/>
    <col min="30" max="30" width="8" style="285" customWidth="1"/>
    <col min="31" max="31" width="6.75" style="285" customWidth="1"/>
    <col min="32" max="32" width="9" style="160"/>
    <col min="33" max="33" width="7.5" style="160" customWidth="1"/>
    <col min="34" max="34" width="10.875" style="160" customWidth="1"/>
    <col min="35" max="35" width="9" style="160"/>
    <col min="36" max="37" width="17.5" style="208" customWidth="1"/>
    <col min="38" max="38" width="5.25" style="160" customWidth="1"/>
    <col min="39" max="39" width="7.5" style="160" customWidth="1"/>
    <col min="40" max="40" width="22.125" style="160" customWidth="1"/>
    <col min="41" max="41" width="9" style="160"/>
    <col min="42" max="45" width="5.75" style="285" customWidth="1"/>
    <col min="46" max="46" width="2.25" style="285" customWidth="1"/>
    <col min="47" max="47" width="6" style="288" customWidth="1"/>
    <col min="48" max="51" width="5.75" style="285" customWidth="1"/>
    <col min="52" max="52" width="9" style="160"/>
    <col min="53" max="53" width="11.625" style="285" customWidth="1"/>
    <col min="54" max="54" width="9" style="160"/>
    <col min="55" max="55" width="11.75" style="288" customWidth="1"/>
    <col min="56" max="56" width="9" style="160"/>
    <col min="57" max="57" width="9" style="208"/>
    <col min="58" max="58" width="5.875" style="160" customWidth="1"/>
    <col min="59" max="61" width="9" style="160"/>
    <col min="62" max="62" width="9" style="214"/>
    <col min="63" max="63" width="9" style="160"/>
    <col min="64" max="64" width="16.375" style="214" customWidth="1"/>
    <col min="65" max="65" width="15.875" style="214" customWidth="1"/>
    <col min="66" max="67" width="17.25" style="214" customWidth="1"/>
    <col min="68" max="68" width="9" style="160"/>
    <col min="69" max="72" width="9" style="208"/>
    <col min="73" max="73" width="9" style="160"/>
    <col min="74" max="74" width="9" style="208" customWidth="1"/>
    <col min="75" max="78" width="9" style="208"/>
    <col min="79" max="79" width="9" style="160"/>
    <col min="80" max="80" width="9" style="208"/>
    <col min="81" max="81" width="5.375" style="208" customWidth="1"/>
    <col min="82" max="84" width="9" style="208"/>
    <col min="85" max="85" width="9" style="160"/>
    <col min="86" max="86" width="23" style="214" customWidth="1"/>
    <col min="87" max="16384" width="9" style="2"/>
  </cols>
  <sheetData>
    <row r="1" spans="1:86" s="1" customFormat="1" ht="108" customHeight="1">
      <c r="A1" s="1563" t="s">
        <v>292</v>
      </c>
      <c r="B1" s="1563" t="s">
        <v>293</v>
      </c>
      <c r="C1" s="1564" t="s">
        <v>294</v>
      </c>
      <c r="D1" s="1564" t="s">
        <v>295</v>
      </c>
      <c r="E1" s="157"/>
      <c r="F1" s="1565" t="s">
        <v>682</v>
      </c>
      <c r="G1" s="1565"/>
      <c r="H1" s="1565"/>
      <c r="I1" s="1565"/>
      <c r="J1" s="158"/>
      <c r="K1" s="1566" t="s">
        <v>374</v>
      </c>
      <c r="L1" s="1566"/>
      <c r="M1" s="1566"/>
      <c r="N1" s="1566"/>
      <c r="O1" s="1566"/>
      <c r="P1" s="1566"/>
      <c r="Q1" s="157"/>
      <c r="R1" s="1576" t="s">
        <v>296</v>
      </c>
      <c r="S1" s="1577"/>
      <c r="T1" s="1593"/>
      <c r="U1" s="157"/>
      <c r="V1" s="1576" t="s">
        <v>297</v>
      </c>
      <c r="W1" s="1577"/>
      <c r="X1" s="1577"/>
      <c r="Y1" s="1577"/>
      <c r="Z1" s="1577"/>
      <c r="AA1" s="1577"/>
      <c r="AB1" s="1593"/>
      <c r="AC1" s="157"/>
      <c r="AD1" s="1576" t="s">
        <v>298</v>
      </c>
      <c r="AE1" s="1577"/>
      <c r="AF1" s="1577"/>
      <c r="AG1" s="1577"/>
      <c r="AH1" s="1593"/>
      <c r="AI1" s="157"/>
      <c r="AJ1" s="1576" t="s">
        <v>299</v>
      </c>
      <c r="AK1" s="1577"/>
      <c r="AL1" s="1577"/>
      <c r="AM1" s="1577"/>
      <c r="AN1" s="1593"/>
      <c r="AO1" s="157"/>
      <c r="AP1" s="1560" t="s">
        <v>522</v>
      </c>
      <c r="AQ1" s="1561"/>
      <c r="AR1" s="1561"/>
      <c r="AS1" s="1562"/>
      <c r="AT1" s="158"/>
      <c r="AU1" s="1560" t="s">
        <v>523</v>
      </c>
      <c r="AV1" s="1561"/>
      <c r="AW1" s="1561"/>
      <c r="AX1" s="1561"/>
      <c r="AY1" s="1562"/>
      <c r="AZ1" s="157"/>
      <c r="BA1" s="1558" t="s">
        <v>683</v>
      </c>
      <c r="BB1" s="157"/>
      <c r="BC1" s="1558" t="s">
        <v>684</v>
      </c>
      <c r="BD1" s="159"/>
      <c r="BE1" s="1576" t="s">
        <v>300</v>
      </c>
      <c r="BF1" s="1577"/>
      <c r="BG1" s="1577"/>
      <c r="BH1" s="1593"/>
      <c r="BI1" s="157"/>
      <c r="BJ1" s="1586" t="s">
        <v>301</v>
      </c>
      <c r="BK1" s="157"/>
      <c r="BL1" s="1592" t="s">
        <v>302</v>
      </c>
      <c r="BM1" s="1592"/>
      <c r="BN1" s="1592"/>
      <c r="BO1" s="1592"/>
      <c r="BP1" s="157"/>
      <c r="BQ1" s="1580" t="s">
        <v>303</v>
      </c>
      <c r="BR1" s="1581"/>
      <c r="BS1" s="1581"/>
      <c r="BT1" s="1582"/>
      <c r="BU1" s="157"/>
      <c r="BV1" s="1580" t="s">
        <v>304</v>
      </c>
      <c r="BW1" s="1581"/>
      <c r="BX1" s="1581"/>
      <c r="BY1" s="1581"/>
      <c r="BZ1" s="1582"/>
      <c r="CA1" s="157"/>
      <c r="CB1" s="1580" t="s">
        <v>305</v>
      </c>
      <c r="CC1" s="1581"/>
      <c r="CD1" s="1581"/>
      <c r="CE1" s="1581"/>
      <c r="CF1" s="1582"/>
      <c r="CG1" s="157"/>
      <c r="CH1" s="1586" t="s">
        <v>306</v>
      </c>
    </row>
    <row r="2" spans="1:86" ht="27" customHeight="1">
      <c r="A2" s="1563"/>
      <c r="B2" s="1563"/>
      <c r="C2" s="1564"/>
      <c r="D2" s="1564"/>
      <c r="F2" s="1565" t="s">
        <v>685</v>
      </c>
      <c r="G2" s="1565"/>
      <c r="H2" s="1588" t="s">
        <v>686</v>
      </c>
      <c r="I2" s="1588"/>
      <c r="K2" s="1565" t="s">
        <v>685</v>
      </c>
      <c r="L2" s="1565"/>
      <c r="M2" s="1601"/>
      <c r="N2" s="1588" t="s">
        <v>686</v>
      </c>
      <c r="O2" s="1588"/>
      <c r="P2" s="1588"/>
      <c r="R2" s="1594"/>
      <c r="S2" s="1595"/>
      <c r="T2" s="1596"/>
      <c r="V2" s="1594"/>
      <c r="W2" s="1595"/>
      <c r="X2" s="1595"/>
      <c r="Y2" s="1595"/>
      <c r="Z2" s="1595"/>
      <c r="AA2" s="1595"/>
      <c r="AB2" s="1596"/>
      <c r="AD2" s="1594"/>
      <c r="AE2" s="1595"/>
      <c r="AF2" s="1595"/>
      <c r="AG2" s="1595"/>
      <c r="AH2" s="1596"/>
      <c r="AJ2" s="1594"/>
      <c r="AK2" s="1595"/>
      <c r="AL2" s="1595"/>
      <c r="AM2" s="1595"/>
      <c r="AN2" s="1596"/>
      <c r="AP2" s="1589" t="s">
        <v>687</v>
      </c>
      <c r="AQ2" s="1590"/>
      <c r="AR2" s="1590"/>
      <c r="AS2" s="1591"/>
      <c r="AT2" s="158"/>
      <c r="AU2" s="162"/>
      <c r="AV2" s="1602" t="s">
        <v>687</v>
      </c>
      <c r="AW2" s="1590"/>
      <c r="AX2" s="1590"/>
      <c r="AY2" s="1591"/>
      <c r="BA2" s="1559"/>
      <c r="BC2" s="1559"/>
      <c r="BD2" s="159"/>
      <c r="BE2" s="1594"/>
      <c r="BF2" s="1595"/>
      <c r="BG2" s="1595"/>
      <c r="BH2" s="1596"/>
      <c r="BJ2" s="1587"/>
      <c r="BL2" s="1592" t="s">
        <v>307</v>
      </c>
      <c r="BM2" s="1592" t="s">
        <v>308</v>
      </c>
      <c r="BN2" s="1592" t="s">
        <v>309</v>
      </c>
      <c r="BO2" s="1592" t="s">
        <v>310</v>
      </c>
      <c r="BQ2" s="1583"/>
      <c r="BR2" s="1584"/>
      <c r="BS2" s="1584"/>
      <c r="BT2" s="1585"/>
      <c r="BV2" s="1583"/>
      <c r="BW2" s="1584"/>
      <c r="BX2" s="1584"/>
      <c r="BY2" s="1584"/>
      <c r="BZ2" s="1585"/>
      <c r="CB2" s="1583"/>
      <c r="CC2" s="1584"/>
      <c r="CD2" s="1584"/>
      <c r="CE2" s="1584"/>
      <c r="CF2" s="1585"/>
      <c r="CH2" s="1587"/>
    </row>
    <row r="3" spans="1:86" s="1" customFormat="1" ht="40.5" customHeight="1">
      <c r="A3" s="1563"/>
      <c r="B3" s="1563"/>
      <c r="C3" s="1564"/>
      <c r="D3" s="1564"/>
      <c r="E3" s="157"/>
      <c r="F3" s="1567" t="s">
        <v>650</v>
      </c>
      <c r="G3" s="1568"/>
      <c r="H3" s="1567" t="s">
        <v>650</v>
      </c>
      <c r="I3" s="1568"/>
      <c r="J3" s="163"/>
      <c r="K3" s="164"/>
      <c r="L3" s="165"/>
      <c r="M3" s="166"/>
      <c r="N3" s="164"/>
      <c r="O3" s="165"/>
      <c r="P3" s="167"/>
      <c r="Q3" s="157"/>
      <c r="R3" s="168"/>
      <c r="S3" s="1576" t="s">
        <v>311</v>
      </c>
      <c r="T3" s="1593"/>
      <c r="U3" s="157"/>
      <c r="V3" s="168"/>
      <c r="W3" s="169"/>
      <c r="X3" s="170"/>
      <c r="Y3" s="1580" t="s">
        <v>148</v>
      </c>
      <c r="Z3" s="1582"/>
      <c r="AA3" s="170"/>
      <c r="AB3" s="171"/>
      <c r="AC3" s="157"/>
      <c r="AD3" s="172"/>
      <c r="AE3" s="173"/>
      <c r="AF3" s="170"/>
      <c r="AG3" s="1576" t="s">
        <v>160</v>
      </c>
      <c r="AH3" s="1593"/>
      <c r="AI3" s="157"/>
      <c r="AJ3" s="174"/>
      <c r="AK3" s="169"/>
      <c r="AL3" s="170"/>
      <c r="AM3" s="1576" t="s">
        <v>160</v>
      </c>
      <c r="AN3" s="1593"/>
      <c r="AO3" s="157"/>
      <c r="AP3" s="1600" t="s">
        <v>688</v>
      </c>
      <c r="AQ3" s="1570"/>
      <c r="AR3" s="1569" t="s">
        <v>689</v>
      </c>
      <c r="AS3" s="1570"/>
      <c r="AT3" s="163"/>
      <c r="AU3" s="172"/>
      <c r="AV3" s="1569" t="s">
        <v>688</v>
      </c>
      <c r="AW3" s="1570"/>
      <c r="AX3" s="1569" t="s">
        <v>689</v>
      </c>
      <c r="AY3" s="1570"/>
      <c r="AZ3" s="157"/>
      <c r="BA3" s="175"/>
      <c r="BB3" s="157"/>
      <c r="BC3" s="1559"/>
      <c r="BD3" s="159"/>
      <c r="BE3" s="174"/>
      <c r="BF3" s="170"/>
      <c r="BG3" s="1598" t="s">
        <v>160</v>
      </c>
      <c r="BH3" s="1599"/>
      <c r="BI3" s="157"/>
      <c r="BJ3" s="1597"/>
      <c r="BK3" s="157"/>
      <c r="BL3" s="1592"/>
      <c r="BM3" s="1592"/>
      <c r="BN3" s="1592"/>
      <c r="BO3" s="1592"/>
      <c r="BP3" s="157"/>
      <c r="BQ3" s="1583"/>
      <c r="BR3" s="1584"/>
      <c r="BS3" s="1584"/>
      <c r="BT3" s="1585"/>
      <c r="BU3" s="157"/>
      <c r="BV3" s="1583"/>
      <c r="BW3" s="1584"/>
      <c r="BX3" s="1584"/>
      <c r="BY3" s="1584"/>
      <c r="BZ3" s="1585"/>
      <c r="CA3" s="157"/>
      <c r="CB3" s="1583"/>
      <c r="CC3" s="1584"/>
      <c r="CD3" s="1584"/>
      <c r="CE3" s="1584"/>
      <c r="CF3" s="1585"/>
      <c r="CG3" s="157"/>
      <c r="CH3" s="1587"/>
    </row>
    <row r="4" spans="1:86">
      <c r="A4" s="168"/>
      <c r="B4" s="170"/>
      <c r="C4" s="176"/>
      <c r="D4" s="177"/>
      <c r="F4" s="164"/>
      <c r="G4" s="178" t="s">
        <v>690</v>
      </c>
      <c r="H4" s="164"/>
      <c r="I4" s="178" t="s">
        <v>690</v>
      </c>
      <c r="J4" s="179"/>
      <c r="K4" s="172"/>
      <c r="L4" s="180" t="s">
        <v>690</v>
      </c>
      <c r="M4" s="166"/>
      <c r="N4" s="181"/>
      <c r="O4" s="180" t="s">
        <v>690</v>
      </c>
      <c r="P4" s="167"/>
      <c r="R4" s="182"/>
      <c r="S4" s="183"/>
      <c r="T4" s="184"/>
      <c r="V4" s="182"/>
      <c r="W4" s="185"/>
      <c r="X4" s="176"/>
      <c r="Y4" s="186"/>
      <c r="Z4" s="184"/>
      <c r="AA4" s="176"/>
      <c r="AB4" s="177"/>
      <c r="AD4" s="164"/>
      <c r="AE4" s="178" t="s">
        <v>690</v>
      </c>
      <c r="AF4" s="176"/>
      <c r="AG4" s="183"/>
      <c r="AH4" s="184"/>
      <c r="AJ4" s="187"/>
      <c r="AK4" s="185"/>
      <c r="AL4" s="176"/>
      <c r="AM4" s="183"/>
      <c r="AN4" s="184"/>
      <c r="AP4" s="188" t="s">
        <v>691</v>
      </c>
      <c r="AQ4" s="189" t="s">
        <v>692</v>
      </c>
      <c r="AR4" s="190" t="s">
        <v>691</v>
      </c>
      <c r="AS4" s="189" t="s">
        <v>692</v>
      </c>
      <c r="AT4" s="163"/>
      <c r="AU4" s="172"/>
      <c r="AV4" s="190" t="s">
        <v>691</v>
      </c>
      <c r="AW4" s="189" t="s">
        <v>692</v>
      </c>
      <c r="AX4" s="190" t="s">
        <v>691</v>
      </c>
      <c r="AY4" s="189" t="s">
        <v>692</v>
      </c>
      <c r="BA4" s="191"/>
      <c r="BC4" s="1559"/>
      <c r="BE4" s="187"/>
      <c r="BF4" s="176"/>
      <c r="BG4" s="183"/>
      <c r="BH4" s="184"/>
      <c r="BJ4" s="192"/>
      <c r="BL4" s="193"/>
      <c r="BM4" s="194"/>
      <c r="BN4" s="194"/>
      <c r="BO4" s="195"/>
      <c r="BQ4" s="186"/>
      <c r="BR4" s="196"/>
      <c r="BS4" s="196"/>
      <c r="BT4" s="197"/>
      <c r="BV4" s="186"/>
      <c r="BW4" s="196"/>
      <c r="BX4" s="196"/>
      <c r="BY4" s="196"/>
      <c r="BZ4" s="197"/>
      <c r="CB4" s="186"/>
      <c r="CC4" s="196"/>
      <c r="CD4" s="196"/>
      <c r="CE4" s="196"/>
      <c r="CF4" s="197"/>
      <c r="CH4" s="198"/>
    </row>
    <row r="5" spans="1:86">
      <c r="A5" s="199" t="s">
        <v>161</v>
      </c>
      <c r="B5" s="199" t="s">
        <v>162</v>
      </c>
      <c r="C5" s="200" t="s">
        <v>163</v>
      </c>
      <c r="D5" s="200" t="s">
        <v>164</v>
      </c>
      <c r="F5" s="1571" t="s">
        <v>657</v>
      </c>
      <c r="G5" s="1571"/>
      <c r="H5" s="1571" t="s">
        <v>657</v>
      </c>
      <c r="I5" s="1571"/>
      <c r="K5" s="1571" t="s">
        <v>693</v>
      </c>
      <c r="L5" s="1571"/>
      <c r="M5" s="1571"/>
      <c r="N5" s="1572" t="s">
        <v>693</v>
      </c>
      <c r="O5" s="1572"/>
      <c r="P5" s="1572"/>
      <c r="R5" s="1573" t="s">
        <v>166</v>
      </c>
      <c r="S5" s="1574"/>
      <c r="T5" s="1575"/>
      <c r="V5" s="1573" t="s">
        <v>167</v>
      </c>
      <c r="W5" s="1574"/>
      <c r="X5" s="1574"/>
      <c r="Y5" s="1574"/>
      <c r="Z5" s="1574"/>
      <c r="AA5" s="1574"/>
      <c r="AB5" s="1575"/>
      <c r="AD5" s="1573" t="s">
        <v>168</v>
      </c>
      <c r="AE5" s="1574"/>
      <c r="AF5" s="1574"/>
      <c r="AG5" s="1574"/>
      <c r="AH5" s="1575"/>
      <c r="AJ5" s="1573" t="s">
        <v>170</v>
      </c>
      <c r="AK5" s="1574"/>
      <c r="AL5" s="1574"/>
      <c r="AM5" s="1574"/>
      <c r="AN5" s="1575"/>
      <c r="AP5" s="1607" t="s">
        <v>694</v>
      </c>
      <c r="AQ5" s="1608"/>
      <c r="AR5" s="1608"/>
      <c r="AS5" s="1609"/>
      <c r="AT5" s="163"/>
      <c r="AU5" s="1607" t="s">
        <v>695</v>
      </c>
      <c r="AV5" s="1608"/>
      <c r="AW5" s="1608"/>
      <c r="AX5" s="1608"/>
      <c r="AY5" s="1609"/>
      <c r="BA5" s="201" t="s">
        <v>658</v>
      </c>
      <c r="BC5" s="201" t="s">
        <v>660</v>
      </c>
      <c r="BE5" s="1573" t="s">
        <v>173</v>
      </c>
      <c r="BF5" s="1574"/>
      <c r="BG5" s="1574"/>
      <c r="BH5" s="1575"/>
      <c r="BJ5" s="198" t="s">
        <v>174</v>
      </c>
      <c r="BL5" s="1610" t="s">
        <v>175</v>
      </c>
      <c r="BM5" s="1610"/>
      <c r="BN5" s="1610"/>
      <c r="BO5" s="1610"/>
      <c r="BQ5" s="1604" t="s">
        <v>176</v>
      </c>
      <c r="BR5" s="1605"/>
      <c r="BS5" s="1605"/>
      <c r="BT5" s="1606"/>
      <c r="BV5" s="1604" t="s">
        <v>177</v>
      </c>
      <c r="BW5" s="1605"/>
      <c r="BX5" s="1605"/>
      <c r="BY5" s="1605"/>
      <c r="BZ5" s="1606"/>
      <c r="CB5" s="1604" t="s">
        <v>244</v>
      </c>
      <c r="CC5" s="1605"/>
      <c r="CD5" s="1605"/>
      <c r="CE5" s="1605"/>
      <c r="CF5" s="1606"/>
      <c r="CH5" s="198" t="s">
        <v>250</v>
      </c>
    </row>
    <row r="6" spans="1:86">
      <c r="F6" s="202"/>
      <c r="G6" s="203"/>
      <c r="H6" s="204"/>
      <c r="I6" s="203"/>
      <c r="K6" s="205"/>
      <c r="L6" s="206"/>
      <c r="M6" s="207"/>
      <c r="N6" s="204"/>
      <c r="O6" s="206"/>
      <c r="P6" s="207"/>
      <c r="AD6" s="209"/>
      <c r="AE6" s="209"/>
      <c r="AP6" s="210"/>
      <c r="AQ6" s="210"/>
      <c r="AR6" s="210"/>
      <c r="AS6" s="210"/>
      <c r="AT6" s="211"/>
      <c r="AU6" s="212"/>
      <c r="AV6" s="210"/>
      <c r="AW6" s="210"/>
      <c r="AX6" s="210"/>
      <c r="AY6" s="210"/>
      <c r="BA6" s="209"/>
      <c r="BC6" s="213"/>
    </row>
    <row r="7" spans="1:86" ht="56.25" customHeight="1">
      <c r="A7" s="1563" t="s">
        <v>178</v>
      </c>
      <c r="B7" s="215" t="s">
        <v>312</v>
      </c>
      <c r="C7" s="216" t="s">
        <v>313</v>
      </c>
      <c r="D7" s="217" t="s">
        <v>314</v>
      </c>
      <c r="F7" s="218">
        <v>245090</v>
      </c>
      <c r="G7" s="219">
        <v>252980</v>
      </c>
      <c r="H7" s="218">
        <v>192200</v>
      </c>
      <c r="I7" s="219">
        <v>200090</v>
      </c>
      <c r="J7" s="179" t="s">
        <v>182</v>
      </c>
      <c r="K7" s="220">
        <v>2430</v>
      </c>
      <c r="L7" s="221">
        <v>2500</v>
      </c>
      <c r="M7" s="222" t="s">
        <v>795</v>
      </c>
      <c r="N7" s="220">
        <v>1900</v>
      </c>
      <c r="O7" s="221">
        <v>1970</v>
      </c>
      <c r="P7" s="222" t="s">
        <v>795</v>
      </c>
      <c r="Q7" s="160" t="s">
        <v>182</v>
      </c>
      <c r="R7" s="223">
        <v>7890</v>
      </c>
      <c r="S7" s="224">
        <v>70</v>
      </c>
      <c r="T7" s="225" t="s">
        <v>184</v>
      </c>
      <c r="U7" s="160" t="s">
        <v>182</v>
      </c>
      <c r="V7" s="1576" t="s">
        <v>315</v>
      </c>
      <c r="W7" s="1577"/>
      <c r="X7" s="226" t="s">
        <v>182</v>
      </c>
      <c r="Y7" s="1577" t="s">
        <v>315</v>
      </c>
      <c r="Z7" s="1577"/>
      <c r="AA7" s="226"/>
      <c r="AB7" s="217"/>
      <c r="AC7" s="160" t="s">
        <v>182</v>
      </c>
      <c r="AD7" s="1546">
        <v>54290</v>
      </c>
      <c r="AE7" s="227"/>
      <c r="AF7" s="226" t="s">
        <v>182</v>
      </c>
      <c r="AG7" s="226">
        <v>470</v>
      </c>
      <c r="AH7" s="217" t="s">
        <v>184</v>
      </c>
      <c r="AI7" s="160" t="s">
        <v>182</v>
      </c>
      <c r="AJ7" s="228" t="s">
        <v>186</v>
      </c>
      <c r="AK7" s="229"/>
      <c r="AL7" s="226" t="s">
        <v>182</v>
      </c>
      <c r="AM7" s="226">
        <v>320</v>
      </c>
      <c r="AN7" s="217" t="s">
        <v>316</v>
      </c>
      <c r="AO7" s="160" t="s">
        <v>182</v>
      </c>
      <c r="AP7" s="1550">
        <v>15800</v>
      </c>
      <c r="AQ7" s="1553">
        <v>17400</v>
      </c>
      <c r="AR7" s="1550">
        <v>11000</v>
      </c>
      <c r="AS7" s="1553">
        <v>11000</v>
      </c>
      <c r="AT7" s="1544" t="s">
        <v>664</v>
      </c>
      <c r="AU7" s="230" t="s">
        <v>697</v>
      </c>
      <c r="AV7" s="231">
        <v>31600</v>
      </c>
      <c r="AW7" s="232">
        <v>35200</v>
      </c>
      <c r="AX7" s="233">
        <v>22100</v>
      </c>
      <c r="AY7" s="234">
        <v>22100</v>
      </c>
      <c r="AZ7" s="160" t="s">
        <v>182</v>
      </c>
      <c r="BA7" s="235"/>
      <c r="BB7" s="160" t="s">
        <v>182</v>
      </c>
      <c r="BC7" s="1556">
        <v>4700</v>
      </c>
      <c r="BD7" s="160" t="s">
        <v>182</v>
      </c>
      <c r="BE7" s="228">
        <v>22050</v>
      </c>
      <c r="BF7" s="226" t="s">
        <v>182</v>
      </c>
      <c r="BG7" s="226">
        <v>220</v>
      </c>
      <c r="BH7" s="217" t="s">
        <v>184</v>
      </c>
      <c r="BI7" s="160" t="s">
        <v>188</v>
      </c>
      <c r="BJ7" s="236"/>
      <c r="BK7" s="160" t="s">
        <v>188</v>
      </c>
      <c r="BL7" s="237" t="s">
        <v>317</v>
      </c>
      <c r="BM7" s="238" t="s">
        <v>317</v>
      </c>
      <c r="BN7" s="238" t="s">
        <v>317</v>
      </c>
      <c r="BO7" s="239" t="s">
        <v>317</v>
      </c>
      <c r="BP7" s="160" t="s">
        <v>188</v>
      </c>
      <c r="BQ7" s="228"/>
      <c r="BR7" s="229"/>
      <c r="BS7" s="229"/>
      <c r="BT7" s="240"/>
      <c r="BU7" s="160" t="s">
        <v>188</v>
      </c>
      <c r="BV7" s="228"/>
      <c r="BW7" s="229"/>
      <c r="BX7" s="229"/>
      <c r="BY7" s="229"/>
      <c r="BZ7" s="240"/>
      <c r="CA7" s="160" t="s">
        <v>188</v>
      </c>
      <c r="CB7" s="228"/>
      <c r="CC7" s="229"/>
      <c r="CD7" s="229"/>
      <c r="CE7" s="229"/>
      <c r="CF7" s="240"/>
      <c r="CH7" s="236" t="s">
        <v>698</v>
      </c>
    </row>
    <row r="8" spans="1:86">
      <c r="A8" s="1563"/>
      <c r="B8" s="168"/>
      <c r="C8" s="241"/>
      <c r="D8" s="177" t="s">
        <v>318</v>
      </c>
      <c r="F8" s="242">
        <v>252980</v>
      </c>
      <c r="G8" s="243">
        <v>316470</v>
      </c>
      <c r="H8" s="242">
        <v>200090</v>
      </c>
      <c r="I8" s="243">
        <v>263580</v>
      </c>
      <c r="J8" s="179" t="s">
        <v>182</v>
      </c>
      <c r="K8" s="244">
        <v>2500</v>
      </c>
      <c r="L8" s="245">
        <v>3050</v>
      </c>
      <c r="M8" s="246" t="s">
        <v>795</v>
      </c>
      <c r="N8" s="244">
        <v>1970</v>
      </c>
      <c r="O8" s="245">
        <v>2520</v>
      </c>
      <c r="P8" s="246" t="s">
        <v>795</v>
      </c>
      <c r="Q8" s="160" t="s">
        <v>182</v>
      </c>
      <c r="R8" s="187">
        <v>7890</v>
      </c>
      <c r="S8" s="176">
        <v>70</v>
      </c>
      <c r="T8" s="247" t="s">
        <v>184</v>
      </c>
      <c r="V8" s="1578"/>
      <c r="W8" s="1579"/>
      <c r="X8" s="176"/>
      <c r="Y8" s="1579"/>
      <c r="Z8" s="1579"/>
      <c r="AA8" s="176"/>
      <c r="AB8" s="177"/>
      <c r="AD8" s="1603"/>
      <c r="AE8" s="248">
        <v>52560</v>
      </c>
      <c r="AF8" s="176"/>
      <c r="AG8" s="176"/>
      <c r="AH8" s="177"/>
      <c r="AJ8" s="187"/>
      <c r="AK8" s="185"/>
      <c r="AL8" s="176"/>
      <c r="AM8" s="176"/>
      <c r="AN8" s="177"/>
      <c r="AP8" s="1551"/>
      <c r="AQ8" s="1554"/>
      <c r="AR8" s="1551"/>
      <c r="AS8" s="1554"/>
      <c r="AT8" s="1544"/>
      <c r="AU8" s="172" t="s">
        <v>699</v>
      </c>
      <c r="AV8" s="249">
        <v>17400</v>
      </c>
      <c r="AW8" s="250">
        <v>19400</v>
      </c>
      <c r="AX8" s="251">
        <v>12200</v>
      </c>
      <c r="AY8" s="252">
        <v>12200</v>
      </c>
      <c r="BA8" s="235"/>
      <c r="BC8" s="1557"/>
      <c r="BE8" s="187"/>
      <c r="BF8" s="176"/>
      <c r="BG8" s="176"/>
      <c r="BH8" s="177"/>
      <c r="BJ8" s="253"/>
      <c r="BL8" s="193"/>
      <c r="BM8" s="194"/>
      <c r="BN8" s="194"/>
      <c r="BO8" s="195"/>
      <c r="BQ8" s="187">
        <v>12720</v>
      </c>
      <c r="BR8" s="185" t="s">
        <v>189</v>
      </c>
      <c r="BS8" s="185">
        <v>120</v>
      </c>
      <c r="BT8" s="254" t="s">
        <v>184</v>
      </c>
      <c r="BV8" s="187">
        <v>47340</v>
      </c>
      <c r="BW8" s="185" t="s">
        <v>189</v>
      </c>
      <c r="BX8" s="185">
        <v>470</v>
      </c>
      <c r="BY8" s="185" t="s">
        <v>184</v>
      </c>
      <c r="BZ8" s="254" t="s">
        <v>190</v>
      </c>
      <c r="CB8" s="187">
        <v>31210</v>
      </c>
      <c r="CC8" s="185" t="s">
        <v>189</v>
      </c>
      <c r="CD8" s="185">
        <v>310</v>
      </c>
      <c r="CE8" s="185" t="s">
        <v>184</v>
      </c>
      <c r="CF8" s="254" t="s">
        <v>190</v>
      </c>
      <c r="CH8" s="253"/>
    </row>
    <row r="9" spans="1:86">
      <c r="A9" s="1563"/>
      <c r="B9" s="168"/>
      <c r="C9" s="241" t="s">
        <v>319</v>
      </c>
      <c r="D9" s="177" t="s">
        <v>320</v>
      </c>
      <c r="F9" s="242">
        <v>316470</v>
      </c>
      <c r="G9" s="243">
        <v>395380</v>
      </c>
      <c r="H9" s="242">
        <v>263580</v>
      </c>
      <c r="I9" s="243">
        <v>342490</v>
      </c>
      <c r="J9" s="179" t="s">
        <v>182</v>
      </c>
      <c r="K9" s="244">
        <v>3050</v>
      </c>
      <c r="L9" s="245">
        <v>3840</v>
      </c>
      <c r="M9" s="246" t="s">
        <v>795</v>
      </c>
      <c r="N9" s="244">
        <v>2520</v>
      </c>
      <c r="O9" s="245">
        <v>3310</v>
      </c>
      <c r="P9" s="246" t="s">
        <v>795</v>
      </c>
      <c r="R9" s="182"/>
      <c r="S9" s="176"/>
      <c r="T9" s="177"/>
      <c r="V9" s="1578"/>
      <c r="W9" s="1579"/>
      <c r="X9" s="176"/>
      <c r="Y9" s="1579"/>
      <c r="Z9" s="1579"/>
      <c r="AA9" s="176"/>
      <c r="AB9" s="177"/>
      <c r="AC9" s="160" t="s">
        <v>182</v>
      </c>
      <c r="AD9" s="1548">
        <v>52560</v>
      </c>
      <c r="AE9" s="255"/>
      <c r="AF9" s="176"/>
      <c r="AG9" s="176"/>
      <c r="AH9" s="177"/>
      <c r="AJ9" s="187">
        <v>32500</v>
      </c>
      <c r="AK9" s="185" t="s">
        <v>321</v>
      </c>
      <c r="AL9" s="176"/>
      <c r="AM9" s="176"/>
      <c r="AN9" s="177"/>
      <c r="AP9" s="1551"/>
      <c r="AQ9" s="1554"/>
      <c r="AR9" s="1551"/>
      <c r="AS9" s="1554"/>
      <c r="AT9" s="1544"/>
      <c r="AU9" s="172" t="s">
        <v>700</v>
      </c>
      <c r="AV9" s="249">
        <v>15200</v>
      </c>
      <c r="AW9" s="250">
        <v>16900</v>
      </c>
      <c r="AX9" s="251">
        <v>10600</v>
      </c>
      <c r="AY9" s="252">
        <v>10600</v>
      </c>
      <c r="BA9" s="235"/>
      <c r="BC9" s="358"/>
      <c r="BE9" s="187"/>
      <c r="BF9" s="176"/>
      <c r="BG9" s="176"/>
      <c r="BH9" s="177"/>
      <c r="BJ9" s="253"/>
      <c r="BL9" s="193">
        <v>0.01</v>
      </c>
      <c r="BM9" s="194">
        <v>0.02</v>
      </c>
      <c r="BN9" s="194">
        <v>0.03</v>
      </c>
      <c r="BO9" s="195">
        <v>0.04</v>
      </c>
      <c r="BQ9" s="187"/>
      <c r="BR9" s="185"/>
      <c r="BS9" s="185"/>
      <c r="BT9" s="254"/>
      <c r="BV9" s="187"/>
      <c r="BW9" s="185"/>
      <c r="BX9" s="185"/>
      <c r="BY9" s="185"/>
      <c r="BZ9" s="254"/>
      <c r="CB9" s="187"/>
      <c r="CC9" s="185"/>
      <c r="CD9" s="185"/>
      <c r="CE9" s="185"/>
      <c r="CF9" s="254"/>
      <c r="CH9" s="253">
        <v>0.61</v>
      </c>
    </row>
    <row r="10" spans="1:86">
      <c r="A10" s="1563"/>
      <c r="B10" s="168"/>
      <c r="C10" s="241"/>
      <c r="D10" s="177" t="s">
        <v>322</v>
      </c>
      <c r="F10" s="256">
        <v>395380</v>
      </c>
      <c r="G10" s="257"/>
      <c r="H10" s="256">
        <v>342490</v>
      </c>
      <c r="I10" s="257"/>
      <c r="J10" s="179" t="s">
        <v>182</v>
      </c>
      <c r="K10" s="258">
        <v>3840</v>
      </c>
      <c r="L10" s="259"/>
      <c r="M10" s="260" t="s">
        <v>795</v>
      </c>
      <c r="N10" s="258">
        <v>3310</v>
      </c>
      <c r="O10" s="259"/>
      <c r="P10" s="260" t="s">
        <v>795</v>
      </c>
      <c r="R10" s="182"/>
      <c r="S10" s="176"/>
      <c r="T10" s="177"/>
      <c r="V10" s="1578"/>
      <c r="W10" s="1579"/>
      <c r="X10" s="176"/>
      <c r="Y10" s="1579"/>
      <c r="Z10" s="1579"/>
      <c r="AA10" s="176"/>
      <c r="AB10" s="177"/>
      <c r="AD10" s="1549"/>
      <c r="AE10" s="261"/>
      <c r="AF10" s="176"/>
      <c r="AG10" s="176"/>
      <c r="AH10" s="177"/>
      <c r="AJ10" s="187"/>
      <c r="AK10" s="185"/>
      <c r="AL10" s="176"/>
      <c r="AM10" s="176"/>
      <c r="AN10" s="177"/>
      <c r="AP10" s="1552"/>
      <c r="AQ10" s="1555"/>
      <c r="AR10" s="1552"/>
      <c r="AS10" s="1555"/>
      <c r="AT10" s="1544"/>
      <c r="AU10" s="262" t="s">
        <v>701</v>
      </c>
      <c r="AV10" s="263">
        <v>13600</v>
      </c>
      <c r="AW10" s="264">
        <v>15100</v>
      </c>
      <c r="AX10" s="265">
        <v>9500</v>
      </c>
      <c r="AY10" s="266">
        <v>9500</v>
      </c>
      <c r="BA10" s="235"/>
      <c r="BC10" s="359"/>
      <c r="BE10" s="187"/>
      <c r="BF10" s="176"/>
      <c r="BG10" s="176"/>
      <c r="BH10" s="177"/>
      <c r="BJ10" s="253"/>
      <c r="BL10" s="193"/>
      <c r="BM10" s="194"/>
      <c r="BN10" s="194"/>
      <c r="BO10" s="195"/>
      <c r="BQ10" s="187"/>
      <c r="BR10" s="185"/>
      <c r="BS10" s="185"/>
      <c r="BT10" s="254"/>
      <c r="BV10" s="187"/>
      <c r="BW10" s="185"/>
      <c r="BX10" s="185"/>
      <c r="BY10" s="185"/>
      <c r="BZ10" s="254"/>
      <c r="CB10" s="187"/>
      <c r="CC10" s="185"/>
      <c r="CD10" s="185"/>
      <c r="CE10" s="185"/>
      <c r="CF10" s="254"/>
      <c r="CH10" s="253"/>
    </row>
    <row r="11" spans="1:86" ht="63">
      <c r="A11" s="1563"/>
      <c r="B11" s="215" t="s">
        <v>323</v>
      </c>
      <c r="C11" s="216" t="s">
        <v>313</v>
      </c>
      <c r="D11" s="217" t="s">
        <v>314</v>
      </c>
      <c r="F11" s="218">
        <v>133050</v>
      </c>
      <c r="G11" s="219">
        <v>140940</v>
      </c>
      <c r="H11" s="218">
        <v>106610</v>
      </c>
      <c r="I11" s="219">
        <v>114500</v>
      </c>
      <c r="J11" s="179" t="s">
        <v>182</v>
      </c>
      <c r="K11" s="220">
        <v>1310</v>
      </c>
      <c r="L11" s="221">
        <v>1380</v>
      </c>
      <c r="M11" s="222" t="s">
        <v>795</v>
      </c>
      <c r="N11" s="220">
        <v>1040</v>
      </c>
      <c r="O11" s="221">
        <v>1110</v>
      </c>
      <c r="P11" s="222" t="s">
        <v>795</v>
      </c>
      <c r="Q11" s="160" t="s">
        <v>182</v>
      </c>
      <c r="R11" s="223">
        <v>7890</v>
      </c>
      <c r="S11" s="224">
        <v>70</v>
      </c>
      <c r="T11" s="225" t="s">
        <v>184</v>
      </c>
      <c r="V11" s="1578"/>
      <c r="W11" s="1579"/>
      <c r="X11" s="176"/>
      <c r="Y11" s="1579"/>
      <c r="Z11" s="1579"/>
      <c r="AA11" s="176"/>
      <c r="AB11" s="177"/>
      <c r="AC11" s="160" t="s">
        <v>182</v>
      </c>
      <c r="AD11" s="1546">
        <v>30600</v>
      </c>
      <c r="AE11" s="227"/>
      <c r="AF11" s="226" t="s">
        <v>182</v>
      </c>
      <c r="AG11" s="226">
        <v>230</v>
      </c>
      <c r="AH11" s="217" t="s">
        <v>184</v>
      </c>
      <c r="AJ11" s="187" t="s">
        <v>194</v>
      </c>
      <c r="AK11" s="185"/>
      <c r="AL11" s="176" t="s">
        <v>182</v>
      </c>
      <c r="AM11" s="176">
        <v>190</v>
      </c>
      <c r="AN11" s="177" t="s">
        <v>316</v>
      </c>
      <c r="AO11" s="160" t="s">
        <v>182</v>
      </c>
      <c r="AP11" s="1550">
        <v>7900</v>
      </c>
      <c r="AQ11" s="1553">
        <v>8700</v>
      </c>
      <c r="AR11" s="1550">
        <v>5500</v>
      </c>
      <c r="AS11" s="1553">
        <v>5500</v>
      </c>
      <c r="AT11" s="1544" t="s">
        <v>664</v>
      </c>
      <c r="AU11" s="230" t="s">
        <v>697</v>
      </c>
      <c r="AV11" s="231">
        <v>15800</v>
      </c>
      <c r="AW11" s="232">
        <v>17600</v>
      </c>
      <c r="AX11" s="267">
        <v>11000</v>
      </c>
      <c r="AY11" s="252">
        <v>11000</v>
      </c>
      <c r="BA11" s="235"/>
      <c r="BB11" s="160" t="s">
        <v>182</v>
      </c>
      <c r="BC11" s="1556">
        <v>4700</v>
      </c>
      <c r="BD11" s="160" t="s">
        <v>182</v>
      </c>
      <c r="BE11" s="228">
        <v>11020</v>
      </c>
      <c r="BF11" s="226" t="s">
        <v>182</v>
      </c>
      <c r="BG11" s="226">
        <v>110</v>
      </c>
      <c r="BH11" s="217" t="s">
        <v>184</v>
      </c>
      <c r="BJ11" s="253"/>
      <c r="BK11" s="160" t="s">
        <v>188</v>
      </c>
      <c r="BL11" s="237" t="s">
        <v>317</v>
      </c>
      <c r="BM11" s="238" t="s">
        <v>317</v>
      </c>
      <c r="BN11" s="238" t="s">
        <v>317</v>
      </c>
      <c r="BO11" s="239" t="s">
        <v>317</v>
      </c>
      <c r="BP11" s="160" t="s">
        <v>188</v>
      </c>
      <c r="BQ11" s="228"/>
      <c r="BR11" s="229"/>
      <c r="BS11" s="229"/>
      <c r="BT11" s="240"/>
      <c r="BU11" s="160" t="s">
        <v>188</v>
      </c>
      <c r="BV11" s="228"/>
      <c r="BW11" s="229"/>
      <c r="BX11" s="229"/>
      <c r="BY11" s="229"/>
      <c r="BZ11" s="240"/>
      <c r="CA11" s="160" t="s">
        <v>188</v>
      </c>
      <c r="CB11" s="228"/>
      <c r="CC11" s="229"/>
      <c r="CD11" s="229"/>
      <c r="CE11" s="229"/>
      <c r="CF11" s="240"/>
      <c r="CH11" s="236" t="s">
        <v>324</v>
      </c>
    </row>
    <row r="12" spans="1:86">
      <c r="A12" s="1563"/>
      <c r="B12" s="168"/>
      <c r="C12" s="241"/>
      <c r="D12" s="177" t="s">
        <v>318</v>
      </c>
      <c r="F12" s="242">
        <v>140940</v>
      </c>
      <c r="G12" s="243">
        <v>204430</v>
      </c>
      <c r="H12" s="242">
        <v>114500</v>
      </c>
      <c r="I12" s="243">
        <v>177990</v>
      </c>
      <c r="J12" s="179" t="s">
        <v>182</v>
      </c>
      <c r="K12" s="244">
        <v>1380</v>
      </c>
      <c r="L12" s="245">
        <v>1930</v>
      </c>
      <c r="M12" s="246" t="s">
        <v>795</v>
      </c>
      <c r="N12" s="244">
        <v>1110</v>
      </c>
      <c r="O12" s="245">
        <v>1670</v>
      </c>
      <c r="P12" s="246" t="s">
        <v>795</v>
      </c>
      <c r="Q12" s="160" t="s">
        <v>182</v>
      </c>
      <c r="R12" s="187">
        <v>7890</v>
      </c>
      <c r="S12" s="176">
        <v>70</v>
      </c>
      <c r="T12" s="247" t="s">
        <v>184</v>
      </c>
      <c r="V12" s="1578"/>
      <c r="W12" s="1579"/>
      <c r="X12" s="176"/>
      <c r="Y12" s="1579"/>
      <c r="Z12" s="1579"/>
      <c r="AA12" s="176"/>
      <c r="AB12" s="177"/>
      <c r="AD12" s="1603"/>
      <c r="AE12" s="248">
        <v>28870</v>
      </c>
      <c r="AF12" s="176"/>
      <c r="AG12" s="176"/>
      <c r="AH12" s="177"/>
      <c r="AJ12" s="187"/>
      <c r="AK12" s="185"/>
      <c r="AL12" s="176"/>
      <c r="AM12" s="176"/>
      <c r="AN12" s="177"/>
      <c r="AP12" s="1551"/>
      <c r="AQ12" s="1554"/>
      <c r="AR12" s="1551"/>
      <c r="AS12" s="1554"/>
      <c r="AT12" s="1544"/>
      <c r="AU12" s="172" t="s">
        <v>699</v>
      </c>
      <c r="AV12" s="249">
        <v>8700</v>
      </c>
      <c r="AW12" s="250">
        <v>9700</v>
      </c>
      <c r="AX12" s="267">
        <v>6100</v>
      </c>
      <c r="AY12" s="252">
        <v>6100</v>
      </c>
      <c r="BA12" s="235"/>
      <c r="BC12" s="1557"/>
      <c r="BE12" s="187"/>
      <c r="BF12" s="176"/>
      <c r="BG12" s="176"/>
      <c r="BH12" s="177"/>
      <c r="BJ12" s="253"/>
      <c r="BL12" s="193"/>
      <c r="BM12" s="194"/>
      <c r="BN12" s="194"/>
      <c r="BO12" s="195"/>
      <c r="BQ12" s="187">
        <v>6360</v>
      </c>
      <c r="BR12" s="185" t="s">
        <v>189</v>
      </c>
      <c r="BS12" s="185">
        <v>60</v>
      </c>
      <c r="BT12" s="254" t="s">
        <v>184</v>
      </c>
      <c r="BV12" s="187">
        <v>23670</v>
      </c>
      <c r="BW12" s="185" t="s">
        <v>189</v>
      </c>
      <c r="BX12" s="185">
        <v>230</v>
      </c>
      <c r="BY12" s="185" t="s">
        <v>184</v>
      </c>
      <c r="BZ12" s="254" t="s">
        <v>190</v>
      </c>
      <c r="CB12" s="187">
        <v>15600</v>
      </c>
      <c r="CC12" s="185" t="s">
        <v>189</v>
      </c>
      <c r="CD12" s="185">
        <v>150</v>
      </c>
      <c r="CE12" s="185" t="s">
        <v>184</v>
      </c>
      <c r="CF12" s="254" t="s">
        <v>190</v>
      </c>
      <c r="CH12" s="253"/>
    </row>
    <row r="13" spans="1:86">
      <c r="A13" s="1563"/>
      <c r="B13" s="168"/>
      <c r="C13" s="241" t="s">
        <v>319</v>
      </c>
      <c r="D13" s="177" t="s">
        <v>320</v>
      </c>
      <c r="F13" s="242">
        <v>204430</v>
      </c>
      <c r="G13" s="243">
        <v>283340</v>
      </c>
      <c r="H13" s="242">
        <v>177990</v>
      </c>
      <c r="I13" s="243">
        <v>256900</v>
      </c>
      <c r="J13" s="179" t="s">
        <v>182</v>
      </c>
      <c r="K13" s="244">
        <v>1930</v>
      </c>
      <c r="L13" s="245">
        <v>2720</v>
      </c>
      <c r="M13" s="246" t="s">
        <v>795</v>
      </c>
      <c r="N13" s="244">
        <v>1670</v>
      </c>
      <c r="O13" s="245">
        <v>2460</v>
      </c>
      <c r="P13" s="246" t="s">
        <v>795</v>
      </c>
      <c r="R13" s="182"/>
      <c r="S13" s="176"/>
      <c r="T13" s="177"/>
      <c r="V13" s="1578"/>
      <c r="W13" s="1579"/>
      <c r="X13" s="176"/>
      <c r="Y13" s="1579"/>
      <c r="Z13" s="1579"/>
      <c r="AA13" s="176"/>
      <c r="AB13" s="177"/>
      <c r="AC13" s="160" t="s">
        <v>182</v>
      </c>
      <c r="AD13" s="1548">
        <v>28870</v>
      </c>
      <c r="AE13" s="255"/>
      <c r="AF13" s="176"/>
      <c r="AG13" s="176"/>
      <c r="AH13" s="177"/>
      <c r="AJ13" s="187">
        <v>19500</v>
      </c>
      <c r="AK13" s="185" t="s">
        <v>321</v>
      </c>
      <c r="AL13" s="176"/>
      <c r="AM13" s="176"/>
      <c r="AN13" s="177"/>
      <c r="AP13" s="1551"/>
      <c r="AQ13" s="1554"/>
      <c r="AR13" s="1551"/>
      <c r="AS13" s="1554"/>
      <c r="AT13" s="1544"/>
      <c r="AU13" s="172" t="s">
        <v>700</v>
      </c>
      <c r="AV13" s="249">
        <v>7600</v>
      </c>
      <c r="AW13" s="250">
        <v>8400</v>
      </c>
      <c r="AX13" s="267">
        <v>5300</v>
      </c>
      <c r="AY13" s="252">
        <v>5300</v>
      </c>
      <c r="BA13" s="268"/>
      <c r="BC13" s="359"/>
      <c r="BE13" s="187"/>
      <c r="BF13" s="176"/>
      <c r="BG13" s="176"/>
      <c r="BH13" s="177"/>
      <c r="BJ13" s="253"/>
      <c r="BL13" s="193">
        <v>0.01</v>
      </c>
      <c r="BM13" s="194">
        <v>0.03</v>
      </c>
      <c r="BN13" s="194">
        <v>0.04</v>
      </c>
      <c r="BO13" s="195">
        <v>0.05</v>
      </c>
      <c r="BQ13" s="187"/>
      <c r="BR13" s="185"/>
      <c r="BS13" s="185"/>
      <c r="BT13" s="254"/>
      <c r="BV13" s="187"/>
      <c r="BW13" s="185"/>
      <c r="BX13" s="185"/>
      <c r="BY13" s="185"/>
      <c r="BZ13" s="254"/>
      <c r="CB13" s="187"/>
      <c r="CC13" s="185"/>
      <c r="CD13" s="185"/>
      <c r="CE13" s="185"/>
      <c r="CF13" s="254"/>
      <c r="CH13" s="253">
        <v>0.79</v>
      </c>
    </row>
    <row r="14" spans="1:86">
      <c r="A14" s="1563"/>
      <c r="B14" s="269"/>
      <c r="C14" s="270"/>
      <c r="D14" s="184" t="s">
        <v>322</v>
      </c>
      <c r="F14" s="256">
        <v>283340</v>
      </c>
      <c r="G14" s="257"/>
      <c r="H14" s="256">
        <v>256900</v>
      </c>
      <c r="I14" s="257"/>
      <c r="J14" s="179" t="s">
        <v>182</v>
      </c>
      <c r="K14" s="258">
        <v>2720</v>
      </c>
      <c r="L14" s="259"/>
      <c r="M14" s="260" t="s">
        <v>795</v>
      </c>
      <c r="N14" s="258">
        <v>2460</v>
      </c>
      <c r="O14" s="259"/>
      <c r="P14" s="260" t="s">
        <v>795</v>
      </c>
      <c r="R14" s="183"/>
      <c r="S14" s="271"/>
      <c r="T14" s="184"/>
      <c r="V14" s="1578"/>
      <c r="W14" s="1579"/>
      <c r="X14" s="176"/>
      <c r="Y14" s="1579"/>
      <c r="Z14" s="1579"/>
      <c r="AA14" s="176"/>
      <c r="AB14" s="177"/>
      <c r="AD14" s="1549"/>
      <c r="AE14" s="261"/>
      <c r="AF14" s="271"/>
      <c r="AG14" s="271"/>
      <c r="AH14" s="184"/>
      <c r="AJ14" s="187"/>
      <c r="AK14" s="185"/>
      <c r="AL14" s="176"/>
      <c r="AM14" s="176"/>
      <c r="AN14" s="177"/>
      <c r="AP14" s="1552"/>
      <c r="AQ14" s="1555"/>
      <c r="AR14" s="1552"/>
      <c r="AS14" s="1555"/>
      <c r="AT14" s="1544"/>
      <c r="AU14" s="262" t="s">
        <v>701</v>
      </c>
      <c r="AV14" s="263">
        <v>6800</v>
      </c>
      <c r="AW14" s="264">
        <v>7500</v>
      </c>
      <c r="AX14" s="265">
        <v>4700</v>
      </c>
      <c r="AY14" s="266">
        <v>4700</v>
      </c>
      <c r="BA14" s="268"/>
      <c r="BC14" s="359"/>
      <c r="BE14" s="186"/>
      <c r="BF14" s="271"/>
      <c r="BG14" s="271"/>
      <c r="BH14" s="184"/>
      <c r="BJ14" s="253"/>
      <c r="BL14" s="272"/>
      <c r="BM14" s="273"/>
      <c r="BN14" s="273"/>
      <c r="BO14" s="274"/>
      <c r="BQ14" s="186"/>
      <c r="BR14" s="196"/>
      <c r="BS14" s="196"/>
      <c r="BT14" s="197"/>
      <c r="BV14" s="186"/>
      <c r="BW14" s="196"/>
      <c r="BX14" s="196"/>
      <c r="BY14" s="196"/>
      <c r="BZ14" s="197"/>
      <c r="CB14" s="186"/>
      <c r="CC14" s="196"/>
      <c r="CD14" s="196"/>
      <c r="CE14" s="196"/>
      <c r="CF14" s="197"/>
      <c r="CH14" s="198"/>
    </row>
    <row r="15" spans="1:86" ht="63">
      <c r="A15" s="1563"/>
      <c r="B15" s="168" t="s">
        <v>325</v>
      </c>
      <c r="C15" s="241" t="s">
        <v>313</v>
      </c>
      <c r="D15" s="177" t="s">
        <v>314</v>
      </c>
      <c r="F15" s="218">
        <v>95590</v>
      </c>
      <c r="G15" s="219">
        <v>103480</v>
      </c>
      <c r="H15" s="218">
        <v>77960</v>
      </c>
      <c r="I15" s="219">
        <v>85850</v>
      </c>
      <c r="J15" s="179" t="s">
        <v>182</v>
      </c>
      <c r="K15" s="220">
        <v>930</v>
      </c>
      <c r="L15" s="221">
        <v>1000</v>
      </c>
      <c r="M15" s="222" t="s">
        <v>795</v>
      </c>
      <c r="N15" s="220">
        <v>760</v>
      </c>
      <c r="O15" s="221">
        <v>830</v>
      </c>
      <c r="P15" s="222" t="s">
        <v>795</v>
      </c>
      <c r="Q15" s="160" t="s">
        <v>182</v>
      </c>
      <c r="R15" s="275">
        <v>7890</v>
      </c>
      <c r="S15" s="276">
        <v>70</v>
      </c>
      <c r="T15" s="247" t="s">
        <v>184</v>
      </c>
      <c r="V15" s="1578"/>
      <c r="W15" s="1579"/>
      <c r="X15" s="176"/>
      <c r="Y15" s="1579"/>
      <c r="Z15" s="1579"/>
      <c r="AA15" s="176"/>
      <c r="AB15" s="177"/>
      <c r="AC15" s="160" t="s">
        <v>182</v>
      </c>
      <c r="AD15" s="1546">
        <v>22700</v>
      </c>
      <c r="AE15" s="227"/>
      <c r="AF15" s="176" t="s">
        <v>182</v>
      </c>
      <c r="AG15" s="176">
        <v>150</v>
      </c>
      <c r="AH15" s="177" t="s">
        <v>184</v>
      </c>
      <c r="AJ15" s="187" t="s">
        <v>196</v>
      </c>
      <c r="AK15" s="185"/>
      <c r="AL15" s="176" t="s">
        <v>182</v>
      </c>
      <c r="AM15" s="176">
        <v>130</v>
      </c>
      <c r="AN15" s="177" t="s">
        <v>316</v>
      </c>
      <c r="AO15" s="160" t="s">
        <v>182</v>
      </c>
      <c r="AP15" s="1550">
        <v>5500</v>
      </c>
      <c r="AQ15" s="1553">
        <v>6000</v>
      </c>
      <c r="AR15" s="1550">
        <v>3800</v>
      </c>
      <c r="AS15" s="1553">
        <v>3800</v>
      </c>
      <c r="AT15" s="1544" t="s">
        <v>664</v>
      </c>
      <c r="AU15" s="230" t="s">
        <v>697</v>
      </c>
      <c r="AV15" s="231">
        <v>10900</v>
      </c>
      <c r="AW15" s="232">
        <v>12200</v>
      </c>
      <c r="AX15" s="267">
        <v>7600</v>
      </c>
      <c r="AY15" s="252">
        <v>7600</v>
      </c>
      <c r="BA15" s="268"/>
      <c r="BB15" s="160" t="s">
        <v>182</v>
      </c>
      <c r="BC15" s="1556">
        <v>4700</v>
      </c>
      <c r="BD15" s="160" t="s">
        <v>182</v>
      </c>
      <c r="BE15" s="187">
        <v>7350</v>
      </c>
      <c r="BF15" s="176" t="s">
        <v>182</v>
      </c>
      <c r="BG15" s="176">
        <v>70</v>
      </c>
      <c r="BH15" s="177" t="s">
        <v>184</v>
      </c>
      <c r="BJ15" s="253"/>
      <c r="BK15" s="160" t="s">
        <v>188</v>
      </c>
      <c r="BL15" s="193" t="s">
        <v>317</v>
      </c>
      <c r="BM15" s="194" t="s">
        <v>317</v>
      </c>
      <c r="BN15" s="194" t="s">
        <v>317</v>
      </c>
      <c r="BO15" s="195" t="s">
        <v>317</v>
      </c>
      <c r="BP15" s="160" t="s">
        <v>188</v>
      </c>
      <c r="BQ15" s="187"/>
      <c r="BR15" s="185"/>
      <c r="BS15" s="185"/>
      <c r="BT15" s="254"/>
      <c r="BU15" s="160" t="s">
        <v>188</v>
      </c>
      <c r="BV15" s="187"/>
      <c r="BW15" s="185"/>
      <c r="BX15" s="185"/>
      <c r="BY15" s="185"/>
      <c r="BZ15" s="254"/>
      <c r="CA15" s="160" t="s">
        <v>188</v>
      </c>
      <c r="CB15" s="187"/>
      <c r="CC15" s="185"/>
      <c r="CD15" s="185"/>
      <c r="CE15" s="185"/>
      <c r="CF15" s="254"/>
      <c r="CH15" s="253" t="s">
        <v>324</v>
      </c>
    </row>
    <row r="16" spans="1:86">
      <c r="A16" s="1563"/>
      <c r="B16" s="168"/>
      <c r="C16" s="241"/>
      <c r="D16" s="177" t="s">
        <v>318</v>
      </c>
      <c r="F16" s="242">
        <v>103480</v>
      </c>
      <c r="G16" s="243">
        <v>166970</v>
      </c>
      <c r="H16" s="242">
        <v>85850</v>
      </c>
      <c r="I16" s="243">
        <v>149340</v>
      </c>
      <c r="J16" s="179" t="s">
        <v>182</v>
      </c>
      <c r="K16" s="244">
        <v>1000</v>
      </c>
      <c r="L16" s="245">
        <v>1560</v>
      </c>
      <c r="M16" s="246" t="s">
        <v>795</v>
      </c>
      <c r="N16" s="244">
        <v>830</v>
      </c>
      <c r="O16" s="245">
        <v>1380</v>
      </c>
      <c r="P16" s="246" t="s">
        <v>795</v>
      </c>
      <c r="Q16" s="160" t="s">
        <v>182</v>
      </c>
      <c r="R16" s="187">
        <v>7890</v>
      </c>
      <c r="S16" s="176">
        <v>70</v>
      </c>
      <c r="T16" s="247" t="s">
        <v>184</v>
      </c>
      <c r="V16" s="1578"/>
      <c r="W16" s="1579"/>
      <c r="X16" s="176"/>
      <c r="Y16" s="1579"/>
      <c r="Z16" s="1579"/>
      <c r="AA16" s="176"/>
      <c r="AB16" s="177"/>
      <c r="AD16" s="1547"/>
      <c r="AE16" s="248">
        <v>20970</v>
      </c>
      <c r="AF16" s="176"/>
      <c r="AG16" s="176"/>
      <c r="AH16" s="177"/>
      <c r="AJ16" s="187"/>
      <c r="AK16" s="185"/>
      <c r="AL16" s="176"/>
      <c r="AM16" s="176"/>
      <c r="AN16" s="177"/>
      <c r="AP16" s="1551"/>
      <c r="AQ16" s="1554"/>
      <c r="AR16" s="1551"/>
      <c r="AS16" s="1554"/>
      <c r="AT16" s="1544"/>
      <c r="AU16" s="172" t="s">
        <v>699</v>
      </c>
      <c r="AV16" s="249">
        <v>6000</v>
      </c>
      <c r="AW16" s="250">
        <v>6700</v>
      </c>
      <c r="AX16" s="267">
        <v>4200</v>
      </c>
      <c r="AY16" s="252">
        <v>4200</v>
      </c>
      <c r="BA16" s="1545" t="s">
        <v>702</v>
      </c>
      <c r="BC16" s="1557"/>
      <c r="BE16" s="187"/>
      <c r="BF16" s="176"/>
      <c r="BG16" s="176"/>
      <c r="BH16" s="177"/>
      <c r="BJ16" s="253"/>
      <c r="BL16" s="193"/>
      <c r="BM16" s="194"/>
      <c r="BN16" s="194"/>
      <c r="BO16" s="195"/>
      <c r="BQ16" s="187">
        <v>4240</v>
      </c>
      <c r="BR16" s="185" t="s">
        <v>189</v>
      </c>
      <c r="BS16" s="185">
        <v>40</v>
      </c>
      <c r="BT16" s="254" t="s">
        <v>184</v>
      </c>
      <c r="BV16" s="187">
        <v>15780</v>
      </c>
      <c r="BW16" s="185" t="s">
        <v>189</v>
      </c>
      <c r="BX16" s="185">
        <v>150</v>
      </c>
      <c r="BY16" s="185" t="s">
        <v>184</v>
      </c>
      <c r="BZ16" s="254" t="s">
        <v>190</v>
      </c>
      <c r="CB16" s="187">
        <v>10400</v>
      </c>
      <c r="CC16" s="185" t="s">
        <v>189</v>
      </c>
      <c r="CD16" s="185">
        <v>100</v>
      </c>
      <c r="CE16" s="185" t="s">
        <v>184</v>
      </c>
      <c r="CF16" s="254" t="s">
        <v>190</v>
      </c>
      <c r="CH16" s="253"/>
    </row>
    <row r="17" spans="1:86">
      <c r="A17" s="1563"/>
      <c r="B17" s="168"/>
      <c r="C17" s="241" t="s">
        <v>319</v>
      </c>
      <c r="D17" s="177" t="s">
        <v>320</v>
      </c>
      <c r="F17" s="242">
        <v>166970</v>
      </c>
      <c r="G17" s="243">
        <v>245880</v>
      </c>
      <c r="H17" s="242">
        <v>149340</v>
      </c>
      <c r="I17" s="243">
        <v>228250</v>
      </c>
      <c r="J17" s="179" t="s">
        <v>182</v>
      </c>
      <c r="K17" s="244">
        <v>1560</v>
      </c>
      <c r="L17" s="245">
        <v>2350</v>
      </c>
      <c r="M17" s="246" t="s">
        <v>795</v>
      </c>
      <c r="N17" s="244">
        <v>1380</v>
      </c>
      <c r="O17" s="245">
        <v>2170</v>
      </c>
      <c r="P17" s="246" t="s">
        <v>795</v>
      </c>
      <c r="R17" s="182"/>
      <c r="S17" s="176"/>
      <c r="T17" s="177"/>
      <c r="V17" s="1578"/>
      <c r="W17" s="1579"/>
      <c r="X17" s="176"/>
      <c r="Y17" s="1579"/>
      <c r="Z17" s="1579"/>
      <c r="AA17" s="176"/>
      <c r="AB17" s="177"/>
      <c r="AC17" s="160" t="s">
        <v>182</v>
      </c>
      <c r="AD17" s="1548">
        <v>20970</v>
      </c>
      <c r="AE17" s="255"/>
      <c r="AF17" s="176"/>
      <c r="AG17" s="176">
        <v>0</v>
      </c>
      <c r="AH17" s="177"/>
      <c r="AJ17" s="187">
        <v>13930</v>
      </c>
      <c r="AK17" s="185" t="s">
        <v>321</v>
      </c>
      <c r="AL17" s="176"/>
      <c r="AM17" s="176"/>
      <c r="AN17" s="177"/>
      <c r="AP17" s="1551"/>
      <c r="AQ17" s="1554"/>
      <c r="AR17" s="1551"/>
      <c r="AS17" s="1554"/>
      <c r="AT17" s="1544"/>
      <c r="AU17" s="172" t="s">
        <v>700</v>
      </c>
      <c r="AV17" s="249">
        <v>5200</v>
      </c>
      <c r="AW17" s="250">
        <v>5800</v>
      </c>
      <c r="AX17" s="267">
        <v>3600</v>
      </c>
      <c r="AY17" s="252">
        <v>3600</v>
      </c>
      <c r="BA17" s="1545"/>
      <c r="BC17" s="359"/>
      <c r="BE17" s="187"/>
      <c r="BF17" s="176"/>
      <c r="BG17" s="176"/>
      <c r="BH17" s="177"/>
      <c r="BJ17" s="253"/>
      <c r="BL17" s="193">
        <v>0.01</v>
      </c>
      <c r="BM17" s="194">
        <v>0.03</v>
      </c>
      <c r="BN17" s="194">
        <v>0.04</v>
      </c>
      <c r="BO17" s="195">
        <v>0.05</v>
      </c>
      <c r="BQ17" s="187"/>
      <c r="BR17" s="185"/>
      <c r="BS17" s="185"/>
      <c r="BT17" s="254"/>
      <c r="BV17" s="187"/>
      <c r="BW17" s="185"/>
      <c r="BX17" s="185"/>
      <c r="BY17" s="185"/>
      <c r="BZ17" s="254"/>
      <c r="CB17" s="187"/>
      <c r="CC17" s="185"/>
      <c r="CD17" s="185"/>
      <c r="CE17" s="185"/>
      <c r="CF17" s="254"/>
      <c r="CH17" s="253">
        <v>0.87</v>
      </c>
    </row>
    <row r="18" spans="1:86">
      <c r="A18" s="1563"/>
      <c r="B18" s="168"/>
      <c r="C18" s="241"/>
      <c r="D18" s="177" t="s">
        <v>322</v>
      </c>
      <c r="F18" s="256">
        <v>245880</v>
      </c>
      <c r="G18" s="257"/>
      <c r="H18" s="256">
        <v>228250</v>
      </c>
      <c r="I18" s="257"/>
      <c r="J18" s="179" t="s">
        <v>182</v>
      </c>
      <c r="K18" s="258">
        <v>2350</v>
      </c>
      <c r="L18" s="259"/>
      <c r="M18" s="260" t="s">
        <v>795</v>
      </c>
      <c r="N18" s="258">
        <v>2170</v>
      </c>
      <c r="O18" s="259"/>
      <c r="P18" s="260" t="s">
        <v>795</v>
      </c>
      <c r="R18" s="182"/>
      <c r="S18" s="176"/>
      <c r="T18" s="177"/>
      <c r="V18" s="1578"/>
      <c r="W18" s="1579"/>
      <c r="X18" s="176"/>
      <c r="Y18" s="1579"/>
      <c r="Z18" s="1579"/>
      <c r="AA18" s="176"/>
      <c r="AB18" s="177"/>
      <c r="AD18" s="1549"/>
      <c r="AE18" s="261"/>
      <c r="AF18" s="176"/>
      <c r="AG18" s="176"/>
      <c r="AH18" s="177"/>
      <c r="AJ18" s="187"/>
      <c r="AK18" s="185"/>
      <c r="AL18" s="176"/>
      <c r="AM18" s="176"/>
      <c r="AN18" s="177"/>
      <c r="AP18" s="1552"/>
      <c r="AQ18" s="1555"/>
      <c r="AR18" s="1552"/>
      <c r="AS18" s="1555"/>
      <c r="AT18" s="1544"/>
      <c r="AU18" s="262" t="s">
        <v>701</v>
      </c>
      <c r="AV18" s="263">
        <v>4700</v>
      </c>
      <c r="AW18" s="264">
        <v>5200</v>
      </c>
      <c r="AX18" s="265">
        <v>3300</v>
      </c>
      <c r="AY18" s="266">
        <v>3300</v>
      </c>
      <c r="BA18" s="1545"/>
      <c r="BC18" s="359"/>
      <c r="BE18" s="187"/>
      <c r="BF18" s="176"/>
      <c r="BG18" s="176"/>
      <c r="BH18" s="177"/>
      <c r="BJ18" s="253"/>
      <c r="BL18" s="193"/>
      <c r="BM18" s="194"/>
      <c r="BN18" s="194"/>
      <c r="BO18" s="195"/>
      <c r="BQ18" s="187"/>
      <c r="BR18" s="185"/>
      <c r="BS18" s="185"/>
      <c r="BT18" s="254"/>
      <c r="BV18" s="187"/>
      <c r="BW18" s="185"/>
      <c r="BX18" s="185"/>
      <c r="BY18" s="185"/>
      <c r="BZ18" s="254"/>
      <c r="CB18" s="187"/>
      <c r="CC18" s="185"/>
      <c r="CD18" s="185"/>
      <c r="CE18" s="185"/>
      <c r="CF18" s="254"/>
      <c r="CH18" s="253"/>
    </row>
    <row r="19" spans="1:86" ht="63">
      <c r="A19" s="1563"/>
      <c r="B19" s="215" t="s">
        <v>326</v>
      </c>
      <c r="C19" s="216" t="s">
        <v>313</v>
      </c>
      <c r="D19" s="217" t="s">
        <v>314</v>
      </c>
      <c r="F19" s="218">
        <v>77180</v>
      </c>
      <c r="G19" s="219">
        <v>85070</v>
      </c>
      <c r="H19" s="218">
        <v>63960</v>
      </c>
      <c r="I19" s="219">
        <v>71850</v>
      </c>
      <c r="J19" s="179" t="s">
        <v>182</v>
      </c>
      <c r="K19" s="220">
        <v>750</v>
      </c>
      <c r="L19" s="221">
        <v>820</v>
      </c>
      <c r="M19" s="222" t="s">
        <v>795</v>
      </c>
      <c r="N19" s="220">
        <v>620</v>
      </c>
      <c r="O19" s="221">
        <v>690</v>
      </c>
      <c r="P19" s="222" t="s">
        <v>795</v>
      </c>
      <c r="Q19" s="160" t="s">
        <v>182</v>
      </c>
      <c r="R19" s="223">
        <v>7890</v>
      </c>
      <c r="S19" s="224">
        <v>70</v>
      </c>
      <c r="T19" s="225" t="s">
        <v>184</v>
      </c>
      <c r="V19" s="1578"/>
      <c r="W19" s="1579"/>
      <c r="X19" s="176"/>
      <c r="Y19" s="1579"/>
      <c r="Z19" s="1579"/>
      <c r="AA19" s="176"/>
      <c r="AB19" s="177"/>
      <c r="AC19" s="160" t="s">
        <v>182</v>
      </c>
      <c r="AD19" s="1546">
        <v>18750</v>
      </c>
      <c r="AE19" s="227"/>
      <c r="AF19" s="226" t="s">
        <v>182</v>
      </c>
      <c r="AG19" s="226">
        <v>110</v>
      </c>
      <c r="AH19" s="217" t="s">
        <v>184</v>
      </c>
      <c r="AJ19" s="187" t="s">
        <v>198</v>
      </c>
      <c r="AK19" s="185"/>
      <c r="AL19" s="176" t="s">
        <v>182</v>
      </c>
      <c r="AM19" s="176">
        <v>100</v>
      </c>
      <c r="AN19" s="177" t="s">
        <v>316</v>
      </c>
      <c r="AO19" s="160" t="s">
        <v>182</v>
      </c>
      <c r="AP19" s="1550">
        <v>4800</v>
      </c>
      <c r="AQ19" s="1553">
        <v>5300</v>
      </c>
      <c r="AR19" s="1550">
        <v>3300</v>
      </c>
      <c r="AS19" s="1553">
        <v>3300</v>
      </c>
      <c r="AT19" s="1544" t="s">
        <v>664</v>
      </c>
      <c r="AU19" s="230" t="s">
        <v>697</v>
      </c>
      <c r="AV19" s="231">
        <v>9800</v>
      </c>
      <c r="AW19" s="232">
        <v>10900</v>
      </c>
      <c r="AX19" s="267">
        <v>6800</v>
      </c>
      <c r="AY19" s="252">
        <v>6800</v>
      </c>
      <c r="BA19" s="235" t="s">
        <v>810</v>
      </c>
      <c r="BB19" s="160" t="s">
        <v>182</v>
      </c>
      <c r="BC19" s="1556">
        <v>4700</v>
      </c>
      <c r="BD19" s="160" t="s">
        <v>182</v>
      </c>
      <c r="BE19" s="228">
        <v>5510</v>
      </c>
      <c r="BF19" s="226" t="s">
        <v>182</v>
      </c>
      <c r="BG19" s="226">
        <v>50</v>
      </c>
      <c r="BH19" s="217" t="s">
        <v>184</v>
      </c>
      <c r="BJ19" s="253"/>
      <c r="BK19" s="160" t="s">
        <v>188</v>
      </c>
      <c r="BL19" s="237" t="s">
        <v>317</v>
      </c>
      <c r="BM19" s="238" t="s">
        <v>317</v>
      </c>
      <c r="BN19" s="238" t="s">
        <v>317</v>
      </c>
      <c r="BO19" s="239" t="s">
        <v>317</v>
      </c>
      <c r="BP19" s="160" t="s">
        <v>188</v>
      </c>
      <c r="BQ19" s="228"/>
      <c r="BR19" s="229"/>
      <c r="BS19" s="229"/>
      <c r="BT19" s="240"/>
      <c r="BU19" s="160" t="s">
        <v>188</v>
      </c>
      <c r="BV19" s="228"/>
      <c r="BW19" s="229"/>
      <c r="BX19" s="229"/>
      <c r="BY19" s="229"/>
      <c r="BZ19" s="240"/>
      <c r="CA19" s="160" t="s">
        <v>188</v>
      </c>
      <c r="CB19" s="228"/>
      <c r="CC19" s="229"/>
      <c r="CD19" s="229"/>
      <c r="CE19" s="229"/>
      <c r="CF19" s="240"/>
      <c r="CH19" s="236" t="s">
        <v>324</v>
      </c>
    </row>
    <row r="20" spans="1:86">
      <c r="A20" s="1563"/>
      <c r="B20" s="168"/>
      <c r="C20" s="241"/>
      <c r="D20" s="177" t="s">
        <v>318</v>
      </c>
      <c r="F20" s="242">
        <v>85070</v>
      </c>
      <c r="G20" s="243">
        <v>148560</v>
      </c>
      <c r="H20" s="242">
        <v>71850</v>
      </c>
      <c r="I20" s="243">
        <v>135340</v>
      </c>
      <c r="J20" s="179" t="s">
        <v>182</v>
      </c>
      <c r="K20" s="244">
        <v>820</v>
      </c>
      <c r="L20" s="245">
        <v>1370</v>
      </c>
      <c r="M20" s="246" t="s">
        <v>795</v>
      </c>
      <c r="N20" s="244">
        <v>690</v>
      </c>
      <c r="O20" s="245">
        <v>1240</v>
      </c>
      <c r="P20" s="246" t="s">
        <v>795</v>
      </c>
      <c r="Q20" s="160" t="s">
        <v>182</v>
      </c>
      <c r="R20" s="187">
        <v>7890</v>
      </c>
      <c r="S20" s="176">
        <v>70</v>
      </c>
      <c r="T20" s="247" t="s">
        <v>184</v>
      </c>
      <c r="V20" s="182"/>
      <c r="W20" s="185"/>
      <c r="X20" s="176"/>
      <c r="Y20" s="185"/>
      <c r="Z20" s="176"/>
      <c r="AA20" s="176"/>
      <c r="AB20" s="177"/>
      <c r="AD20" s="1547"/>
      <c r="AE20" s="248">
        <v>17020</v>
      </c>
      <c r="AF20" s="176"/>
      <c r="AG20" s="176"/>
      <c r="AH20" s="177"/>
      <c r="AJ20" s="187"/>
      <c r="AK20" s="185"/>
      <c r="AL20" s="176"/>
      <c r="AM20" s="176"/>
      <c r="AN20" s="177"/>
      <c r="AP20" s="1551"/>
      <c r="AQ20" s="1554"/>
      <c r="AR20" s="1551"/>
      <c r="AS20" s="1554"/>
      <c r="AT20" s="1544"/>
      <c r="AU20" s="172" t="s">
        <v>699</v>
      </c>
      <c r="AV20" s="249">
        <v>5400</v>
      </c>
      <c r="AW20" s="250">
        <v>6000</v>
      </c>
      <c r="AX20" s="267">
        <v>3700</v>
      </c>
      <c r="AY20" s="252">
        <v>3700</v>
      </c>
      <c r="BA20" s="235">
        <v>27330</v>
      </c>
      <c r="BC20" s="1557"/>
      <c r="BE20" s="187"/>
      <c r="BF20" s="176"/>
      <c r="BG20" s="176"/>
      <c r="BH20" s="177"/>
      <c r="BJ20" s="253"/>
      <c r="BL20" s="193"/>
      <c r="BM20" s="194"/>
      <c r="BN20" s="194"/>
      <c r="BO20" s="195"/>
      <c r="BQ20" s="187">
        <v>3180</v>
      </c>
      <c r="BR20" s="185" t="s">
        <v>189</v>
      </c>
      <c r="BS20" s="185">
        <v>30</v>
      </c>
      <c r="BT20" s="254" t="s">
        <v>184</v>
      </c>
      <c r="BV20" s="187">
        <v>11830</v>
      </c>
      <c r="BW20" s="185" t="s">
        <v>189</v>
      </c>
      <c r="BX20" s="185">
        <v>110</v>
      </c>
      <c r="BY20" s="185" t="s">
        <v>184</v>
      </c>
      <c r="BZ20" s="254" t="s">
        <v>190</v>
      </c>
      <c r="CB20" s="187">
        <v>7800</v>
      </c>
      <c r="CC20" s="185" t="s">
        <v>189</v>
      </c>
      <c r="CD20" s="185">
        <v>70</v>
      </c>
      <c r="CE20" s="185" t="s">
        <v>184</v>
      </c>
      <c r="CF20" s="254" t="s">
        <v>190</v>
      </c>
      <c r="CH20" s="253"/>
    </row>
    <row r="21" spans="1:86">
      <c r="A21" s="1563"/>
      <c r="B21" s="168"/>
      <c r="C21" s="241" t="s">
        <v>319</v>
      </c>
      <c r="D21" s="177" t="s">
        <v>320</v>
      </c>
      <c r="F21" s="242">
        <v>148560</v>
      </c>
      <c r="G21" s="243">
        <v>227470</v>
      </c>
      <c r="H21" s="242">
        <v>135340</v>
      </c>
      <c r="I21" s="243">
        <v>214250</v>
      </c>
      <c r="J21" s="179" t="s">
        <v>182</v>
      </c>
      <c r="K21" s="244">
        <v>1370</v>
      </c>
      <c r="L21" s="245">
        <v>2160</v>
      </c>
      <c r="M21" s="246" t="s">
        <v>795</v>
      </c>
      <c r="N21" s="244">
        <v>1240</v>
      </c>
      <c r="O21" s="245">
        <v>2030</v>
      </c>
      <c r="P21" s="246" t="s">
        <v>795</v>
      </c>
      <c r="R21" s="182"/>
      <c r="S21" s="176"/>
      <c r="T21" s="177"/>
      <c r="V21" s="182"/>
      <c r="W21" s="185"/>
      <c r="X21" s="176"/>
      <c r="Y21" s="185"/>
      <c r="Z21" s="176"/>
      <c r="AA21" s="176"/>
      <c r="AB21" s="177"/>
      <c r="AC21" s="160" t="s">
        <v>182</v>
      </c>
      <c r="AD21" s="1548">
        <v>17020</v>
      </c>
      <c r="AE21" s="255"/>
      <c r="AF21" s="176"/>
      <c r="AG21" s="176">
        <v>0</v>
      </c>
      <c r="AH21" s="177"/>
      <c r="AJ21" s="187">
        <v>10830</v>
      </c>
      <c r="AK21" s="185" t="s">
        <v>321</v>
      </c>
      <c r="AL21" s="176"/>
      <c r="AM21" s="176"/>
      <c r="AN21" s="177"/>
      <c r="AP21" s="1551"/>
      <c r="AQ21" s="1554"/>
      <c r="AR21" s="1551"/>
      <c r="AS21" s="1554"/>
      <c r="AT21" s="1544"/>
      <c r="AU21" s="172" t="s">
        <v>700</v>
      </c>
      <c r="AV21" s="249">
        <v>4700</v>
      </c>
      <c r="AW21" s="250">
        <v>5200</v>
      </c>
      <c r="AX21" s="267">
        <v>3300</v>
      </c>
      <c r="AY21" s="252">
        <v>3300</v>
      </c>
      <c r="BA21" s="277"/>
      <c r="BC21" s="359"/>
      <c r="BE21" s="187"/>
      <c r="BF21" s="176"/>
      <c r="BG21" s="176"/>
      <c r="BH21" s="177"/>
      <c r="BJ21" s="253"/>
      <c r="BL21" s="193">
        <v>0.01</v>
      </c>
      <c r="BM21" s="194">
        <v>0.03</v>
      </c>
      <c r="BN21" s="194">
        <v>0.04</v>
      </c>
      <c r="BO21" s="195">
        <v>0.05</v>
      </c>
      <c r="BQ21" s="187"/>
      <c r="BR21" s="185"/>
      <c r="BS21" s="185"/>
      <c r="BT21" s="254"/>
      <c r="BV21" s="187"/>
      <c r="BW21" s="185"/>
      <c r="BX21" s="185"/>
      <c r="BY21" s="185"/>
      <c r="BZ21" s="254"/>
      <c r="CB21" s="187"/>
      <c r="CC21" s="185"/>
      <c r="CD21" s="185"/>
      <c r="CE21" s="185"/>
      <c r="CF21" s="254"/>
      <c r="CH21" s="253">
        <v>0.96</v>
      </c>
    </row>
    <row r="22" spans="1:86">
      <c r="A22" s="1563"/>
      <c r="B22" s="269"/>
      <c r="C22" s="270"/>
      <c r="D22" s="184" t="s">
        <v>322</v>
      </c>
      <c r="F22" s="256">
        <v>227470</v>
      </c>
      <c r="G22" s="257"/>
      <c r="H22" s="256">
        <v>214250</v>
      </c>
      <c r="I22" s="257"/>
      <c r="J22" s="179" t="s">
        <v>182</v>
      </c>
      <c r="K22" s="258">
        <v>2160</v>
      </c>
      <c r="L22" s="259"/>
      <c r="M22" s="260" t="s">
        <v>795</v>
      </c>
      <c r="N22" s="258">
        <v>2030</v>
      </c>
      <c r="O22" s="259"/>
      <c r="P22" s="260" t="s">
        <v>795</v>
      </c>
      <c r="R22" s="183"/>
      <c r="S22" s="271"/>
      <c r="T22" s="184"/>
      <c r="V22" s="278"/>
      <c r="W22" s="279" t="s">
        <v>796</v>
      </c>
      <c r="X22" s="176"/>
      <c r="Y22" s="279" t="s">
        <v>796</v>
      </c>
      <c r="Z22" s="279"/>
      <c r="AA22" s="176"/>
      <c r="AB22" s="177"/>
      <c r="AD22" s="1549"/>
      <c r="AE22" s="261"/>
      <c r="AF22" s="271"/>
      <c r="AG22" s="271"/>
      <c r="AH22" s="184"/>
      <c r="AJ22" s="187"/>
      <c r="AK22" s="185"/>
      <c r="AL22" s="176"/>
      <c r="AM22" s="176"/>
      <c r="AN22" s="177"/>
      <c r="AP22" s="1552"/>
      <c r="AQ22" s="1555"/>
      <c r="AR22" s="1552"/>
      <c r="AS22" s="1555"/>
      <c r="AT22" s="1544"/>
      <c r="AU22" s="262" t="s">
        <v>701</v>
      </c>
      <c r="AV22" s="263">
        <v>4200</v>
      </c>
      <c r="AW22" s="264">
        <v>4600</v>
      </c>
      <c r="AX22" s="265">
        <v>2900</v>
      </c>
      <c r="AY22" s="266">
        <v>2900</v>
      </c>
      <c r="BA22" s="235" t="s">
        <v>811</v>
      </c>
      <c r="BC22" s="359"/>
      <c r="BE22" s="186"/>
      <c r="BF22" s="271"/>
      <c r="BG22" s="271"/>
      <c r="BH22" s="184"/>
      <c r="BJ22" s="253"/>
      <c r="BL22" s="272"/>
      <c r="BM22" s="273"/>
      <c r="BN22" s="273"/>
      <c r="BO22" s="274"/>
      <c r="BQ22" s="186"/>
      <c r="BR22" s="196"/>
      <c r="BS22" s="196"/>
      <c r="BT22" s="197"/>
      <c r="BV22" s="186"/>
      <c r="BW22" s="196"/>
      <c r="BX22" s="196"/>
      <c r="BY22" s="196"/>
      <c r="BZ22" s="197"/>
      <c r="CB22" s="186"/>
      <c r="CC22" s="196"/>
      <c r="CD22" s="196"/>
      <c r="CE22" s="196"/>
      <c r="CF22" s="197"/>
      <c r="CH22" s="198"/>
    </row>
    <row r="23" spans="1:86" ht="63">
      <c r="A23" s="1563"/>
      <c r="B23" s="168" t="s">
        <v>327</v>
      </c>
      <c r="C23" s="241" t="s">
        <v>313</v>
      </c>
      <c r="D23" s="177" t="s">
        <v>314</v>
      </c>
      <c r="F23" s="218">
        <v>71820</v>
      </c>
      <c r="G23" s="219">
        <v>79710</v>
      </c>
      <c r="H23" s="218">
        <v>61240</v>
      </c>
      <c r="I23" s="219">
        <v>69130</v>
      </c>
      <c r="J23" s="179" t="s">
        <v>182</v>
      </c>
      <c r="K23" s="220">
        <v>690</v>
      </c>
      <c r="L23" s="221">
        <v>760</v>
      </c>
      <c r="M23" s="222" t="s">
        <v>795</v>
      </c>
      <c r="N23" s="220">
        <v>590</v>
      </c>
      <c r="O23" s="221">
        <v>660</v>
      </c>
      <c r="P23" s="222" t="s">
        <v>795</v>
      </c>
      <c r="Q23" s="160" t="s">
        <v>182</v>
      </c>
      <c r="R23" s="275">
        <v>7890</v>
      </c>
      <c r="S23" s="276">
        <v>70</v>
      </c>
      <c r="T23" s="247" t="s">
        <v>184</v>
      </c>
      <c r="V23" s="187"/>
      <c r="W23" s="185">
        <v>235500</v>
      </c>
      <c r="X23" s="176"/>
      <c r="Y23" s="185">
        <v>2350</v>
      </c>
      <c r="Z23" s="176" t="s">
        <v>184</v>
      </c>
      <c r="AA23" s="176"/>
      <c r="AB23" s="177"/>
      <c r="AC23" s="160" t="s">
        <v>182</v>
      </c>
      <c r="AD23" s="1546">
        <v>16380</v>
      </c>
      <c r="AE23" s="227"/>
      <c r="AF23" s="176" t="s">
        <v>182</v>
      </c>
      <c r="AG23" s="176">
        <v>90</v>
      </c>
      <c r="AH23" s="177" t="s">
        <v>184</v>
      </c>
      <c r="AJ23" s="187" t="s">
        <v>201</v>
      </c>
      <c r="AK23" s="185"/>
      <c r="AL23" s="176" t="s">
        <v>182</v>
      </c>
      <c r="AM23" s="176">
        <v>80</v>
      </c>
      <c r="AN23" s="177" t="s">
        <v>316</v>
      </c>
      <c r="AO23" s="160" t="s">
        <v>182</v>
      </c>
      <c r="AP23" s="1550">
        <v>4300</v>
      </c>
      <c r="AQ23" s="1553">
        <v>4800</v>
      </c>
      <c r="AR23" s="1550">
        <v>3000</v>
      </c>
      <c r="AS23" s="1553">
        <v>3000</v>
      </c>
      <c r="AT23" s="1544" t="s">
        <v>664</v>
      </c>
      <c r="AU23" s="230" t="s">
        <v>697</v>
      </c>
      <c r="AV23" s="231">
        <v>8800</v>
      </c>
      <c r="AW23" s="232">
        <v>9800</v>
      </c>
      <c r="AX23" s="267">
        <v>6100</v>
      </c>
      <c r="AY23" s="252">
        <v>6100</v>
      </c>
      <c r="BA23" s="235">
        <v>16800</v>
      </c>
      <c r="BB23" s="160" t="s">
        <v>182</v>
      </c>
      <c r="BC23" s="1556">
        <v>4700</v>
      </c>
      <c r="BD23" s="160" t="s">
        <v>182</v>
      </c>
      <c r="BE23" s="187">
        <v>4410</v>
      </c>
      <c r="BF23" s="176" t="s">
        <v>182</v>
      </c>
      <c r="BG23" s="176">
        <v>40</v>
      </c>
      <c r="BH23" s="177" t="s">
        <v>184</v>
      </c>
      <c r="BJ23" s="253"/>
      <c r="BK23" s="160" t="s">
        <v>188</v>
      </c>
      <c r="BL23" s="193" t="s">
        <v>317</v>
      </c>
      <c r="BM23" s="194" t="s">
        <v>317</v>
      </c>
      <c r="BN23" s="194" t="s">
        <v>317</v>
      </c>
      <c r="BO23" s="195" t="s">
        <v>317</v>
      </c>
      <c r="BP23" s="160" t="s">
        <v>188</v>
      </c>
      <c r="BQ23" s="187"/>
      <c r="BR23" s="185"/>
      <c r="BS23" s="185"/>
      <c r="BT23" s="254"/>
      <c r="BU23" s="160" t="s">
        <v>188</v>
      </c>
      <c r="BV23" s="187"/>
      <c r="BW23" s="185"/>
      <c r="BX23" s="185"/>
      <c r="BY23" s="185"/>
      <c r="BZ23" s="254"/>
      <c r="CA23" s="160" t="s">
        <v>188</v>
      </c>
      <c r="CB23" s="187"/>
      <c r="CC23" s="185"/>
      <c r="CD23" s="185"/>
      <c r="CE23" s="185"/>
      <c r="CF23" s="254"/>
      <c r="CH23" s="253" t="s">
        <v>324</v>
      </c>
    </row>
    <row r="24" spans="1:86">
      <c r="A24" s="1563"/>
      <c r="B24" s="168"/>
      <c r="C24" s="241"/>
      <c r="D24" s="177" t="s">
        <v>318</v>
      </c>
      <c r="F24" s="242">
        <v>79710</v>
      </c>
      <c r="G24" s="243">
        <v>143200</v>
      </c>
      <c r="H24" s="242">
        <v>69130</v>
      </c>
      <c r="I24" s="243">
        <v>132620</v>
      </c>
      <c r="J24" s="179" t="s">
        <v>182</v>
      </c>
      <c r="K24" s="244">
        <v>760</v>
      </c>
      <c r="L24" s="245">
        <v>1320</v>
      </c>
      <c r="M24" s="246" t="s">
        <v>795</v>
      </c>
      <c r="N24" s="244">
        <v>660</v>
      </c>
      <c r="O24" s="245">
        <v>1210</v>
      </c>
      <c r="P24" s="246" t="s">
        <v>795</v>
      </c>
      <c r="Q24" s="160" t="s">
        <v>182</v>
      </c>
      <c r="R24" s="187">
        <v>7890</v>
      </c>
      <c r="S24" s="176">
        <v>70</v>
      </c>
      <c r="T24" s="247" t="s">
        <v>184</v>
      </c>
      <c r="V24" s="187"/>
      <c r="W24" s="185"/>
      <c r="X24" s="176"/>
      <c r="Y24" s="185"/>
      <c r="Z24" s="176"/>
      <c r="AA24" s="176"/>
      <c r="AB24" s="177"/>
      <c r="AD24" s="1547"/>
      <c r="AE24" s="248">
        <v>14660</v>
      </c>
      <c r="AF24" s="176"/>
      <c r="AG24" s="176"/>
      <c r="AH24" s="177"/>
      <c r="AJ24" s="187"/>
      <c r="AK24" s="185"/>
      <c r="AL24" s="176"/>
      <c r="AM24" s="176"/>
      <c r="AN24" s="177"/>
      <c r="AP24" s="1551"/>
      <c r="AQ24" s="1554"/>
      <c r="AR24" s="1551"/>
      <c r="AS24" s="1554"/>
      <c r="AT24" s="1544"/>
      <c r="AU24" s="172" t="s">
        <v>699</v>
      </c>
      <c r="AV24" s="249">
        <v>4800</v>
      </c>
      <c r="AW24" s="250">
        <v>5400</v>
      </c>
      <c r="AX24" s="267">
        <v>3400</v>
      </c>
      <c r="AY24" s="252">
        <v>3400</v>
      </c>
      <c r="BA24" s="277"/>
      <c r="BC24" s="1557"/>
      <c r="BE24" s="187"/>
      <c r="BF24" s="176"/>
      <c r="BG24" s="176"/>
      <c r="BH24" s="177"/>
      <c r="BJ24" s="253"/>
      <c r="BL24" s="193"/>
      <c r="BM24" s="194"/>
      <c r="BN24" s="194"/>
      <c r="BO24" s="195"/>
      <c r="BQ24" s="187">
        <v>2540</v>
      </c>
      <c r="BR24" s="185" t="s">
        <v>189</v>
      </c>
      <c r="BS24" s="185">
        <v>20</v>
      </c>
      <c r="BT24" s="254" t="s">
        <v>184</v>
      </c>
      <c r="BV24" s="187">
        <v>9460</v>
      </c>
      <c r="BW24" s="185" t="s">
        <v>189</v>
      </c>
      <c r="BX24" s="185">
        <v>90</v>
      </c>
      <c r="BY24" s="185" t="s">
        <v>184</v>
      </c>
      <c r="BZ24" s="254" t="s">
        <v>190</v>
      </c>
      <c r="CB24" s="187">
        <v>6240</v>
      </c>
      <c r="CC24" s="185" t="s">
        <v>189</v>
      </c>
      <c r="CD24" s="185">
        <v>60</v>
      </c>
      <c r="CE24" s="185" t="s">
        <v>184</v>
      </c>
      <c r="CF24" s="254" t="s">
        <v>190</v>
      </c>
      <c r="CH24" s="253"/>
    </row>
    <row r="25" spans="1:86">
      <c r="A25" s="1563"/>
      <c r="B25" s="168"/>
      <c r="C25" s="241" t="s">
        <v>319</v>
      </c>
      <c r="D25" s="177" t="s">
        <v>320</v>
      </c>
      <c r="F25" s="242">
        <v>143200</v>
      </c>
      <c r="G25" s="243">
        <v>222110</v>
      </c>
      <c r="H25" s="242">
        <v>132620</v>
      </c>
      <c r="I25" s="243">
        <v>211530</v>
      </c>
      <c r="J25" s="179" t="s">
        <v>182</v>
      </c>
      <c r="K25" s="244">
        <v>1320</v>
      </c>
      <c r="L25" s="245">
        <v>2110</v>
      </c>
      <c r="M25" s="246" t="s">
        <v>795</v>
      </c>
      <c r="N25" s="244">
        <v>1210</v>
      </c>
      <c r="O25" s="245">
        <v>2000</v>
      </c>
      <c r="P25" s="246" t="s">
        <v>795</v>
      </c>
      <c r="R25" s="182"/>
      <c r="S25" s="176"/>
      <c r="T25" s="177"/>
      <c r="V25" s="280"/>
      <c r="W25" s="279" t="s">
        <v>797</v>
      </c>
      <c r="X25" s="176"/>
      <c r="Y25" s="279" t="s">
        <v>797</v>
      </c>
      <c r="Z25" s="279"/>
      <c r="AA25" s="176"/>
      <c r="AB25" s="177"/>
      <c r="AC25" s="160" t="s">
        <v>182</v>
      </c>
      <c r="AD25" s="1548">
        <v>14660</v>
      </c>
      <c r="AE25" s="255"/>
      <c r="AF25" s="176"/>
      <c r="AG25" s="176">
        <v>0</v>
      </c>
      <c r="AH25" s="177"/>
      <c r="AJ25" s="187">
        <v>8120</v>
      </c>
      <c r="AK25" s="185" t="s">
        <v>321</v>
      </c>
      <c r="AL25" s="176"/>
      <c r="AM25" s="176"/>
      <c r="AN25" s="177"/>
      <c r="AP25" s="1551"/>
      <c r="AQ25" s="1554"/>
      <c r="AR25" s="1551"/>
      <c r="AS25" s="1554"/>
      <c r="AT25" s="1544"/>
      <c r="AU25" s="172" t="s">
        <v>700</v>
      </c>
      <c r="AV25" s="249">
        <v>4200</v>
      </c>
      <c r="AW25" s="250">
        <v>4700</v>
      </c>
      <c r="AX25" s="267">
        <v>2900</v>
      </c>
      <c r="AY25" s="252">
        <v>2900</v>
      </c>
      <c r="BA25" s="235" t="s">
        <v>812</v>
      </c>
      <c r="BC25" s="358"/>
      <c r="BE25" s="187"/>
      <c r="BF25" s="176"/>
      <c r="BG25" s="176"/>
      <c r="BH25" s="177"/>
      <c r="BJ25" s="253"/>
      <c r="BL25" s="193">
        <v>0.01</v>
      </c>
      <c r="BM25" s="194">
        <v>0.03</v>
      </c>
      <c r="BN25" s="194">
        <v>0.04</v>
      </c>
      <c r="BO25" s="195">
        <v>0.05</v>
      </c>
      <c r="BQ25" s="187"/>
      <c r="BR25" s="185"/>
      <c r="BS25" s="185"/>
      <c r="BT25" s="254"/>
      <c r="BV25" s="187"/>
      <c r="BW25" s="185"/>
      <c r="BX25" s="185"/>
      <c r="BY25" s="185"/>
      <c r="BZ25" s="254"/>
      <c r="CB25" s="187"/>
      <c r="CC25" s="185"/>
      <c r="CD25" s="185"/>
      <c r="CE25" s="185"/>
      <c r="CF25" s="254"/>
      <c r="CH25" s="253">
        <v>0.92</v>
      </c>
    </row>
    <row r="26" spans="1:86">
      <c r="A26" s="1563"/>
      <c r="B26" s="168"/>
      <c r="C26" s="241"/>
      <c r="D26" s="177" t="s">
        <v>322</v>
      </c>
      <c r="F26" s="256">
        <v>222110</v>
      </c>
      <c r="G26" s="257"/>
      <c r="H26" s="256">
        <v>211530</v>
      </c>
      <c r="I26" s="257"/>
      <c r="J26" s="179" t="s">
        <v>182</v>
      </c>
      <c r="K26" s="258">
        <v>2110</v>
      </c>
      <c r="L26" s="259"/>
      <c r="M26" s="260" t="s">
        <v>795</v>
      </c>
      <c r="N26" s="258">
        <v>2000</v>
      </c>
      <c r="O26" s="259"/>
      <c r="P26" s="260" t="s">
        <v>795</v>
      </c>
      <c r="R26" s="182"/>
      <c r="S26" s="176"/>
      <c r="T26" s="177"/>
      <c r="V26" s="187"/>
      <c r="W26" s="185">
        <v>252100</v>
      </c>
      <c r="X26" s="176"/>
      <c r="Y26" s="185">
        <v>2520</v>
      </c>
      <c r="Z26" s="176" t="s">
        <v>184</v>
      </c>
      <c r="AA26" s="176"/>
      <c r="AB26" s="177"/>
      <c r="AD26" s="1549"/>
      <c r="AE26" s="261"/>
      <c r="AF26" s="176"/>
      <c r="AG26" s="176"/>
      <c r="AH26" s="177"/>
      <c r="AJ26" s="187"/>
      <c r="AK26" s="185"/>
      <c r="AL26" s="176"/>
      <c r="AM26" s="176"/>
      <c r="AN26" s="177"/>
      <c r="AP26" s="1552"/>
      <c r="AQ26" s="1555"/>
      <c r="AR26" s="1552"/>
      <c r="AS26" s="1555"/>
      <c r="AT26" s="1544"/>
      <c r="AU26" s="262" t="s">
        <v>701</v>
      </c>
      <c r="AV26" s="263">
        <v>3800</v>
      </c>
      <c r="AW26" s="264">
        <v>4200</v>
      </c>
      <c r="AX26" s="265">
        <v>2600</v>
      </c>
      <c r="AY26" s="266">
        <v>2600</v>
      </c>
      <c r="BA26" s="235">
        <v>12280</v>
      </c>
      <c r="BC26" s="359"/>
      <c r="BE26" s="187"/>
      <c r="BF26" s="176"/>
      <c r="BG26" s="176"/>
      <c r="BH26" s="177"/>
      <c r="BJ26" s="253"/>
      <c r="BL26" s="193"/>
      <c r="BM26" s="194"/>
      <c r="BN26" s="194"/>
      <c r="BO26" s="195"/>
      <c r="BQ26" s="187"/>
      <c r="BR26" s="185"/>
      <c r="BS26" s="185"/>
      <c r="BT26" s="254"/>
      <c r="BV26" s="187"/>
      <c r="BW26" s="185"/>
      <c r="BX26" s="185"/>
      <c r="BY26" s="185"/>
      <c r="BZ26" s="254"/>
      <c r="CB26" s="187"/>
      <c r="CC26" s="185"/>
      <c r="CD26" s="185"/>
      <c r="CE26" s="185"/>
      <c r="CF26" s="254"/>
      <c r="CH26" s="253"/>
    </row>
    <row r="27" spans="1:86" ht="63">
      <c r="A27" s="1563"/>
      <c r="B27" s="215" t="s">
        <v>328</v>
      </c>
      <c r="C27" s="216" t="s">
        <v>313</v>
      </c>
      <c r="D27" s="217" t="s">
        <v>314</v>
      </c>
      <c r="F27" s="218">
        <v>62810</v>
      </c>
      <c r="G27" s="219">
        <v>70700</v>
      </c>
      <c r="H27" s="218">
        <v>54000</v>
      </c>
      <c r="I27" s="219">
        <v>61890</v>
      </c>
      <c r="J27" s="179" t="s">
        <v>182</v>
      </c>
      <c r="K27" s="220">
        <v>600</v>
      </c>
      <c r="L27" s="221">
        <v>670</v>
      </c>
      <c r="M27" s="222" t="s">
        <v>795</v>
      </c>
      <c r="N27" s="220">
        <v>520</v>
      </c>
      <c r="O27" s="221">
        <v>590</v>
      </c>
      <c r="P27" s="222" t="s">
        <v>795</v>
      </c>
      <c r="Q27" s="160" t="s">
        <v>182</v>
      </c>
      <c r="R27" s="223">
        <v>7890</v>
      </c>
      <c r="S27" s="224">
        <v>70</v>
      </c>
      <c r="T27" s="225" t="s">
        <v>184</v>
      </c>
      <c r="V27" s="187"/>
      <c r="W27" s="185"/>
      <c r="X27" s="176"/>
      <c r="Y27" s="185"/>
      <c r="Z27" s="176"/>
      <c r="AA27" s="176"/>
      <c r="AB27" s="177"/>
      <c r="AC27" s="160" t="s">
        <v>182</v>
      </c>
      <c r="AD27" s="1546">
        <v>14800</v>
      </c>
      <c r="AE27" s="227"/>
      <c r="AF27" s="226" t="s">
        <v>182</v>
      </c>
      <c r="AG27" s="226">
        <v>70</v>
      </c>
      <c r="AH27" s="217" t="s">
        <v>184</v>
      </c>
      <c r="AJ27" s="187" t="s">
        <v>203</v>
      </c>
      <c r="AK27" s="185"/>
      <c r="AL27" s="176" t="s">
        <v>182</v>
      </c>
      <c r="AM27" s="176">
        <v>60</v>
      </c>
      <c r="AN27" s="177" t="s">
        <v>316</v>
      </c>
      <c r="AO27" s="160" t="s">
        <v>182</v>
      </c>
      <c r="AP27" s="1550">
        <v>3600</v>
      </c>
      <c r="AQ27" s="1553">
        <v>4000</v>
      </c>
      <c r="AR27" s="1550">
        <v>2500</v>
      </c>
      <c r="AS27" s="1553">
        <v>2500</v>
      </c>
      <c r="AT27" s="1544" t="s">
        <v>664</v>
      </c>
      <c r="AU27" s="230" t="s">
        <v>697</v>
      </c>
      <c r="AV27" s="231">
        <v>7200</v>
      </c>
      <c r="AW27" s="232">
        <v>8100</v>
      </c>
      <c r="AX27" s="267">
        <v>5100</v>
      </c>
      <c r="AY27" s="252">
        <v>5100</v>
      </c>
      <c r="BA27" s="277"/>
      <c r="BB27" s="160" t="s">
        <v>182</v>
      </c>
      <c r="BC27" s="1556">
        <v>4700</v>
      </c>
      <c r="BD27" s="160" t="s">
        <v>182</v>
      </c>
      <c r="BE27" s="228">
        <v>3670</v>
      </c>
      <c r="BF27" s="226" t="s">
        <v>182</v>
      </c>
      <c r="BG27" s="226">
        <v>30</v>
      </c>
      <c r="BH27" s="217" t="s">
        <v>184</v>
      </c>
      <c r="BJ27" s="253"/>
      <c r="BK27" s="160" t="s">
        <v>188</v>
      </c>
      <c r="BL27" s="237" t="s">
        <v>317</v>
      </c>
      <c r="BM27" s="238" t="s">
        <v>317</v>
      </c>
      <c r="BN27" s="238" t="s">
        <v>317</v>
      </c>
      <c r="BO27" s="239" t="s">
        <v>317</v>
      </c>
      <c r="BP27" s="160" t="s">
        <v>188</v>
      </c>
      <c r="BQ27" s="228"/>
      <c r="BR27" s="229"/>
      <c r="BS27" s="229"/>
      <c r="BT27" s="240"/>
      <c r="BU27" s="160" t="s">
        <v>188</v>
      </c>
      <c r="BV27" s="228"/>
      <c r="BW27" s="229"/>
      <c r="BX27" s="229"/>
      <c r="BY27" s="229"/>
      <c r="BZ27" s="240"/>
      <c r="CA27" s="160" t="s">
        <v>188</v>
      </c>
      <c r="CB27" s="228"/>
      <c r="CC27" s="229"/>
      <c r="CD27" s="229"/>
      <c r="CE27" s="229"/>
      <c r="CF27" s="240"/>
      <c r="CH27" s="236" t="s">
        <v>324</v>
      </c>
    </row>
    <row r="28" spans="1:86">
      <c r="A28" s="1563"/>
      <c r="B28" s="168"/>
      <c r="C28" s="241"/>
      <c r="D28" s="177" t="s">
        <v>318</v>
      </c>
      <c r="F28" s="242">
        <v>70700</v>
      </c>
      <c r="G28" s="243">
        <v>134190</v>
      </c>
      <c r="H28" s="242">
        <v>61890</v>
      </c>
      <c r="I28" s="243">
        <v>125380</v>
      </c>
      <c r="J28" s="179" t="s">
        <v>182</v>
      </c>
      <c r="K28" s="244">
        <v>670</v>
      </c>
      <c r="L28" s="245">
        <v>1230</v>
      </c>
      <c r="M28" s="246" t="s">
        <v>795</v>
      </c>
      <c r="N28" s="244">
        <v>590</v>
      </c>
      <c r="O28" s="245">
        <v>1140</v>
      </c>
      <c r="P28" s="246" t="s">
        <v>795</v>
      </c>
      <c r="Q28" s="160" t="s">
        <v>182</v>
      </c>
      <c r="R28" s="187">
        <v>7890</v>
      </c>
      <c r="S28" s="176">
        <v>70</v>
      </c>
      <c r="T28" s="247" t="s">
        <v>184</v>
      </c>
      <c r="V28" s="280"/>
      <c r="W28" s="279" t="s">
        <v>798</v>
      </c>
      <c r="X28" s="176"/>
      <c r="Y28" s="279" t="s">
        <v>798</v>
      </c>
      <c r="Z28" s="279"/>
      <c r="AA28" s="176"/>
      <c r="AB28" s="177"/>
      <c r="AD28" s="1547"/>
      <c r="AE28" s="248">
        <v>13080</v>
      </c>
      <c r="AF28" s="176"/>
      <c r="AG28" s="176"/>
      <c r="AH28" s="177"/>
      <c r="AJ28" s="187"/>
      <c r="AK28" s="185"/>
      <c r="AL28" s="176"/>
      <c r="AM28" s="176"/>
      <c r="AN28" s="177"/>
      <c r="AP28" s="1551"/>
      <c r="AQ28" s="1554"/>
      <c r="AR28" s="1551"/>
      <c r="AS28" s="1554"/>
      <c r="AT28" s="1544"/>
      <c r="AU28" s="172" t="s">
        <v>699</v>
      </c>
      <c r="AV28" s="249">
        <v>4000</v>
      </c>
      <c r="AW28" s="250">
        <v>4400</v>
      </c>
      <c r="AX28" s="267">
        <v>2800</v>
      </c>
      <c r="AY28" s="252">
        <v>2800</v>
      </c>
      <c r="BA28" s="235" t="s">
        <v>813</v>
      </c>
      <c r="BC28" s="1557"/>
      <c r="BE28" s="187"/>
      <c r="BF28" s="176"/>
      <c r="BG28" s="176"/>
      <c r="BH28" s="177"/>
      <c r="BJ28" s="253"/>
      <c r="BL28" s="193"/>
      <c r="BM28" s="194"/>
      <c r="BN28" s="194"/>
      <c r="BO28" s="195"/>
      <c r="BQ28" s="187">
        <v>2120</v>
      </c>
      <c r="BR28" s="185" t="s">
        <v>189</v>
      </c>
      <c r="BS28" s="185">
        <v>20</v>
      </c>
      <c r="BT28" s="254" t="s">
        <v>184</v>
      </c>
      <c r="BV28" s="187">
        <v>7890</v>
      </c>
      <c r="BW28" s="185" t="s">
        <v>189</v>
      </c>
      <c r="BX28" s="185">
        <v>70</v>
      </c>
      <c r="BY28" s="185" t="s">
        <v>184</v>
      </c>
      <c r="BZ28" s="254" t="s">
        <v>190</v>
      </c>
      <c r="CB28" s="187">
        <v>5200</v>
      </c>
      <c r="CC28" s="185" t="s">
        <v>189</v>
      </c>
      <c r="CD28" s="185">
        <v>50</v>
      </c>
      <c r="CE28" s="185" t="s">
        <v>184</v>
      </c>
      <c r="CF28" s="254" t="s">
        <v>190</v>
      </c>
      <c r="CH28" s="253"/>
    </row>
    <row r="29" spans="1:86">
      <c r="A29" s="1563"/>
      <c r="B29" s="168"/>
      <c r="C29" s="241" t="s">
        <v>319</v>
      </c>
      <c r="D29" s="177" t="s">
        <v>320</v>
      </c>
      <c r="F29" s="242">
        <v>134190</v>
      </c>
      <c r="G29" s="243">
        <v>213100</v>
      </c>
      <c r="H29" s="242">
        <v>125380</v>
      </c>
      <c r="I29" s="243">
        <v>204290</v>
      </c>
      <c r="J29" s="179" t="s">
        <v>182</v>
      </c>
      <c r="K29" s="244">
        <v>1230</v>
      </c>
      <c r="L29" s="245">
        <v>2020</v>
      </c>
      <c r="M29" s="246" t="s">
        <v>795</v>
      </c>
      <c r="N29" s="244">
        <v>1140</v>
      </c>
      <c r="O29" s="245">
        <v>1930</v>
      </c>
      <c r="P29" s="246" t="s">
        <v>795</v>
      </c>
      <c r="R29" s="182"/>
      <c r="S29" s="176"/>
      <c r="T29" s="177"/>
      <c r="V29" s="187"/>
      <c r="W29" s="185">
        <v>285300</v>
      </c>
      <c r="X29" s="176"/>
      <c r="Y29" s="185">
        <v>2850</v>
      </c>
      <c r="Z29" s="176" t="s">
        <v>184</v>
      </c>
      <c r="AA29" s="176"/>
      <c r="AB29" s="177"/>
      <c r="AC29" s="160" t="s">
        <v>182</v>
      </c>
      <c r="AD29" s="1548">
        <v>13080</v>
      </c>
      <c r="AE29" s="255"/>
      <c r="AF29" s="176"/>
      <c r="AG29" s="176">
        <v>0</v>
      </c>
      <c r="AH29" s="177"/>
      <c r="AJ29" s="187">
        <v>6500</v>
      </c>
      <c r="AK29" s="185" t="s">
        <v>321</v>
      </c>
      <c r="AL29" s="176"/>
      <c r="AM29" s="176"/>
      <c r="AN29" s="177"/>
      <c r="AP29" s="1551"/>
      <c r="AQ29" s="1554"/>
      <c r="AR29" s="1551"/>
      <c r="AS29" s="1554"/>
      <c r="AT29" s="1544"/>
      <c r="AU29" s="172" t="s">
        <v>700</v>
      </c>
      <c r="AV29" s="249">
        <v>3500</v>
      </c>
      <c r="AW29" s="250">
        <v>3800</v>
      </c>
      <c r="AX29" s="267">
        <v>2400</v>
      </c>
      <c r="AY29" s="252">
        <v>2400</v>
      </c>
      <c r="BA29" s="235">
        <v>9770</v>
      </c>
      <c r="BC29" s="359"/>
      <c r="BE29" s="187"/>
      <c r="BF29" s="176"/>
      <c r="BG29" s="176"/>
      <c r="BH29" s="177"/>
      <c r="BJ29" s="253"/>
      <c r="BL29" s="193">
        <v>0.01</v>
      </c>
      <c r="BM29" s="194">
        <v>0.03</v>
      </c>
      <c r="BN29" s="194">
        <v>0.04</v>
      </c>
      <c r="BO29" s="195">
        <v>0.05</v>
      </c>
      <c r="BQ29" s="187"/>
      <c r="BR29" s="185"/>
      <c r="BS29" s="185"/>
      <c r="BT29" s="254"/>
      <c r="BV29" s="187"/>
      <c r="BW29" s="185"/>
      <c r="BX29" s="185"/>
      <c r="BY29" s="185"/>
      <c r="BZ29" s="254"/>
      <c r="CB29" s="187"/>
      <c r="CC29" s="185"/>
      <c r="CD29" s="185"/>
      <c r="CE29" s="185"/>
      <c r="CF29" s="254"/>
      <c r="CH29" s="253">
        <v>0.9</v>
      </c>
    </row>
    <row r="30" spans="1:86">
      <c r="A30" s="1563"/>
      <c r="B30" s="269"/>
      <c r="C30" s="270"/>
      <c r="D30" s="184" t="s">
        <v>322</v>
      </c>
      <c r="F30" s="256">
        <v>213100</v>
      </c>
      <c r="G30" s="257"/>
      <c r="H30" s="256">
        <v>204290</v>
      </c>
      <c r="I30" s="257"/>
      <c r="J30" s="179" t="s">
        <v>182</v>
      </c>
      <c r="K30" s="258">
        <v>2020</v>
      </c>
      <c r="L30" s="259"/>
      <c r="M30" s="260" t="s">
        <v>795</v>
      </c>
      <c r="N30" s="258">
        <v>1930</v>
      </c>
      <c r="O30" s="259"/>
      <c r="P30" s="260" t="s">
        <v>795</v>
      </c>
      <c r="R30" s="183"/>
      <c r="S30" s="271"/>
      <c r="T30" s="184"/>
      <c r="V30" s="187"/>
      <c r="W30" s="185"/>
      <c r="X30" s="176"/>
      <c r="Y30" s="185"/>
      <c r="Z30" s="176"/>
      <c r="AA30" s="176"/>
      <c r="AB30" s="177"/>
      <c r="AD30" s="1549"/>
      <c r="AE30" s="261"/>
      <c r="AF30" s="271"/>
      <c r="AG30" s="271"/>
      <c r="AH30" s="184"/>
      <c r="AJ30" s="187"/>
      <c r="AK30" s="185"/>
      <c r="AL30" s="176"/>
      <c r="AM30" s="176"/>
      <c r="AN30" s="177"/>
      <c r="AP30" s="1552"/>
      <c r="AQ30" s="1555"/>
      <c r="AR30" s="1552"/>
      <c r="AS30" s="1555"/>
      <c r="AT30" s="1544"/>
      <c r="AU30" s="262" t="s">
        <v>701</v>
      </c>
      <c r="AV30" s="263">
        <v>3100</v>
      </c>
      <c r="AW30" s="264">
        <v>3400</v>
      </c>
      <c r="AX30" s="265">
        <v>2100</v>
      </c>
      <c r="AY30" s="266">
        <v>2100</v>
      </c>
      <c r="BA30" s="277"/>
      <c r="BC30" s="359"/>
      <c r="BE30" s="186"/>
      <c r="BF30" s="271"/>
      <c r="BG30" s="271"/>
      <c r="BH30" s="184"/>
      <c r="BJ30" s="253"/>
      <c r="BL30" s="272"/>
      <c r="BM30" s="273"/>
      <c r="BN30" s="273"/>
      <c r="BO30" s="274"/>
      <c r="BQ30" s="186"/>
      <c r="BR30" s="196"/>
      <c r="BS30" s="196"/>
      <c r="BT30" s="197"/>
      <c r="BV30" s="186"/>
      <c r="BW30" s="196"/>
      <c r="BX30" s="196"/>
      <c r="BY30" s="196"/>
      <c r="BZ30" s="197"/>
      <c r="CB30" s="186"/>
      <c r="CC30" s="196"/>
      <c r="CD30" s="196"/>
      <c r="CE30" s="196"/>
      <c r="CF30" s="197"/>
      <c r="CH30" s="198"/>
    </row>
    <row r="31" spans="1:86" ht="63">
      <c r="A31" s="1563"/>
      <c r="B31" s="168" t="s">
        <v>329</v>
      </c>
      <c r="C31" s="241" t="s">
        <v>313</v>
      </c>
      <c r="D31" s="177" t="s">
        <v>314</v>
      </c>
      <c r="F31" s="218">
        <v>56460</v>
      </c>
      <c r="G31" s="219">
        <v>64350</v>
      </c>
      <c r="H31" s="218">
        <v>48900</v>
      </c>
      <c r="I31" s="219">
        <v>56790</v>
      </c>
      <c r="J31" s="179" t="s">
        <v>182</v>
      </c>
      <c r="K31" s="220">
        <v>540</v>
      </c>
      <c r="L31" s="221">
        <v>610</v>
      </c>
      <c r="M31" s="222" t="s">
        <v>795</v>
      </c>
      <c r="N31" s="220">
        <v>470</v>
      </c>
      <c r="O31" s="221">
        <v>540</v>
      </c>
      <c r="P31" s="222" t="s">
        <v>795</v>
      </c>
      <c r="Q31" s="160" t="s">
        <v>182</v>
      </c>
      <c r="R31" s="275">
        <v>7890</v>
      </c>
      <c r="S31" s="276">
        <v>70</v>
      </c>
      <c r="T31" s="247" t="s">
        <v>184</v>
      </c>
      <c r="V31" s="280"/>
      <c r="W31" s="279" t="s">
        <v>799</v>
      </c>
      <c r="X31" s="176"/>
      <c r="Y31" s="279" t="s">
        <v>799</v>
      </c>
      <c r="Z31" s="279"/>
      <c r="AA31" s="176"/>
      <c r="AB31" s="177"/>
      <c r="AC31" s="160" t="s">
        <v>182</v>
      </c>
      <c r="AD31" s="1546">
        <v>13680</v>
      </c>
      <c r="AE31" s="227"/>
      <c r="AF31" s="176" t="s">
        <v>182</v>
      </c>
      <c r="AG31" s="176">
        <v>60</v>
      </c>
      <c r="AH31" s="177" t="s">
        <v>184</v>
      </c>
      <c r="AJ31" s="187" t="s">
        <v>205</v>
      </c>
      <c r="AK31" s="185"/>
      <c r="AL31" s="176" t="s">
        <v>182</v>
      </c>
      <c r="AM31" s="176">
        <v>50</v>
      </c>
      <c r="AN31" s="177" t="s">
        <v>316</v>
      </c>
      <c r="AO31" s="160" t="s">
        <v>182</v>
      </c>
      <c r="AP31" s="1550">
        <v>3100</v>
      </c>
      <c r="AQ31" s="1553">
        <v>3400</v>
      </c>
      <c r="AR31" s="1550">
        <v>2100</v>
      </c>
      <c r="AS31" s="1553">
        <v>2100</v>
      </c>
      <c r="AT31" s="1544" t="s">
        <v>664</v>
      </c>
      <c r="AU31" s="230" t="s">
        <v>697</v>
      </c>
      <c r="AV31" s="231">
        <v>6300</v>
      </c>
      <c r="AW31" s="232">
        <v>7100</v>
      </c>
      <c r="AX31" s="267">
        <v>4400</v>
      </c>
      <c r="AY31" s="252">
        <v>4400</v>
      </c>
      <c r="BA31" s="235" t="s">
        <v>814</v>
      </c>
      <c r="BB31" s="160" t="s">
        <v>182</v>
      </c>
      <c r="BC31" s="1556">
        <v>4700</v>
      </c>
      <c r="BD31" s="160" t="s">
        <v>182</v>
      </c>
      <c r="BE31" s="187">
        <v>3150</v>
      </c>
      <c r="BF31" s="176" t="s">
        <v>182</v>
      </c>
      <c r="BG31" s="176">
        <v>30</v>
      </c>
      <c r="BH31" s="177" t="s">
        <v>184</v>
      </c>
      <c r="BJ31" s="253"/>
      <c r="BK31" s="160" t="s">
        <v>188</v>
      </c>
      <c r="BL31" s="193" t="s">
        <v>317</v>
      </c>
      <c r="BM31" s="194" t="s">
        <v>317</v>
      </c>
      <c r="BN31" s="194" t="s">
        <v>317</v>
      </c>
      <c r="BO31" s="195" t="s">
        <v>317</v>
      </c>
      <c r="BP31" s="160" t="s">
        <v>188</v>
      </c>
      <c r="BQ31" s="187"/>
      <c r="BR31" s="185"/>
      <c r="BS31" s="185"/>
      <c r="BT31" s="254"/>
      <c r="BU31" s="160" t="s">
        <v>188</v>
      </c>
      <c r="BV31" s="187"/>
      <c r="BW31" s="185"/>
      <c r="BX31" s="185"/>
      <c r="BY31" s="185"/>
      <c r="BZ31" s="254"/>
      <c r="CA31" s="160" t="s">
        <v>188</v>
      </c>
      <c r="CB31" s="187"/>
      <c r="CC31" s="185"/>
      <c r="CD31" s="185"/>
      <c r="CE31" s="185"/>
      <c r="CF31" s="254"/>
      <c r="CH31" s="253" t="s">
        <v>324</v>
      </c>
    </row>
    <row r="32" spans="1:86">
      <c r="A32" s="1563"/>
      <c r="B32" s="168"/>
      <c r="C32" s="241"/>
      <c r="D32" s="177" t="s">
        <v>318</v>
      </c>
      <c r="F32" s="242">
        <v>64350</v>
      </c>
      <c r="G32" s="243">
        <v>127840</v>
      </c>
      <c r="H32" s="242">
        <v>56790</v>
      </c>
      <c r="I32" s="243">
        <v>120280</v>
      </c>
      <c r="J32" s="179" t="s">
        <v>182</v>
      </c>
      <c r="K32" s="244">
        <v>610</v>
      </c>
      <c r="L32" s="245">
        <v>1160</v>
      </c>
      <c r="M32" s="246" t="s">
        <v>795</v>
      </c>
      <c r="N32" s="244">
        <v>540</v>
      </c>
      <c r="O32" s="245">
        <v>1090</v>
      </c>
      <c r="P32" s="246" t="s">
        <v>795</v>
      </c>
      <c r="Q32" s="160" t="s">
        <v>182</v>
      </c>
      <c r="R32" s="187">
        <v>7890</v>
      </c>
      <c r="S32" s="176">
        <v>70</v>
      </c>
      <c r="T32" s="247" t="s">
        <v>184</v>
      </c>
      <c r="V32" s="187"/>
      <c r="W32" s="185">
        <v>318600</v>
      </c>
      <c r="X32" s="176"/>
      <c r="Y32" s="185">
        <v>3180</v>
      </c>
      <c r="Z32" s="176" t="s">
        <v>184</v>
      </c>
      <c r="AA32" s="176"/>
      <c r="AB32" s="177"/>
      <c r="AD32" s="1547"/>
      <c r="AE32" s="248">
        <v>11950</v>
      </c>
      <c r="AF32" s="176"/>
      <c r="AG32" s="176"/>
      <c r="AH32" s="177"/>
      <c r="AJ32" s="187"/>
      <c r="AK32" s="185"/>
      <c r="AL32" s="176"/>
      <c r="AM32" s="176"/>
      <c r="AN32" s="177"/>
      <c r="AP32" s="1551"/>
      <c r="AQ32" s="1554"/>
      <c r="AR32" s="1551"/>
      <c r="AS32" s="1554"/>
      <c r="AT32" s="1544"/>
      <c r="AU32" s="172" t="s">
        <v>699</v>
      </c>
      <c r="AV32" s="249">
        <v>3500</v>
      </c>
      <c r="AW32" s="250">
        <v>3900</v>
      </c>
      <c r="AX32" s="267">
        <v>2400</v>
      </c>
      <c r="AY32" s="252">
        <v>2400</v>
      </c>
      <c r="BA32" s="235">
        <v>7500</v>
      </c>
      <c r="BC32" s="1557"/>
      <c r="BE32" s="187"/>
      <c r="BF32" s="176"/>
      <c r="BG32" s="176"/>
      <c r="BH32" s="177"/>
      <c r="BJ32" s="253"/>
      <c r="BL32" s="193"/>
      <c r="BM32" s="194"/>
      <c r="BN32" s="194"/>
      <c r="BO32" s="195"/>
      <c r="BQ32" s="187">
        <v>1810</v>
      </c>
      <c r="BR32" s="185" t="s">
        <v>189</v>
      </c>
      <c r="BS32" s="185">
        <v>10</v>
      </c>
      <c r="BT32" s="254" t="s">
        <v>184</v>
      </c>
      <c r="BV32" s="187">
        <v>6760</v>
      </c>
      <c r="BW32" s="185" t="s">
        <v>189</v>
      </c>
      <c r="BX32" s="185">
        <v>60</v>
      </c>
      <c r="BY32" s="185" t="s">
        <v>184</v>
      </c>
      <c r="BZ32" s="254" t="s">
        <v>190</v>
      </c>
      <c r="CB32" s="187">
        <v>4450</v>
      </c>
      <c r="CC32" s="185" t="s">
        <v>189</v>
      </c>
      <c r="CD32" s="185">
        <v>40</v>
      </c>
      <c r="CE32" s="185" t="s">
        <v>184</v>
      </c>
      <c r="CF32" s="254" t="s">
        <v>190</v>
      </c>
      <c r="CH32" s="253"/>
    </row>
    <row r="33" spans="1:86">
      <c r="A33" s="1563"/>
      <c r="B33" s="168"/>
      <c r="C33" s="241" t="s">
        <v>319</v>
      </c>
      <c r="D33" s="177" t="s">
        <v>320</v>
      </c>
      <c r="F33" s="242">
        <v>127840</v>
      </c>
      <c r="G33" s="243">
        <v>206750</v>
      </c>
      <c r="H33" s="242">
        <v>120280</v>
      </c>
      <c r="I33" s="243">
        <v>199190</v>
      </c>
      <c r="J33" s="179" t="s">
        <v>182</v>
      </c>
      <c r="K33" s="244">
        <v>1160</v>
      </c>
      <c r="L33" s="245">
        <v>1950</v>
      </c>
      <c r="M33" s="246" t="s">
        <v>795</v>
      </c>
      <c r="N33" s="244">
        <v>1090</v>
      </c>
      <c r="O33" s="245">
        <v>1880</v>
      </c>
      <c r="P33" s="246" t="s">
        <v>795</v>
      </c>
      <c r="R33" s="182"/>
      <c r="S33" s="176"/>
      <c r="T33" s="177"/>
      <c r="V33" s="187"/>
      <c r="W33" s="185"/>
      <c r="X33" s="176"/>
      <c r="Y33" s="185"/>
      <c r="Z33" s="176"/>
      <c r="AA33" s="176"/>
      <c r="AB33" s="177"/>
      <c r="AC33" s="160" t="s">
        <v>182</v>
      </c>
      <c r="AD33" s="1548">
        <v>11950</v>
      </c>
      <c r="AE33" s="255"/>
      <c r="AF33" s="176"/>
      <c r="AG33" s="176">
        <v>0</v>
      </c>
      <c r="AH33" s="177"/>
      <c r="AJ33" s="187">
        <v>5410</v>
      </c>
      <c r="AK33" s="185" t="s">
        <v>321</v>
      </c>
      <c r="AL33" s="176"/>
      <c r="AM33" s="176"/>
      <c r="AN33" s="177"/>
      <c r="AP33" s="1551"/>
      <c r="AQ33" s="1554"/>
      <c r="AR33" s="1551"/>
      <c r="AS33" s="1554"/>
      <c r="AT33" s="1544"/>
      <c r="AU33" s="172" t="s">
        <v>700</v>
      </c>
      <c r="AV33" s="249">
        <v>3000</v>
      </c>
      <c r="AW33" s="250">
        <v>3400</v>
      </c>
      <c r="AX33" s="267">
        <v>2100</v>
      </c>
      <c r="AY33" s="252">
        <v>2100</v>
      </c>
      <c r="BA33" s="277"/>
      <c r="BC33" s="359"/>
      <c r="BE33" s="187"/>
      <c r="BF33" s="176"/>
      <c r="BG33" s="176"/>
      <c r="BH33" s="177"/>
      <c r="BJ33" s="253"/>
      <c r="BL33" s="193">
        <v>0.01</v>
      </c>
      <c r="BM33" s="194">
        <v>0.03</v>
      </c>
      <c r="BN33" s="194">
        <v>0.04</v>
      </c>
      <c r="BO33" s="195">
        <v>0.06</v>
      </c>
      <c r="BQ33" s="187"/>
      <c r="BR33" s="185"/>
      <c r="BS33" s="185"/>
      <c r="BT33" s="254"/>
      <c r="BV33" s="187"/>
      <c r="BW33" s="185"/>
      <c r="BX33" s="185"/>
      <c r="BY33" s="185"/>
      <c r="BZ33" s="254"/>
      <c r="CB33" s="187"/>
      <c r="CC33" s="185"/>
      <c r="CD33" s="185"/>
      <c r="CE33" s="185"/>
      <c r="CF33" s="254"/>
      <c r="CH33" s="253">
        <v>0.92</v>
      </c>
    </row>
    <row r="34" spans="1:86">
      <c r="A34" s="1563"/>
      <c r="B34" s="168"/>
      <c r="C34" s="241"/>
      <c r="D34" s="177" t="s">
        <v>322</v>
      </c>
      <c r="F34" s="256">
        <v>206750</v>
      </c>
      <c r="G34" s="257"/>
      <c r="H34" s="256">
        <v>199190</v>
      </c>
      <c r="I34" s="257"/>
      <c r="J34" s="179" t="s">
        <v>182</v>
      </c>
      <c r="K34" s="258">
        <v>1950</v>
      </c>
      <c r="L34" s="259"/>
      <c r="M34" s="260" t="s">
        <v>795</v>
      </c>
      <c r="N34" s="258">
        <v>1880</v>
      </c>
      <c r="O34" s="259"/>
      <c r="P34" s="260" t="s">
        <v>795</v>
      </c>
      <c r="R34" s="182"/>
      <c r="S34" s="176"/>
      <c r="T34" s="177"/>
      <c r="V34" s="280"/>
      <c r="W34" s="279" t="s">
        <v>800</v>
      </c>
      <c r="X34" s="176"/>
      <c r="Y34" s="279" t="s">
        <v>800</v>
      </c>
      <c r="Z34" s="279"/>
      <c r="AA34" s="176"/>
      <c r="AB34" s="177"/>
      <c r="AD34" s="1549"/>
      <c r="AE34" s="261"/>
      <c r="AF34" s="176"/>
      <c r="AG34" s="176"/>
      <c r="AH34" s="177"/>
      <c r="AJ34" s="187"/>
      <c r="AK34" s="185"/>
      <c r="AL34" s="176"/>
      <c r="AM34" s="176"/>
      <c r="AN34" s="177"/>
      <c r="AP34" s="1552"/>
      <c r="AQ34" s="1555"/>
      <c r="AR34" s="1552"/>
      <c r="AS34" s="1555"/>
      <c r="AT34" s="1544"/>
      <c r="AU34" s="262" t="s">
        <v>701</v>
      </c>
      <c r="AV34" s="263">
        <v>2700</v>
      </c>
      <c r="AW34" s="264">
        <v>3000</v>
      </c>
      <c r="AX34" s="265">
        <v>1900</v>
      </c>
      <c r="AY34" s="266">
        <v>1900</v>
      </c>
      <c r="BA34" s="235" t="s">
        <v>815</v>
      </c>
      <c r="BC34" s="359"/>
      <c r="BE34" s="187"/>
      <c r="BF34" s="176"/>
      <c r="BG34" s="176"/>
      <c r="BH34" s="177"/>
      <c r="BJ34" s="253"/>
      <c r="BL34" s="193"/>
      <c r="BM34" s="194"/>
      <c r="BN34" s="194"/>
      <c r="BO34" s="195"/>
      <c r="BQ34" s="187"/>
      <c r="BR34" s="185"/>
      <c r="BS34" s="185"/>
      <c r="BT34" s="254"/>
      <c r="BV34" s="187"/>
      <c r="BW34" s="185"/>
      <c r="BX34" s="185"/>
      <c r="BY34" s="185"/>
      <c r="BZ34" s="254"/>
      <c r="CB34" s="187"/>
      <c r="CC34" s="185"/>
      <c r="CD34" s="185"/>
      <c r="CE34" s="185"/>
      <c r="CF34" s="254"/>
      <c r="CH34" s="253"/>
    </row>
    <row r="35" spans="1:86" ht="63">
      <c r="A35" s="1563"/>
      <c r="B35" s="215" t="s">
        <v>330</v>
      </c>
      <c r="C35" s="216" t="s">
        <v>313</v>
      </c>
      <c r="D35" s="217" t="s">
        <v>314</v>
      </c>
      <c r="F35" s="218">
        <v>51750</v>
      </c>
      <c r="G35" s="219">
        <v>59640</v>
      </c>
      <c r="H35" s="218">
        <v>45140</v>
      </c>
      <c r="I35" s="219">
        <v>53030</v>
      </c>
      <c r="J35" s="179" t="s">
        <v>182</v>
      </c>
      <c r="K35" s="220">
        <v>490</v>
      </c>
      <c r="L35" s="221">
        <v>560</v>
      </c>
      <c r="M35" s="222" t="s">
        <v>795</v>
      </c>
      <c r="N35" s="220">
        <v>430</v>
      </c>
      <c r="O35" s="221">
        <v>500</v>
      </c>
      <c r="P35" s="222" t="s">
        <v>795</v>
      </c>
      <c r="Q35" s="160" t="s">
        <v>182</v>
      </c>
      <c r="R35" s="223">
        <v>7890</v>
      </c>
      <c r="S35" s="224">
        <v>70</v>
      </c>
      <c r="T35" s="225" t="s">
        <v>184</v>
      </c>
      <c r="V35" s="187"/>
      <c r="W35" s="185">
        <v>351800</v>
      </c>
      <c r="X35" s="176"/>
      <c r="Y35" s="185">
        <v>3510</v>
      </c>
      <c r="Z35" s="176" t="s">
        <v>184</v>
      </c>
      <c r="AA35" s="176"/>
      <c r="AB35" s="177"/>
      <c r="AC35" s="160" t="s">
        <v>182</v>
      </c>
      <c r="AD35" s="1546">
        <v>12830</v>
      </c>
      <c r="AE35" s="227"/>
      <c r="AF35" s="226" t="s">
        <v>182</v>
      </c>
      <c r="AG35" s="226">
        <v>50</v>
      </c>
      <c r="AH35" s="217" t="s">
        <v>184</v>
      </c>
      <c r="AJ35" s="187" t="s">
        <v>207</v>
      </c>
      <c r="AK35" s="185"/>
      <c r="AL35" s="176" t="s">
        <v>182</v>
      </c>
      <c r="AM35" s="176">
        <v>40</v>
      </c>
      <c r="AN35" s="177" t="s">
        <v>316</v>
      </c>
      <c r="AO35" s="160" t="s">
        <v>182</v>
      </c>
      <c r="AP35" s="1550">
        <v>3500</v>
      </c>
      <c r="AQ35" s="1553">
        <v>3900</v>
      </c>
      <c r="AR35" s="1550">
        <v>2500</v>
      </c>
      <c r="AS35" s="1553">
        <v>2500</v>
      </c>
      <c r="AT35" s="1544" t="s">
        <v>664</v>
      </c>
      <c r="AU35" s="230" t="s">
        <v>697</v>
      </c>
      <c r="AV35" s="231">
        <v>7100</v>
      </c>
      <c r="AW35" s="232">
        <v>7900</v>
      </c>
      <c r="AX35" s="267">
        <v>4900</v>
      </c>
      <c r="AY35" s="252">
        <v>4900</v>
      </c>
      <c r="BA35" s="235">
        <v>6130</v>
      </c>
      <c r="BB35" s="160" t="s">
        <v>182</v>
      </c>
      <c r="BC35" s="1556">
        <v>4700</v>
      </c>
      <c r="BD35" s="160" t="s">
        <v>182</v>
      </c>
      <c r="BE35" s="228">
        <v>2760</v>
      </c>
      <c r="BF35" s="226" t="s">
        <v>182</v>
      </c>
      <c r="BG35" s="226">
        <v>20</v>
      </c>
      <c r="BH35" s="217" t="s">
        <v>184</v>
      </c>
      <c r="BJ35" s="253"/>
      <c r="BK35" s="160" t="s">
        <v>188</v>
      </c>
      <c r="BL35" s="237" t="s">
        <v>317</v>
      </c>
      <c r="BM35" s="238" t="s">
        <v>317</v>
      </c>
      <c r="BN35" s="238" t="s">
        <v>317</v>
      </c>
      <c r="BO35" s="239" t="s">
        <v>317</v>
      </c>
      <c r="BP35" s="160" t="s">
        <v>188</v>
      </c>
      <c r="BQ35" s="228"/>
      <c r="BR35" s="229"/>
      <c r="BS35" s="229"/>
      <c r="BT35" s="240"/>
      <c r="BU35" s="160" t="s">
        <v>188</v>
      </c>
      <c r="BV35" s="228"/>
      <c r="BW35" s="229"/>
      <c r="BX35" s="229"/>
      <c r="BY35" s="229"/>
      <c r="BZ35" s="240"/>
      <c r="CA35" s="160" t="s">
        <v>188</v>
      </c>
      <c r="CB35" s="228"/>
      <c r="CC35" s="229"/>
      <c r="CD35" s="229"/>
      <c r="CE35" s="229"/>
      <c r="CF35" s="240"/>
      <c r="CH35" s="236" t="s">
        <v>324</v>
      </c>
    </row>
    <row r="36" spans="1:86">
      <c r="A36" s="1563"/>
      <c r="B36" s="168"/>
      <c r="C36" s="241"/>
      <c r="D36" s="177" t="s">
        <v>318</v>
      </c>
      <c r="F36" s="242">
        <v>59640</v>
      </c>
      <c r="G36" s="243">
        <v>123130</v>
      </c>
      <c r="H36" s="242">
        <v>53030</v>
      </c>
      <c r="I36" s="243">
        <v>116520</v>
      </c>
      <c r="J36" s="179" t="s">
        <v>182</v>
      </c>
      <c r="K36" s="244">
        <v>560</v>
      </c>
      <c r="L36" s="245">
        <v>1120</v>
      </c>
      <c r="M36" s="246" t="s">
        <v>795</v>
      </c>
      <c r="N36" s="244">
        <v>500</v>
      </c>
      <c r="O36" s="245">
        <v>1050</v>
      </c>
      <c r="P36" s="246" t="s">
        <v>795</v>
      </c>
      <c r="Q36" s="160" t="s">
        <v>182</v>
      </c>
      <c r="R36" s="187">
        <v>7890</v>
      </c>
      <c r="S36" s="176">
        <v>70</v>
      </c>
      <c r="T36" s="247" t="s">
        <v>184</v>
      </c>
      <c r="V36" s="187"/>
      <c r="W36" s="185"/>
      <c r="X36" s="176"/>
      <c r="Y36" s="185"/>
      <c r="Z36" s="176"/>
      <c r="AA36" s="176"/>
      <c r="AB36" s="177"/>
      <c r="AD36" s="1547"/>
      <c r="AE36" s="248">
        <v>11100</v>
      </c>
      <c r="AF36" s="176"/>
      <c r="AG36" s="176"/>
      <c r="AH36" s="177"/>
      <c r="AJ36" s="187"/>
      <c r="AK36" s="185"/>
      <c r="AL36" s="176"/>
      <c r="AM36" s="176"/>
      <c r="AN36" s="177"/>
      <c r="AP36" s="1551"/>
      <c r="AQ36" s="1554"/>
      <c r="AR36" s="1551"/>
      <c r="AS36" s="1554"/>
      <c r="AT36" s="1544"/>
      <c r="AU36" s="172" t="s">
        <v>699</v>
      </c>
      <c r="AV36" s="249">
        <v>3900</v>
      </c>
      <c r="AW36" s="250">
        <v>4300</v>
      </c>
      <c r="AX36" s="267">
        <v>2700</v>
      </c>
      <c r="AY36" s="252">
        <v>2700</v>
      </c>
      <c r="BA36" s="277"/>
      <c r="BC36" s="1557"/>
      <c r="BE36" s="187"/>
      <c r="BF36" s="176"/>
      <c r="BG36" s="176"/>
      <c r="BH36" s="177"/>
      <c r="BJ36" s="253"/>
      <c r="BL36" s="193"/>
      <c r="BM36" s="194"/>
      <c r="BN36" s="194"/>
      <c r="BO36" s="195"/>
      <c r="BQ36" s="187">
        <v>1590</v>
      </c>
      <c r="BR36" s="185" t="s">
        <v>189</v>
      </c>
      <c r="BS36" s="185">
        <v>10</v>
      </c>
      <c r="BT36" s="254" t="s">
        <v>184</v>
      </c>
      <c r="BV36" s="187">
        <v>5910</v>
      </c>
      <c r="BW36" s="185" t="s">
        <v>189</v>
      </c>
      <c r="BX36" s="185">
        <v>50</v>
      </c>
      <c r="BY36" s="185" t="s">
        <v>184</v>
      </c>
      <c r="BZ36" s="254" t="s">
        <v>190</v>
      </c>
      <c r="CB36" s="187">
        <v>3900</v>
      </c>
      <c r="CC36" s="185" t="s">
        <v>189</v>
      </c>
      <c r="CD36" s="185">
        <v>30</v>
      </c>
      <c r="CE36" s="185" t="s">
        <v>184</v>
      </c>
      <c r="CF36" s="254" t="s">
        <v>190</v>
      </c>
      <c r="CH36" s="253"/>
    </row>
    <row r="37" spans="1:86">
      <c r="A37" s="1563"/>
      <c r="B37" s="168"/>
      <c r="C37" s="241" t="s">
        <v>319</v>
      </c>
      <c r="D37" s="177" t="s">
        <v>320</v>
      </c>
      <c r="F37" s="242">
        <v>123130</v>
      </c>
      <c r="G37" s="243">
        <v>202040</v>
      </c>
      <c r="H37" s="242">
        <v>116520</v>
      </c>
      <c r="I37" s="243">
        <v>195430</v>
      </c>
      <c r="J37" s="179" t="s">
        <v>182</v>
      </c>
      <c r="K37" s="244">
        <v>1120</v>
      </c>
      <c r="L37" s="245">
        <v>1910</v>
      </c>
      <c r="M37" s="246" t="s">
        <v>795</v>
      </c>
      <c r="N37" s="244">
        <v>1050</v>
      </c>
      <c r="O37" s="245">
        <v>1840</v>
      </c>
      <c r="P37" s="246" t="s">
        <v>795</v>
      </c>
      <c r="R37" s="182"/>
      <c r="S37" s="176"/>
      <c r="T37" s="177"/>
      <c r="V37" s="280"/>
      <c r="W37" s="279" t="s">
        <v>801</v>
      </c>
      <c r="X37" s="176"/>
      <c r="Y37" s="279" t="s">
        <v>801</v>
      </c>
      <c r="Z37" s="279"/>
      <c r="AA37" s="176"/>
      <c r="AB37" s="177"/>
      <c r="AC37" s="160" t="s">
        <v>182</v>
      </c>
      <c r="AD37" s="1548">
        <v>11100</v>
      </c>
      <c r="AE37" s="255"/>
      <c r="AF37" s="176"/>
      <c r="AG37" s="176">
        <v>0</v>
      </c>
      <c r="AH37" s="177"/>
      <c r="AJ37" s="187">
        <v>4640</v>
      </c>
      <c r="AK37" s="185" t="s">
        <v>321</v>
      </c>
      <c r="AL37" s="176"/>
      <c r="AM37" s="176"/>
      <c r="AN37" s="177"/>
      <c r="AP37" s="1551"/>
      <c r="AQ37" s="1554"/>
      <c r="AR37" s="1551"/>
      <c r="AS37" s="1554"/>
      <c r="AT37" s="1544"/>
      <c r="AU37" s="172" t="s">
        <v>700</v>
      </c>
      <c r="AV37" s="249">
        <v>3400</v>
      </c>
      <c r="AW37" s="250">
        <v>3800</v>
      </c>
      <c r="AX37" s="267">
        <v>2300</v>
      </c>
      <c r="AY37" s="252">
        <v>2300</v>
      </c>
      <c r="BA37" s="235" t="s">
        <v>816</v>
      </c>
      <c r="BC37" s="359"/>
      <c r="BE37" s="187"/>
      <c r="BF37" s="176"/>
      <c r="BG37" s="176"/>
      <c r="BH37" s="177"/>
      <c r="BJ37" s="253"/>
      <c r="BL37" s="193">
        <v>0.01</v>
      </c>
      <c r="BM37" s="194">
        <v>0.03</v>
      </c>
      <c r="BN37" s="194">
        <v>0.04</v>
      </c>
      <c r="BO37" s="195">
        <v>0.06</v>
      </c>
      <c r="BQ37" s="187"/>
      <c r="BR37" s="185"/>
      <c r="BS37" s="185"/>
      <c r="BT37" s="254"/>
      <c r="BV37" s="187"/>
      <c r="BW37" s="185"/>
      <c r="BX37" s="185"/>
      <c r="BY37" s="185"/>
      <c r="BZ37" s="254"/>
      <c r="CB37" s="187"/>
      <c r="CC37" s="185"/>
      <c r="CD37" s="185"/>
      <c r="CE37" s="185"/>
      <c r="CF37" s="254"/>
      <c r="CH37" s="253">
        <v>0.89</v>
      </c>
    </row>
    <row r="38" spans="1:86">
      <c r="A38" s="1563"/>
      <c r="B38" s="269"/>
      <c r="C38" s="270"/>
      <c r="D38" s="184" t="s">
        <v>322</v>
      </c>
      <c r="F38" s="256">
        <v>202040</v>
      </c>
      <c r="G38" s="257"/>
      <c r="H38" s="256">
        <v>195430</v>
      </c>
      <c r="I38" s="257"/>
      <c r="J38" s="179" t="s">
        <v>182</v>
      </c>
      <c r="K38" s="258">
        <v>1910</v>
      </c>
      <c r="L38" s="259"/>
      <c r="M38" s="260" t="s">
        <v>795</v>
      </c>
      <c r="N38" s="258">
        <v>1840</v>
      </c>
      <c r="O38" s="259"/>
      <c r="P38" s="260" t="s">
        <v>795</v>
      </c>
      <c r="R38" s="183"/>
      <c r="S38" s="271"/>
      <c r="T38" s="184"/>
      <c r="V38" s="187"/>
      <c r="W38" s="185">
        <v>385100</v>
      </c>
      <c r="X38" s="176"/>
      <c r="Y38" s="185">
        <v>3850</v>
      </c>
      <c r="Z38" s="176" t="s">
        <v>184</v>
      </c>
      <c r="AA38" s="176"/>
      <c r="AB38" s="177"/>
      <c r="AD38" s="1549"/>
      <c r="AE38" s="261"/>
      <c r="AF38" s="271"/>
      <c r="AG38" s="271"/>
      <c r="AH38" s="184"/>
      <c r="AJ38" s="187"/>
      <c r="AK38" s="185"/>
      <c r="AL38" s="176"/>
      <c r="AM38" s="176"/>
      <c r="AN38" s="177"/>
      <c r="AP38" s="1552"/>
      <c r="AQ38" s="1555"/>
      <c r="AR38" s="1552"/>
      <c r="AS38" s="1555"/>
      <c r="AT38" s="1544"/>
      <c r="AU38" s="262" t="s">
        <v>701</v>
      </c>
      <c r="AV38" s="263">
        <v>3000</v>
      </c>
      <c r="AW38" s="264">
        <v>3400</v>
      </c>
      <c r="AX38" s="265">
        <v>2100</v>
      </c>
      <c r="AY38" s="266">
        <v>2100</v>
      </c>
      <c r="BA38" s="235">
        <v>5220</v>
      </c>
      <c r="BC38" s="359"/>
      <c r="BE38" s="186"/>
      <c r="BF38" s="271"/>
      <c r="BG38" s="271"/>
      <c r="BH38" s="184"/>
      <c r="BJ38" s="253"/>
      <c r="BL38" s="272"/>
      <c r="BM38" s="273"/>
      <c r="BN38" s="273"/>
      <c r="BO38" s="274"/>
      <c r="BQ38" s="186"/>
      <c r="BR38" s="196"/>
      <c r="BS38" s="196"/>
      <c r="BT38" s="197"/>
      <c r="BV38" s="186"/>
      <c r="BW38" s="196"/>
      <c r="BX38" s="196"/>
      <c r="BY38" s="196"/>
      <c r="BZ38" s="197"/>
      <c r="CB38" s="186"/>
      <c r="CC38" s="196"/>
      <c r="CD38" s="196"/>
      <c r="CE38" s="196"/>
      <c r="CF38" s="197"/>
      <c r="CH38" s="198"/>
    </row>
    <row r="39" spans="1:86" ht="63">
      <c r="A39" s="1563"/>
      <c r="B39" s="168" t="s">
        <v>331</v>
      </c>
      <c r="C39" s="241" t="s">
        <v>313</v>
      </c>
      <c r="D39" s="177" t="s">
        <v>314</v>
      </c>
      <c r="F39" s="218">
        <v>48040</v>
      </c>
      <c r="G39" s="219">
        <v>55930</v>
      </c>
      <c r="H39" s="218">
        <v>42160</v>
      </c>
      <c r="I39" s="219">
        <v>50050</v>
      </c>
      <c r="J39" s="179" t="s">
        <v>182</v>
      </c>
      <c r="K39" s="220">
        <v>460</v>
      </c>
      <c r="L39" s="221">
        <v>530</v>
      </c>
      <c r="M39" s="222" t="s">
        <v>795</v>
      </c>
      <c r="N39" s="220">
        <v>400</v>
      </c>
      <c r="O39" s="221">
        <v>470</v>
      </c>
      <c r="P39" s="222" t="s">
        <v>795</v>
      </c>
      <c r="Q39" s="160" t="s">
        <v>182</v>
      </c>
      <c r="R39" s="275">
        <v>7890</v>
      </c>
      <c r="S39" s="276">
        <v>70</v>
      </c>
      <c r="T39" s="247" t="s">
        <v>184</v>
      </c>
      <c r="V39" s="187"/>
      <c r="W39" s="185"/>
      <c r="X39" s="176"/>
      <c r="Y39" s="185"/>
      <c r="Z39" s="176"/>
      <c r="AA39" s="176"/>
      <c r="AB39" s="177"/>
      <c r="AC39" s="160" t="s">
        <v>182</v>
      </c>
      <c r="AD39" s="1546">
        <v>12170</v>
      </c>
      <c r="AE39" s="227"/>
      <c r="AF39" s="226" t="s">
        <v>182</v>
      </c>
      <c r="AG39" s="226">
        <v>50</v>
      </c>
      <c r="AH39" s="217" t="s">
        <v>184</v>
      </c>
      <c r="AJ39" s="187" t="s">
        <v>209</v>
      </c>
      <c r="AK39" s="185"/>
      <c r="AL39" s="176" t="s">
        <v>182</v>
      </c>
      <c r="AM39" s="176">
        <v>40</v>
      </c>
      <c r="AN39" s="177" t="s">
        <v>316</v>
      </c>
      <c r="AO39" s="160" t="s">
        <v>182</v>
      </c>
      <c r="AP39" s="1550">
        <v>3100</v>
      </c>
      <c r="AQ39" s="1553">
        <v>3400</v>
      </c>
      <c r="AR39" s="1550">
        <v>2200</v>
      </c>
      <c r="AS39" s="1553">
        <v>2200</v>
      </c>
      <c r="AT39" s="1544" t="s">
        <v>664</v>
      </c>
      <c r="AU39" s="230" t="s">
        <v>697</v>
      </c>
      <c r="AV39" s="231">
        <v>6300</v>
      </c>
      <c r="AW39" s="232">
        <v>7100</v>
      </c>
      <c r="AX39" s="267">
        <v>4400</v>
      </c>
      <c r="AY39" s="252">
        <v>4400</v>
      </c>
      <c r="BA39" s="277"/>
      <c r="BB39" s="160" t="s">
        <v>182</v>
      </c>
      <c r="BC39" s="1556">
        <v>4700</v>
      </c>
      <c r="BD39" s="160" t="s">
        <v>182</v>
      </c>
      <c r="BE39" s="187">
        <v>2450</v>
      </c>
      <c r="BF39" s="176" t="s">
        <v>182</v>
      </c>
      <c r="BG39" s="176">
        <v>20</v>
      </c>
      <c r="BH39" s="177" t="s">
        <v>184</v>
      </c>
      <c r="BJ39" s="253"/>
      <c r="BK39" s="160" t="s">
        <v>188</v>
      </c>
      <c r="BL39" s="193" t="s">
        <v>317</v>
      </c>
      <c r="BM39" s="194" t="s">
        <v>317</v>
      </c>
      <c r="BN39" s="194" t="s">
        <v>317</v>
      </c>
      <c r="BO39" s="195" t="s">
        <v>317</v>
      </c>
      <c r="BP39" s="160" t="s">
        <v>188</v>
      </c>
      <c r="BQ39" s="187"/>
      <c r="BR39" s="185"/>
      <c r="BS39" s="185"/>
      <c r="BT39" s="254"/>
      <c r="BU39" s="160" t="s">
        <v>188</v>
      </c>
      <c r="BV39" s="187"/>
      <c r="BW39" s="185"/>
      <c r="BX39" s="185"/>
      <c r="BY39" s="185"/>
      <c r="BZ39" s="254"/>
      <c r="CA39" s="160" t="s">
        <v>188</v>
      </c>
      <c r="CB39" s="187"/>
      <c r="CC39" s="185"/>
      <c r="CD39" s="185"/>
      <c r="CE39" s="185"/>
      <c r="CF39" s="254"/>
      <c r="CH39" s="253" t="s">
        <v>324</v>
      </c>
    </row>
    <row r="40" spans="1:86">
      <c r="A40" s="1563"/>
      <c r="B40" s="168"/>
      <c r="C40" s="241"/>
      <c r="D40" s="177" t="s">
        <v>318</v>
      </c>
      <c r="F40" s="242">
        <v>55930</v>
      </c>
      <c r="G40" s="243">
        <v>119420</v>
      </c>
      <c r="H40" s="242">
        <v>50050</v>
      </c>
      <c r="I40" s="243">
        <v>113540</v>
      </c>
      <c r="J40" s="179" t="s">
        <v>182</v>
      </c>
      <c r="K40" s="244">
        <v>530</v>
      </c>
      <c r="L40" s="245">
        <v>1080</v>
      </c>
      <c r="M40" s="246" t="s">
        <v>795</v>
      </c>
      <c r="N40" s="244">
        <v>470</v>
      </c>
      <c r="O40" s="245">
        <v>1020</v>
      </c>
      <c r="P40" s="246" t="s">
        <v>795</v>
      </c>
      <c r="Q40" s="160" t="s">
        <v>182</v>
      </c>
      <c r="R40" s="187">
        <v>7890</v>
      </c>
      <c r="S40" s="176">
        <v>70</v>
      </c>
      <c r="T40" s="247" t="s">
        <v>184</v>
      </c>
      <c r="V40" s="280"/>
      <c r="W40" s="279" t="s">
        <v>802</v>
      </c>
      <c r="X40" s="176"/>
      <c r="Y40" s="279" t="s">
        <v>802</v>
      </c>
      <c r="Z40" s="279"/>
      <c r="AA40" s="176" t="s">
        <v>332</v>
      </c>
      <c r="AB40" s="177" t="s">
        <v>333</v>
      </c>
      <c r="AD40" s="1547"/>
      <c r="AE40" s="248">
        <v>10440</v>
      </c>
      <c r="AF40" s="176"/>
      <c r="AG40" s="176"/>
      <c r="AH40" s="177"/>
      <c r="AJ40" s="187"/>
      <c r="AK40" s="185"/>
      <c r="AL40" s="176"/>
      <c r="AM40" s="176"/>
      <c r="AN40" s="177"/>
      <c r="AP40" s="1551"/>
      <c r="AQ40" s="1554"/>
      <c r="AR40" s="1551"/>
      <c r="AS40" s="1554"/>
      <c r="AT40" s="1544"/>
      <c r="AU40" s="172" t="s">
        <v>699</v>
      </c>
      <c r="AV40" s="249">
        <v>3500</v>
      </c>
      <c r="AW40" s="250">
        <v>3900</v>
      </c>
      <c r="AX40" s="267">
        <v>2400</v>
      </c>
      <c r="AY40" s="252">
        <v>2400</v>
      </c>
      <c r="BA40" s="235" t="s">
        <v>817</v>
      </c>
      <c r="BC40" s="1557"/>
      <c r="BE40" s="187"/>
      <c r="BF40" s="176"/>
      <c r="BG40" s="176"/>
      <c r="BH40" s="177"/>
      <c r="BJ40" s="253"/>
      <c r="BL40" s="193"/>
      <c r="BM40" s="194"/>
      <c r="BN40" s="194"/>
      <c r="BO40" s="195"/>
      <c r="BQ40" s="187">
        <v>1410</v>
      </c>
      <c r="BR40" s="185" t="s">
        <v>189</v>
      </c>
      <c r="BS40" s="185">
        <v>10</v>
      </c>
      <c r="BT40" s="254" t="s">
        <v>184</v>
      </c>
      <c r="BV40" s="187">
        <v>5260</v>
      </c>
      <c r="BW40" s="185" t="s">
        <v>189</v>
      </c>
      <c r="BX40" s="185">
        <v>50</v>
      </c>
      <c r="BY40" s="185" t="s">
        <v>184</v>
      </c>
      <c r="BZ40" s="254" t="s">
        <v>190</v>
      </c>
      <c r="CB40" s="187">
        <v>3460</v>
      </c>
      <c r="CC40" s="185" t="s">
        <v>189</v>
      </c>
      <c r="CD40" s="185">
        <v>30</v>
      </c>
      <c r="CE40" s="185" t="s">
        <v>184</v>
      </c>
      <c r="CF40" s="254" t="s">
        <v>190</v>
      </c>
      <c r="CH40" s="253"/>
    </row>
    <row r="41" spans="1:86">
      <c r="A41" s="1563"/>
      <c r="B41" s="168"/>
      <c r="C41" s="241" t="s">
        <v>319</v>
      </c>
      <c r="D41" s="177" t="s">
        <v>320</v>
      </c>
      <c r="F41" s="242">
        <v>119420</v>
      </c>
      <c r="G41" s="243">
        <v>198330</v>
      </c>
      <c r="H41" s="242">
        <v>113540</v>
      </c>
      <c r="I41" s="243">
        <v>192450</v>
      </c>
      <c r="J41" s="179" t="s">
        <v>182</v>
      </c>
      <c r="K41" s="244">
        <v>1080</v>
      </c>
      <c r="L41" s="245">
        <v>1870</v>
      </c>
      <c r="M41" s="246" t="s">
        <v>795</v>
      </c>
      <c r="N41" s="244">
        <v>1020</v>
      </c>
      <c r="O41" s="245">
        <v>1810</v>
      </c>
      <c r="P41" s="246" t="s">
        <v>795</v>
      </c>
      <c r="R41" s="182"/>
      <c r="S41" s="176"/>
      <c r="T41" s="177"/>
      <c r="V41" s="187"/>
      <c r="W41" s="185">
        <v>418300</v>
      </c>
      <c r="X41" s="176"/>
      <c r="Y41" s="185">
        <v>4180</v>
      </c>
      <c r="Z41" s="176" t="s">
        <v>184</v>
      </c>
      <c r="AA41" s="176"/>
      <c r="AB41" s="177" t="s">
        <v>334</v>
      </c>
      <c r="AC41" s="160" t="s">
        <v>182</v>
      </c>
      <c r="AD41" s="1548">
        <v>10440</v>
      </c>
      <c r="AE41" s="255"/>
      <c r="AF41" s="176"/>
      <c r="AG41" s="176">
        <v>0</v>
      </c>
      <c r="AH41" s="177"/>
      <c r="AJ41" s="187">
        <v>4060</v>
      </c>
      <c r="AK41" s="185" t="s">
        <v>321</v>
      </c>
      <c r="AL41" s="176"/>
      <c r="AM41" s="176"/>
      <c r="AN41" s="177"/>
      <c r="AP41" s="1551"/>
      <c r="AQ41" s="1554"/>
      <c r="AR41" s="1551"/>
      <c r="AS41" s="1554"/>
      <c r="AT41" s="1544"/>
      <c r="AU41" s="172" t="s">
        <v>700</v>
      </c>
      <c r="AV41" s="249">
        <v>3000</v>
      </c>
      <c r="AW41" s="250">
        <v>3400</v>
      </c>
      <c r="AX41" s="267">
        <v>2100</v>
      </c>
      <c r="AY41" s="252">
        <v>2100</v>
      </c>
      <c r="BA41" s="235">
        <v>4660</v>
      </c>
      <c r="BC41" s="358"/>
      <c r="BE41" s="187"/>
      <c r="BF41" s="176"/>
      <c r="BG41" s="176"/>
      <c r="BH41" s="177"/>
      <c r="BJ41" s="253" t="s">
        <v>335</v>
      </c>
      <c r="BL41" s="193">
        <v>0.01</v>
      </c>
      <c r="BM41" s="194">
        <v>0.03</v>
      </c>
      <c r="BN41" s="194">
        <v>0.04</v>
      </c>
      <c r="BO41" s="195">
        <v>0.06</v>
      </c>
      <c r="BQ41" s="187"/>
      <c r="BR41" s="185"/>
      <c r="BS41" s="185"/>
      <c r="BT41" s="254"/>
      <c r="BV41" s="187"/>
      <c r="BW41" s="185"/>
      <c r="BX41" s="185"/>
      <c r="BY41" s="185"/>
      <c r="BZ41" s="254"/>
      <c r="CB41" s="187"/>
      <c r="CC41" s="185"/>
      <c r="CD41" s="185"/>
      <c r="CE41" s="185"/>
      <c r="CF41" s="254"/>
      <c r="CH41" s="253">
        <v>0.91</v>
      </c>
    </row>
    <row r="42" spans="1:86">
      <c r="A42" s="1563"/>
      <c r="B42" s="168"/>
      <c r="C42" s="241"/>
      <c r="D42" s="177" t="s">
        <v>322</v>
      </c>
      <c r="F42" s="256">
        <v>198330</v>
      </c>
      <c r="G42" s="257"/>
      <c r="H42" s="256">
        <v>192450</v>
      </c>
      <c r="I42" s="257"/>
      <c r="J42" s="179" t="s">
        <v>182</v>
      </c>
      <c r="K42" s="258">
        <v>1870</v>
      </c>
      <c r="L42" s="259"/>
      <c r="M42" s="260" t="s">
        <v>795</v>
      </c>
      <c r="N42" s="258">
        <v>1810</v>
      </c>
      <c r="O42" s="259"/>
      <c r="P42" s="260" t="s">
        <v>795</v>
      </c>
      <c r="R42" s="182"/>
      <c r="S42" s="176"/>
      <c r="T42" s="177"/>
      <c r="V42" s="187"/>
      <c r="W42" s="185"/>
      <c r="X42" s="176"/>
      <c r="Y42" s="185"/>
      <c r="Z42" s="176"/>
      <c r="AA42" s="176"/>
      <c r="AB42" s="177"/>
      <c r="AD42" s="1549"/>
      <c r="AE42" s="261"/>
      <c r="AF42" s="271"/>
      <c r="AG42" s="271"/>
      <c r="AH42" s="184"/>
      <c r="AJ42" s="187"/>
      <c r="AK42" s="185"/>
      <c r="AL42" s="176"/>
      <c r="AM42" s="176"/>
      <c r="AN42" s="177"/>
      <c r="AP42" s="1552"/>
      <c r="AQ42" s="1555"/>
      <c r="AR42" s="1552"/>
      <c r="AS42" s="1555"/>
      <c r="AT42" s="1544"/>
      <c r="AU42" s="262" t="s">
        <v>701</v>
      </c>
      <c r="AV42" s="263">
        <v>2700</v>
      </c>
      <c r="AW42" s="264">
        <v>3000</v>
      </c>
      <c r="AX42" s="265">
        <v>1900</v>
      </c>
      <c r="AY42" s="266">
        <v>1900</v>
      </c>
      <c r="BA42" s="277"/>
      <c r="BC42" s="359"/>
      <c r="BE42" s="187"/>
      <c r="BF42" s="176"/>
      <c r="BG42" s="176"/>
      <c r="BH42" s="177"/>
      <c r="BJ42" s="253"/>
      <c r="BL42" s="193"/>
      <c r="BM42" s="194"/>
      <c r="BN42" s="194"/>
      <c r="BO42" s="195"/>
      <c r="BQ42" s="187"/>
      <c r="BR42" s="185"/>
      <c r="BS42" s="185"/>
      <c r="BT42" s="254"/>
      <c r="BV42" s="187"/>
      <c r="BW42" s="185"/>
      <c r="BX42" s="185"/>
      <c r="BY42" s="185"/>
      <c r="BZ42" s="254"/>
      <c r="CB42" s="187"/>
      <c r="CC42" s="185"/>
      <c r="CD42" s="185"/>
      <c r="CE42" s="185"/>
      <c r="CF42" s="254"/>
      <c r="CH42" s="253"/>
    </row>
    <row r="43" spans="1:86" ht="63">
      <c r="A43" s="1563"/>
      <c r="B43" s="215" t="s">
        <v>336</v>
      </c>
      <c r="C43" s="216" t="s">
        <v>313</v>
      </c>
      <c r="D43" s="217" t="s">
        <v>314</v>
      </c>
      <c r="F43" s="218">
        <v>41510</v>
      </c>
      <c r="G43" s="219">
        <v>49400</v>
      </c>
      <c r="H43" s="218">
        <v>36230</v>
      </c>
      <c r="I43" s="219">
        <v>44120</v>
      </c>
      <c r="J43" s="179" t="s">
        <v>182</v>
      </c>
      <c r="K43" s="220">
        <v>390</v>
      </c>
      <c r="L43" s="221">
        <v>460</v>
      </c>
      <c r="M43" s="222" t="s">
        <v>795</v>
      </c>
      <c r="N43" s="220">
        <v>340</v>
      </c>
      <c r="O43" s="221">
        <v>410</v>
      </c>
      <c r="P43" s="222" t="s">
        <v>795</v>
      </c>
      <c r="Q43" s="160" t="s">
        <v>182</v>
      </c>
      <c r="R43" s="223">
        <v>7890</v>
      </c>
      <c r="S43" s="224">
        <v>70</v>
      </c>
      <c r="T43" s="225" t="s">
        <v>184</v>
      </c>
      <c r="V43" s="280"/>
      <c r="W43" s="279" t="s">
        <v>803</v>
      </c>
      <c r="X43" s="176"/>
      <c r="Y43" s="279" t="s">
        <v>803</v>
      </c>
      <c r="Z43" s="279"/>
      <c r="AA43" s="176"/>
      <c r="AB43" s="177"/>
      <c r="AD43" s="281"/>
      <c r="AE43" s="281"/>
      <c r="AF43" s="176"/>
      <c r="AG43" s="176"/>
      <c r="AH43" s="177"/>
      <c r="AJ43" s="187" t="s">
        <v>211</v>
      </c>
      <c r="AK43" s="185"/>
      <c r="AL43" s="176" t="s">
        <v>182</v>
      </c>
      <c r="AM43" s="176">
        <v>30</v>
      </c>
      <c r="AN43" s="177" t="s">
        <v>316</v>
      </c>
      <c r="AO43" s="160" t="s">
        <v>182</v>
      </c>
      <c r="AP43" s="1550">
        <v>2800</v>
      </c>
      <c r="AQ43" s="1553">
        <v>3100</v>
      </c>
      <c r="AR43" s="1550">
        <v>2000</v>
      </c>
      <c r="AS43" s="1553">
        <v>2000</v>
      </c>
      <c r="AT43" s="1544" t="s">
        <v>664</v>
      </c>
      <c r="AU43" s="230" t="s">
        <v>697</v>
      </c>
      <c r="AV43" s="231">
        <v>5500</v>
      </c>
      <c r="AW43" s="232">
        <v>6200</v>
      </c>
      <c r="AX43" s="267">
        <v>3900</v>
      </c>
      <c r="AY43" s="252">
        <v>3900</v>
      </c>
      <c r="BA43" s="235" t="s">
        <v>818</v>
      </c>
      <c r="BB43" s="160" t="s">
        <v>182</v>
      </c>
      <c r="BC43" s="1556">
        <v>4700</v>
      </c>
      <c r="BD43" s="160" t="s">
        <v>182</v>
      </c>
      <c r="BE43" s="228">
        <v>2200</v>
      </c>
      <c r="BF43" s="226" t="s">
        <v>182</v>
      </c>
      <c r="BG43" s="226">
        <v>20</v>
      </c>
      <c r="BH43" s="217" t="s">
        <v>184</v>
      </c>
      <c r="BJ43" s="253">
        <v>0.1</v>
      </c>
      <c r="BK43" s="160" t="s">
        <v>188</v>
      </c>
      <c r="BL43" s="237" t="s">
        <v>317</v>
      </c>
      <c r="BM43" s="238" t="s">
        <v>317</v>
      </c>
      <c r="BN43" s="238" t="s">
        <v>317</v>
      </c>
      <c r="BO43" s="239" t="s">
        <v>317</v>
      </c>
      <c r="BP43" s="160" t="s">
        <v>188</v>
      </c>
      <c r="BQ43" s="228"/>
      <c r="BR43" s="229"/>
      <c r="BS43" s="229"/>
      <c r="BT43" s="240"/>
      <c r="BU43" s="160" t="s">
        <v>188</v>
      </c>
      <c r="BV43" s="228"/>
      <c r="BW43" s="229"/>
      <c r="BX43" s="229"/>
      <c r="BY43" s="229"/>
      <c r="BZ43" s="240"/>
      <c r="CA43" s="160" t="s">
        <v>188</v>
      </c>
      <c r="CB43" s="228"/>
      <c r="CC43" s="229"/>
      <c r="CD43" s="229"/>
      <c r="CE43" s="229"/>
      <c r="CF43" s="240"/>
      <c r="CH43" s="236" t="s">
        <v>324</v>
      </c>
    </row>
    <row r="44" spans="1:86">
      <c r="A44" s="1563"/>
      <c r="B44" s="168"/>
      <c r="C44" s="241"/>
      <c r="D44" s="177" t="s">
        <v>318</v>
      </c>
      <c r="F44" s="242">
        <v>49400</v>
      </c>
      <c r="G44" s="243">
        <v>112890</v>
      </c>
      <c r="H44" s="242">
        <v>44120</v>
      </c>
      <c r="I44" s="243">
        <v>107610</v>
      </c>
      <c r="J44" s="179" t="s">
        <v>182</v>
      </c>
      <c r="K44" s="244">
        <v>460</v>
      </c>
      <c r="L44" s="245">
        <v>1010</v>
      </c>
      <c r="M44" s="246" t="s">
        <v>795</v>
      </c>
      <c r="N44" s="244">
        <v>410</v>
      </c>
      <c r="O44" s="245">
        <v>960</v>
      </c>
      <c r="P44" s="246" t="s">
        <v>795</v>
      </c>
      <c r="Q44" s="160" t="s">
        <v>182</v>
      </c>
      <c r="R44" s="187">
        <v>7890</v>
      </c>
      <c r="S44" s="176">
        <v>70</v>
      </c>
      <c r="T44" s="247" t="s">
        <v>184</v>
      </c>
      <c r="V44" s="187"/>
      <c r="W44" s="185">
        <v>451600</v>
      </c>
      <c r="X44" s="176"/>
      <c r="Y44" s="185">
        <v>4510</v>
      </c>
      <c r="Z44" s="176" t="s">
        <v>184</v>
      </c>
      <c r="AA44" s="176"/>
      <c r="AB44" s="177"/>
      <c r="AD44" s="281"/>
      <c r="AE44" s="281"/>
      <c r="AF44" s="176"/>
      <c r="AG44" s="176"/>
      <c r="AH44" s="177"/>
      <c r="AJ44" s="187"/>
      <c r="AK44" s="185"/>
      <c r="AL44" s="176"/>
      <c r="AM44" s="176"/>
      <c r="AN44" s="177"/>
      <c r="AP44" s="1551"/>
      <c r="AQ44" s="1554"/>
      <c r="AR44" s="1551"/>
      <c r="AS44" s="1554"/>
      <c r="AT44" s="1544"/>
      <c r="AU44" s="172" t="s">
        <v>699</v>
      </c>
      <c r="AV44" s="249">
        <v>3000</v>
      </c>
      <c r="AW44" s="250">
        <v>3400</v>
      </c>
      <c r="AX44" s="267">
        <v>2100</v>
      </c>
      <c r="AY44" s="252">
        <v>2100</v>
      </c>
      <c r="BA44" s="235">
        <v>4250</v>
      </c>
      <c r="BC44" s="1557"/>
      <c r="BE44" s="187"/>
      <c r="BF44" s="176"/>
      <c r="BG44" s="176"/>
      <c r="BH44" s="177"/>
      <c r="BJ44" s="253"/>
      <c r="BL44" s="193"/>
      <c r="BM44" s="194"/>
      <c r="BN44" s="194"/>
      <c r="BO44" s="195"/>
      <c r="BQ44" s="187">
        <v>1270</v>
      </c>
      <c r="BR44" s="185" t="s">
        <v>189</v>
      </c>
      <c r="BS44" s="185">
        <v>10</v>
      </c>
      <c r="BT44" s="254" t="s">
        <v>184</v>
      </c>
      <c r="BV44" s="187">
        <v>4730</v>
      </c>
      <c r="BW44" s="185" t="s">
        <v>189</v>
      </c>
      <c r="BX44" s="185">
        <v>40</v>
      </c>
      <c r="BY44" s="185" t="s">
        <v>184</v>
      </c>
      <c r="BZ44" s="254" t="s">
        <v>190</v>
      </c>
      <c r="CB44" s="187">
        <v>3120</v>
      </c>
      <c r="CC44" s="185" t="s">
        <v>189</v>
      </c>
      <c r="CD44" s="185">
        <v>30</v>
      </c>
      <c r="CE44" s="185" t="s">
        <v>184</v>
      </c>
      <c r="CF44" s="254" t="s">
        <v>190</v>
      </c>
      <c r="CH44" s="253"/>
    </row>
    <row r="45" spans="1:86">
      <c r="A45" s="1563"/>
      <c r="B45" s="168"/>
      <c r="C45" s="241" t="s">
        <v>319</v>
      </c>
      <c r="D45" s="177" t="s">
        <v>320</v>
      </c>
      <c r="F45" s="242">
        <v>112890</v>
      </c>
      <c r="G45" s="243">
        <v>191800</v>
      </c>
      <c r="H45" s="242">
        <v>107610</v>
      </c>
      <c r="I45" s="243">
        <v>186520</v>
      </c>
      <c r="J45" s="179" t="s">
        <v>182</v>
      </c>
      <c r="K45" s="244">
        <v>1010</v>
      </c>
      <c r="L45" s="245">
        <v>1800</v>
      </c>
      <c r="M45" s="246" t="s">
        <v>795</v>
      </c>
      <c r="N45" s="244">
        <v>960</v>
      </c>
      <c r="O45" s="245">
        <v>1750</v>
      </c>
      <c r="P45" s="246" t="s">
        <v>795</v>
      </c>
      <c r="R45" s="182"/>
      <c r="S45" s="176"/>
      <c r="T45" s="177"/>
      <c r="V45" s="187"/>
      <c r="W45" s="185"/>
      <c r="X45" s="176"/>
      <c r="Y45" s="185"/>
      <c r="Z45" s="176"/>
      <c r="AA45" s="176"/>
      <c r="AB45" s="177"/>
      <c r="AD45" s="281"/>
      <c r="AE45" s="281"/>
      <c r="AF45" s="176"/>
      <c r="AG45" s="176"/>
      <c r="AH45" s="177"/>
      <c r="AJ45" s="187">
        <v>3610</v>
      </c>
      <c r="AK45" s="185" t="s">
        <v>321</v>
      </c>
      <c r="AL45" s="176"/>
      <c r="AM45" s="176"/>
      <c r="AN45" s="177"/>
      <c r="AP45" s="1551"/>
      <c r="AQ45" s="1554"/>
      <c r="AR45" s="1551"/>
      <c r="AS45" s="1554"/>
      <c r="AT45" s="1544"/>
      <c r="AU45" s="172" t="s">
        <v>700</v>
      </c>
      <c r="AV45" s="249">
        <v>2600</v>
      </c>
      <c r="AW45" s="250">
        <v>2900</v>
      </c>
      <c r="AX45" s="267">
        <v>1800</v>
      </c>
      <c r="AY45" s="252">
        <v>1800</v>
      </c>
      <c r="BA45" s="277"/>
      <c r="BC45" s="359"/>
      <c r="BE45" s="187"/>
      <c r="BF45" s="176"/>
      <c r="BG45" s="176"/>
      <c r="BH45" s="177"/>
      <c r="BJ45" s="253"/>
      <c r="BL45" s="193">
        <v>0.01</v>
      </c>
      <c r="BM45" s="194">
        <v>0.03</v>
      </c>
      <c r="BN45" s="194">
        <v>0.04</v>
      </c>
      <c r="BO45" s="195">
        <v>0.06</v>
      </c>
      <c r="BQ45" s="187"/>
      <c r="BR45" s="185"/>
      <c r="BS45" s="185"/>
      <c r="BT45" s="254"/>
      <c r="BV45" s="187"/>
      <c r="BW45" s="185"/>
      <c r="BX45" s="185"/>
      <c r="BY45" s="185"/>
      <c r="BZ45" s="254"/>
      <c r="CB45" s="187"/>
      <c r="CC45" s="185"/>
      <c r="CD45" s="185"/>
      <c r="CE45" s="185"/>
      <c r="CF45" s="254"/>
      <c r="CH45" s="253">
        <v>0.96</v>
      </c>
    </row>
    <row r="46" spans="1:86">
      <c r="A46" s="1563"/>
      <c r="B46" s="269"/>
      <c r="C46" s="270"/>
      <c r="D46" s="184" t="s">
        <v>322</v>
      </c>
      <c r="F46" s="256">
        <v>191800</v>
      </c>
      <c r="G46" s="257"/>
      <c r="H46" s="256">
        <v>186520</v>
      </c>
      <c r="I46" s="257"/>
      <c r="J46" s="179" t="s">
        <v>182</v>
      </c>
      <c r="K46" s="258">
        <v>1800</v>
      </c>
      <c r="L46" s="259"/>
      <c r="M46" s="260" t="s">
        <v>795</v>
      </c>
      <c r="N46" s="258">
        <v>1750</v>
      </c>
      <c r="O46" s="259"/>
      <c r="P46" s="260" t="s">
        <v>795</v>
      </c>
      <c r="R46" s="183"/>
      <c r="S46" s="271"/>
      <c r="T46" s="184"/>
      <c r="V46" s="280"/>
      <c r="W46" s="279" t="s">
        <v>804</v>
      </c>
      <c r="X46" s="176"/>
      <c r="Y46" s="279" t="s">
        <v>804</v>
      </c>
      <c r="Z46" s="279"/>
      <c r="AA46" s="176"/>
      <c r="AB46" s="177"/>
      <c r="AD46" s="281"/>
      <c r="AE46" s="281"/>
      <c r="AF46" s="176"/>
      <c r="AG46" s="176"/>
      <c r="AH46" s="177"/>
      <c r="AJ46" s="187"/>
      <c r="AK46" s="185"/>
      <c r="AL46" s="176"/>
      <c r="AM46" s="176"/>
      <c r="AN46" s="177"/>
      <c r="AP46" s="1552"/>
      <c r="AQ46" s="1555"/>
      <c r="AR46" s="1552"/>
      <c r="AS46" s="1555"/>
      <c r="AT46" s="1544"/>
      <c r="AU46" s="262" t="s">
        <v>701</v>
      </c>
      <c r="AV46" s="263">
        <v>2400</v>
      </c>
      <c r="AW46" s="264">
        <v>2600</v>
      </c>
      <c r="AX46" s="265">
        <v>1600</v>
      </c>
      <c r="AY46" s="266">
        <v>1600</v>
      </c>
      <c r="BA46" s="235" t="s">
        <v>819</v>
      </c>
      <c r="BC46" s="359"/>
      <c r="BE46" s="186"/>
      <c r="BF46" s="271"/>
      <c r="BG46" s="271"/>
      <c r="BH46" s="184"/>
      <c r="BJ46" s="253"/>
      <c r="BL46" s="272"/>
      <c r="BM46" s="273"/>
      <c r="BN46" s="273"/>
      <c r="BO46" s="274"/>
      <c r="BQ46" s="186"/>
      <c r="BR46" s="196"/>
      <c r="BS46" s="196"/>
      <c r="BT46" s="197"/>
      <c r="BV46" s="186"/>
      <c r="BW46" s="196"/>
      <c r="BX46" s="196"/>
      <c r="BY46" s="196"/>
      <c r="BZ46" s="197"/>
      <c r="CB46" s="186"/>
      <c r="CC46" s="196"/>
      <c r="CD46" s="196"/>
      <c r="CE46" s="196"/>
      <c r="CF46" s="197"/>
      <c r="CH46" s="198"/>
    </row>
    <row r="47" spans="1:86" ht="63">
      <c r="A47" s="1563"/>
      <c r="B47" s="168" t="s">
        <v>337</v>
      </c>
      <c r="C47" s="241" t="s">
        <v>313</v>
      </c>
      <c r="D47" s="177" t="s">
        <v>314</v>
      </c>
      <c r="F47" s="218">
        <v>39450</v>
      </c>
      <c r="G47" s="219">
        <v>47340</v>
      </c>
      <c r="H47" s="218">
        <v>34640</v>
      </c>
      <c r="I47" s="219">
        <v>42530</v>
      </c>
      <c r="J47" s="179" t="s">
        <v>182</v>
      </c>
      <c r="K47" s="220">
        <v>370</v>
      </c>
      <c r="L47" s="221">
        <v>440</v>
      </c>
      <c r="M47" s="222" t="s">
        <v>795</v>
      </c>
      <c r="N47" s="220">
        <v>320</v>
      </c>
      <c r="O47" s="221">
        <v>390</v>
      </c>
      <c r="P47" s="222" t="s">
        <v>795</v>
      </c>
      <c r="Q47" s="160" t="s">
        <v>182</v>
      </c>
      <c r="R47" s="275">
        <v>7890</v>
      </c>
      <c r="S47" s="276">
        <v>70</v>
      </c>
      <c r="T47" s="247" t="s">
        <v>184</v>
      </c>
      <c r="V47" s="187"/>
      <c r="W47" s="185">
        <v>484800</v>
      </c>
      <c r="X47" s="176"/>
      <c r="Y47" s="185">
        <v>4840</v>
      </c>
      <c r="Z47" s="176" t="s">
        <v>184</v>
      </c>
      <c r="AA47" s="176"/>
      <c r="AB47" s="177"/>
      <c r="AD47" s="281"/>
      <c r="AE47" s="281"/>
      <c r="AF47" s="176"/>
      <c r="AG47" s="176"/>
      <c r="AH47" s="177"/>
      <c r="AJ47" s="187" t="s">
        <v>213</v>
      </c>
      <c r="AK47" s="185"/>
      <c r="AL47" s="176" t="s">
        <v>182</v>
      </c>
      <c r="AM47" s="176">
        <v>30</v>
      </c>
      <c r="AN47" s="177" t="s">
        <v>316</v>
      </c>
      <c r="AO47" s="160" t="s">
        <v>182</v>
      </c>
      <c r="AP47" s="1550">
        <v>3100</v>
      </c>
      <c r="AQ47" s="1553">
        <v>3400</v>
      </c>
      <c r="AR47" s="1550">
        <v>2100</v>
      </c>
      <c r="AS47" s="1553">
        <v>2100</v>
      </c>
      <c r="AT47" s="1544" t="s">
        <v>664</v>
      </c>
      <c r="AU47" s="230" t="s">
        <v>697</v>
      </c>
      <c r="AV47" s="231">
        <v>6100</v>
      </c>
      <c r="AW47" s="232">
        <v>6800</v>
      </c>
      <c r="AX47" s="267">
        <v>4200</v>
      </c>
      <c r="AY47" s="252">
        <v>4200</v>
      </c>
      <c r="BA47" s="235">
        <v>3920</v>
      </c>
      <c r="BB47" s="160" t="s">
        <v>182</v>
      </c>
      <c r="BC47" s="1556">
        <v>4700</v>
      </c>
      <c r="BD47" s="160" t="s">
        <v>182</v>
      </c>
      <c r="BE47" s="187">
        <v>2000</v>
      </c>
      <c r="BF47" s="176" t="s">
        <v>182</v>
      </c>
      <c r="BG47" s="176">
        <v>20</v>
      </c>
      <c r="BH47" s="177" t="s">
        <v>184</v>
      </c>
      <c r="BJ47" s="253"/>
      <c r="BK47" s="160" t="s">
        <v>188</v>
      </c>
      <c r="BL47" s="193" t="s">
        <v>317</v>
      </c>
      <c r="BM47" s="194" t="s">
        <v>317</v>
      </c>
      <c r="BN47" s="194" t="s">
        <v>317</v>
      </c>
      <c r="BO47" s="195" t="s">
        <v>317</v>
      </c>
      <c r="BP47" s="160" t="s">
        <v>188</v>
      </c>
      <c r="BQ47" s="187"/>
      <c r="BR47" s="185"/>
      <c r="BS47" s="185"/>
      <c r="BT47" s="254"/>
      <c r="BU47" s="160" t="s">
        <v>188</v>
      </c>
      <c r="BV47" s="187"/>
      <c r="BW47" s="185"/>
      <c r="BX47" s="185"/>
      <c r="BY47" s="185"/>
      <c r="BZ47" s="254"/>
      <c r="CA47" s="160" t="s">
        <v>188</v>
      </c>
      <c r="CB47" s="187"/>
      <c r="CC47" s="185"/>
      <c r="CD47" s="185"/>
      <c r="CE47" s="185"/>
      <c r="CF47" s="254"/>
      <c r="CH47" s="253" t="s">
        <v>324</v>
      </c>
    </row>
    <row r="48" spans="1:86">
      <c r="A48" s="1563"/>
      <c r="B48" s="168"/>
      <c r="C48" s="241"/>
      <c r="D48" s="177" t="s">
        <v>318</v>
      </c>
      <c r="F48" s="242">
        <v>47340</v>
      </c>
      <c r="G48" s="243">
        <v>110830</v>
      </c>
      <c r="H48" s="242">
        <v>42530</v>
      </c>
      <c r="I48" s="243">
        <v>106020</v>
      </c>
      <c r="J48" s="179" t="s">
        <v>182</v>
      </c>
      <c r="K48" s="244">
        <v>440</v>
      </c>
      <c r="L48" s="245">
        <v>990</v>
      </c>
      <c r="M48" s="246" t="s">
        <v>795</v>
      </c>
      <c r="N48" s="244">
        <v>390</v>
      </c>
      <c r="O48" s="245">
        <v>950</v>
      </c>
      <c r="P48" s="246" t="s">
        <v>795</v>
      </c>
      <c r="Q48" s="160" t="s">
        <v>182</v>
      </c>
      <c r="R48" s="187">
        <v>7890</v>
      </c>
      <c r="S48" s="176">
        <v>70</v>
      </c>
      <c r="T48" s="247" t="s">
        <v>184</v>
      </c>
      <c r="V48" s="187"/>
      <c r="W48" s="185"/>
      <c r="X48" s="176"/>
      <c r="Y48" s="185"/>
      <c r="Z48" s="176"/>
      <c r="AA48" s="176"/>
      <c r="AB48" s="177"/>
      <c r="AD48" s="281"/>
      <c r="AE48" s="281"/>
      <c r="AF48" s="176"/>
      <c r="AG48" s="176"/>
      <c r="AH48" s="177"/>
      <c r="AJ48" s="187"/>
      <c r="AK48" s="185"/>
      <c r="AL48" s="176"/>
      <c r="AM48" s="176"/>
      <c r="AN48" s="177"/>
      <c r="AP48" s="1551"/>
      <c r="AQ48" s="1554"/>
      <c r="AR48" s="1551"/>
      <c r="AS48" s="1554"/>
      <c r="AT48" s="1544"/>
      <c r="AU48" s="172" t="s">
        <v>699</v>
      </c>
      <c r="AV48" s="249">
        <v>3300</v>
      </c>
      <c r="AW48" s="250">
        <v>3700</v>
      </c>
      <c r="AX48" s="267">
        <v>2300</v>
      </c>
      <c r="AY48" s="252">
        <v>2300</v>
      </c>
      <c r="BA48" s="277"/>
      <c r="BC48" s="1557"/>
      <c r="BE48" s="187"/>
      <c r="BF48" s="176"/>
      <c r="BG48" s="176"/>
      <c r="BH48" s="177"/>
      <c r="BJ48" s="253"/>
      <c r="BL48" s="193"/>
      <c r="BM48" s="194"/>
      <c r="BN48" s="194"/>
      <c r="BO48" s="195"/>
      <c r="BQ48" s="187">
        <v>1150</v>
      </c>
      <c r="BR48" s="185" t="s">
        <v>189</v>
      </c>
      <c r="BS48" s="185">
        <v>10</v>
      </c>
      <c r="BT48" s="254" t="s">
        <v>184</v>
      </c>
      <c r="BV48" s="187">
        <v>4300</v>
      </c>
      <c r="BW48" s="185" t="s">
        <v>189</v>
      </c>
      <c r="BX48" s="185">
        <v>40</v>
      </c>
      <c r="BY48" s="185" t="s">
        <v>184</v>
      </c>
      <c r="BZ48" s="254" t="s">
        <v>190</v>
      </c>
      <c r="CB48" s="187">
        <v>2830</v>
      </c>
      <c r="CC48" s="185" t="s">
        <v>189</v>
      </c>
      <c r="CD48" s="185">
        <v>20</v>
      </c>
      <c r="CE48" s="185" t="s">
        <v>184</v>
      </c>
      <c r="CF48" s="254" t="s">
        <v>190</v>
      </c>
      <c r="CH48" s="253"/>
    </row>
    <row r="49" spans="1:86">
      <c r="A49" s="1563"/>
      <c r="B49" s="168"/>
      <c r="C49" s="241" t="s">
        <v>319</v>
      </c>
      <c r="D49" s="177" t="s">
        <v>320</v>
      </c>
      <c r="F49" s="242">
        <v>110830</v>
      </c>
      <c r="G49" s="243">
        <v>189740</v>
      </c>
      <c r="H49" s="242">
        <v>106020</v>
      </c>
      <c r="I49" s="243">
        <v>184930</v>
      </c>
      <c r="J49" s="179" t="s">
        <v>182</v>
      </c>
      <c r="K49" s="244">
        <v>990</v>
      </c>
      <c r="L49" s="245">
        <v>1780</v>
      </c>
      <c r="M49" s="246" t="s">
        <v>795</v>
      </c>
      <c r="N49" s="244">
        <v>950</v>
      </c>
      <c r="O49" s="245">
        <v>1740</v>
      </c>
      <c r="P49" s="246" t="s">
        <v>795</v>
      </c>
      <c r="R49" s="182"/>
      <c r="S49" s="176"/>
      <c r="T49" s="177"/>
      <c r="V49" s="280"/>
      <c r="W49" s="279" t="s">
        <v>805</v>
      </c>
      <c r="X49" s="176"/>
      <c r="Y49" s="279" t="s">
        <v>805</v>
      </c>
      <c r="Z49" s="279"/>
      <c r="AA49" s="176"/>
      <c r="AB49" s="177"/>
      <c r="AD49" s="281"/>
      <c r="AE49" s="281"/>
      <c r="AF49" s="176"/>
      <c r="AG49" s="176"/>
      <c r="AH49" s="177"/>
      <c r="AJ49" s="187">
        <v>3250</v>
      </c>
      <c r="AK49" s="185" t="s">
        <v>321</v>
      </c>
      <c r="AL49" s="176"/>
      <c r="AM49" s="176"/>
      <c r="AN49" s="177"/>
      <c r="AP49" s="1551"/>
      <c r="AQ49" s="1554"/>
      <c r="AR49" s="1551"/>
      <c r="AS49" s="1554"/>
      <c r="AT49" s="1544"/>
      <c r="AU49" s="172" t="s">
        <v>700</v>
      </c>
      <c r="AV49" s="249">
        <v>2900</v>
      </c>
      <c r="AW49" s="250">
        <v>3200</v>
      </c>
      <c r="AX49" s="267">
        <v>2000</v>
      </c>
      <c r="AY49" s="252">
        <v>2000</v>
      </c>
      <c r="BA49" s="235" t="s">
        <v>820</v>
      </c>
      <c r="BC49" s="359"/>
      <c r="BE49" s="187"/>
      <c r="BF49" s="176"/>
      <c r="BG49" s="176"/>
      <c r="BH49" s="177"/>
      <c r="BJ49" s="253"/>
      <c r="BL49" s="193">
        <v>0.01</v>
      </c>
      <c r="BM49" s="194">
        <v>0.03</v>
      </c>
      <c r="BN49" s="194">
        <v>0.04</v>
      </c>
      <c r="BO49" s="195">
        <v>0.06</v>
      </c>
      <c r="BQ49" s="187"/>
      <c r="BR49" s="185"/>
      <c r="BS49" s="185"/>
      <c r="BT49" s="254"/>
      <c r="BV49" s="187"/>
      <c r="BW49" s="185"/>
      <c r="BX49" s="185"/>
      <c r="BY49" s="185"/>
      <c r="BZ49" s="254"/>
      <c r="CB49" s="187"/>
      <c r="CC49" s="185"/>
      <c r="CD49" s="185"/>
      <c r="CE49" s="185"/>
      <c r="CF49" s="254"/>
      <c r="CH49" s="253">
        <v>0.95</v>
      </c>
    </row>
    <row r="50" spans="1:86">
      <c r="A50" s="1563"/>
      <c r="B50" s="168"/>
      <c r="C50" s="241"/>
      <c r="D50" s="177" t="s">
        <v>322</v>
      </c>
      <c r="F50" s="256">
        <v>189740</v>
      </c>
      <c r="G50" s="257"/>
      <c r="H50" s="256">
        <v>184930</v>
      </c>
      <c r="I50" s="257"/>
      <c r="J50" s="179" t="s">
        <v>182</v>
      </c>
      <c r="K50" s="258">
        <v>1780</v>
      </c>
      <c r="L50" s="259"/>
      <c r="M50" s="260" t="s">
        <v>795</v>
      </c>
      <c r="N50" s="258">
        <v>1740</v>
      </c>
      <c r="O50" s="259"/>
      <c r="P50" s="260" t="s">
        <v>795</v>
      </c>
      <c r="R50" s="182"/>
      <c r="S50" s="176"/>
      <c r="T50" s="177"/>
      <c r="V50" s="187"/>
      <c r="W50" s="185">
        <v>518100</v>
      </c>
      <c r="X50" s="176"/>
      <c r="Y50" s="185">
        <v>5180</v>
      </c>
      <c r="Z50" s="176" t="s">
        <v>184</v>
      </c>
      <c r="AA50" s="176"/>
      <c r="AB50" s="177"/>
      <c r="AD50" s="281"/>
      <c r="AE50" s="281"/>
      <c r="AF50" s="176"/>
      <c r="AG50" s="176"/>
      <c r="AH50" s="177"/>
      <c r="AJ50" s="187"/>
      <c r="AK50" s="185"/>
      <c r="AL50" s="176"/>
      <c r="AM50" s="176"/>
      <c r="AN50" s="177"/>
      <c r="AP50" s="1552"/>
      <c r="AQ50" s="1555"/>
      <c r="AR50" s="1552"/>
      <c r="AS50" s="1555"/>
      <c r="AT50" s="1544"/>
      <c r="AU50" s="262" t="s">
        <v>701</v>
      </c>
      <c r="AV50" s="263">
        <v>2600</v>
      </c>
      <c r="AW50" s="264">
        <v>2900</v>
      </c>
      <c r="AX50" s="265">
        <v>1800</v>
      </c>
      <c r="AY50" s="266">
        <v>1800</v>
      </c>
      <c r="BA50" s="235">
        <v>3660</v>
      </c>
      <c r="BC50" s="359"/>
      <c r="BE50" s="187"/>
      <c r="BF50" s="176"/>
      <c r="BG50" s="176"/>
      <c r="BH50" s="177"/>
      <c r="BJ50" s="253"/>
      <c r="BL50" s="193"/>
      <c r="BM50" s="194"/>
      <c r="BN50" s="194"/>
      <c r="BO50" s="195"/>
      <c r="BQ50" s="187"/>
      <c r="BR50" s="185"/>
      <c r="BS50" s="185"/>
      <c r="BT50" s="254"/>
      <c r="BV50" s="187"/>
      <c r="BW50" s="185"/>
      <c r="BX50" s="185"/>
      <c r="BY50" s="185"/>
      <c r="BZ50" s="254"/>
      <c r="CB50" s="187"/>
      <c r="CC50" s="185"/>
      <c r="CD50" s="185"/>
      <c r="CE50" s="185"/>
      <c r="CF50" s="254"/>
      <c r="CH50" s="253"/>
    </row>
    <row r="51" spans="1:86" ht="63">
      <c r="A51" s="1563"/>
      <c r="B51" s="215" t="s">
        <v>338</v>
      </c>
      <c r="C51" s="216" t="s">
        <v>313</v>
      </c>
      <c r="D51" s="217" t="s">
        <v>314</v>
      </c>
      <c r="F51" s="218">
        <v>37690</v>
      </c>
      <c r="G51" s="219">
        <v>45580</v>
      </c>
      <c r="H51" s="218">
        <v>33280</v>
      </c>
      <c r="I51" s="219">
        <v>41170</v>
      </c>
      <c r="J51" s="179" t="s">
        <v>182</v>
      </c>
      <c r="K51" s="220">
        <v>350</v>
      </c>
      <c r="L51" s="221">
        <v>420</v>
      </c>
      <c r="M51" s="222" t="s">
        <v>795</v>
      </c>
      <c r="N51" s="220">
        <v>310</v>
      </c>
      <c r="O51" s="221">
        <v>380</v>
      </c>
      <c r="P51" s="222" t="s">
        <v>795</v>
      </c>
      <c r="Q51" s="160" t="s">
        <v>182</v>
      </c>
      <c r="R51" s="223">
        <v>7890</v>
      </c>
      <c r="S51" s="224">
        <v>70</v>
      </c>
      <c r="T51" s="225" t="s">
        <v>184</v>
      </c>
      <c r="V51" s="187"/>
      <c r="W51" s="185"/>
      <c r="X51" s="176"/>
      <c r="Y51" s="185"/>
      <c r="Z51" s="176"/>
      <c r="AA51" s="176"/>
      <c r="AB51" s="177"/>
      <c r="AD51" s="281"/>
      <c r="AE51" s="281"/>
      <c r="AF51" s="176"/>
      <c r="AG51" s="176"/>
      <c r="AH51" s="177"/>
      <c r="AJ51" s="187" t="s">
        <v>215</v>
      </c>
      <c r="AK51" s="185"/>
      <c r="AL51" s="176" t="s">
        <v>182</v>
      </c>
      <c r="AM51" s="176">
        <v>20</v>
      </c>
      <c r="AN51" s="177" t="s">
        <v>316</v>
      </c>
      <c r="AO51" s="160" t="s">
        <v>182</v>
      </c>
      <c r="AP51" s="1550">
        <v>2800</v>
      </c>
      <c r="AQ51" s="1553">
        <v>3100</v>
      </c>
      <c r="AR51" s="1550">
        <v>2000</v>
      </c>
      <c r="AS51" s="1553">
        <v>2000</v>
      </c>
      <c r="AT51" s="1544" t="s">
        <v>664</v>
      </c>
      <c r="AU51" s="230" t="s">
        <v>697</v>
      </c>
      <c r="AV51" s="231">
        <v>5500</v>
      </c>
      <c r="AW51" s="232">
        <v>6200</v>
      </c>
      <c r="AX51" s="267">
        <v>3900</v>
      </c>
      <c r="AY51" s="252">
        <v>3900</v>
      </c>
      <c r="BA51" s="277"/>
      <c r="BB51" s="160" t="s">
        <v>182</v>
      </c>
      <c r="BC51" s="1556">
        <v>4700</v>
      </c>
      <c r="BD51" s="160" t="s">
        <v>182</v>
      </c>
      <c r="BE51" s="228">
        <v>1840</v>
      </c>
      <c r="BF51" s="226" t="s">
        <v>182</v>
      </c>
      <c r="BG51" s="226">
        <v>10</v>
      </c>
      <c r="BH51" s="217" t="s">
        <v>184</v>
      </c>
      <c r="BJ51" s="253"/>
      <c r="BK51" s="160" t="s">
        <v>188</v>
      </c>
      <c r="BL51" s="237" t="s">
        <v>317</v>
      </c>
      <c r="BM51" s="238" t="s">
        <v>317</v>
      </c>
      <c r="BN51" s="238" t="s">
        <v>317</v>
      </c>
      <c r="BO51" s="239" t="s">
        <v>317</v>
      </c>
      <c r="BP51" s="160" t="s">
        <v>188</v>
      </c>
      <c r="BQ51" s="228"/>
      <c r="BR51" s="229"/>
      <c r="BS51" s="229"/>
      <c r="BT51" s="240"/>
      <c r="BU51" s="160" t="s">
        <v>188</v>
      </c>
      <c r="BV51" s="228"/>
      <c r="BW51" s="229"/>
      <c r="BX51" s="229"/>
      <c r="BY51" s="229"/>
      <c r="BZ51" s="240"/>
      <c r="CA51" s="160" t="s">
        <v>188</v>
      </c>
      <c r="CB51" s="228"/>
      <c r="CC51" s="229"/>
      <c r="CD51" s="229"/>
      <c r="CE51" s="229"/>
      <c r="CF51" s="240"/>
      <c r="CH51" s="236" t="s">
        <v>324</v>
      </c>
    </row>
    <row r="52" spans="1:86">
      <c r="A52" s="1563"/>
      <c r="B52" s="168"/>
      <c r="C52" s="241"/>
      <c r="D52" s="177" t="s">
        <v>318</v>
      </c>
      <c r="F52" s="242">
        <v>45580</v>
      </c>
      <c r="G52" s="243">
        <v>109070</v>
      </c>
      <c r="H52" s="242">
        <v>41170</v>
      </c>
      <c r="I52" s="243">
        <v>104660</v>
      </c>
      <c r="J52" s="179" t="s">
        <v>182</v>
      </c>
      <c r="K52" s="244">
        <v>420</v>
      </c>
      <c r="L52" s="245">
        <v>980</v>
      </c>
      <c r="M52" s="246" t="s">
        <v>795</v>
      </c>
      <c r="N52" s="244">
        <v>380</v>
      </c>
      <c r="O52" s="245">
        <v>930</v>
      </c>
      <c r="P52" s="246" t="s">
        <v>795</v>
      </c>
      <c r="Q52" s="160" t="s">
        <v>182</v>
      </c>
      <c r="R52" s="187">
        <v>7890</v>
      </c>
      <c r="S52" s="176">
        <v>70</v>
      </c>
      <c r="T52" s="247" t="s">
        <v>184</v>
      </c>
      <c r="V52" s="280"/>
      <c r="W52" s="279" t="s">
        <v>806</v>
      </c>
      <c r="X52" s="176"/>
      <c r="Y52" s="279" t="s">
        <v>806</v>
      </c>
      <c r="Z52" s="279"/>
      <c r="AA52" s="176"/>
      <c r="AB52" s="177"/>
      <c r="AD52" s="281"/>
      <c r="AE52" s="281"/>
      <c r="AF52" s="176"/>
      <c r="AG52" s="176"/>
      <c r="AH52" s="177"/>
      <c r="AJ52" s="187"/>
      <c r="AK52" s="185"/>
      <c r="AL52" s="176"/>
      <c r="AM52" s="176"/>
      <c r="AN52" s="177"/>
      <c r="AP52" s="1551"/>
      <c r="AQ52" s="1554"/>
      <c r="AR52" s="1551"/>
      <c r="AS52" s="1554"/>
      <c r="AT52" s="1544"/>
      <c r="AU52" s="172" t="s">
        <v>699</v>
      </c>
      <c r="AV52" s="249">
        <v>3000</v>
      </c>
      <c r="AW52" s="250">
        <v>3400</v>
      </c>
      <c r="AX52" s="267">
        <v>2100</v>
      </c>
      <c r="AY52" s="252">
        <v>2100</v>
      </c>
      <c r="BA52" s="235" t="s">
        <v>821</v>
      </c>
      <c r="BC52" s="1557"/>
      <c r="BE52" s="187"/>
      <c r="BF52" s="176"/>
      <c r="BG52" s="176"/>
      <c r="BH52" s="177"/>
      <c r="BJ52" s="253"/>
      <c r="BL52" s="193"/>
      <c r="BM52" s="194"/>
      <c r="BN52" s="194"/>
      <c r="BO52" s="195"/>
      <c r="BQ52" s="187">
        <v>1060</v>
      </c>
      <c r="BR52" s="185" t="s">
        <v>189</v>
      </c>
      <c r="BS52" s="185">
        <v>10</v>
      </c>
      <c r="BT52" s="254" t="s">
        <v>184</v>
      </c>
      <c r="BV52" s="187">
        <v>3940</v>
      </c>
      <c r="BW52" s="185" t="s">
        <v>189</v>
      </c>
      <c r="BX52" s="185">
        <v>30</v>
      </c>
      <c r="BY52" s="185" t="s">
        <v>184</v>
      </c>
      <c r="BZ52" s="254" t="s">
        <v>190</v>
      </c>
      <c r="CB52" s="187">
        <v>2600</v>
      </c>
      <c r="CC52" s="185" t="s">
        <v>189</v>
      </c>
      <c r="CD52" s="185">
        <v>20</v>
      </c>
      <c r="CE52" s="185" t="s">
        <v>184</v>
      </c>
      <c r="CF52" s="254" t="s">
        <v>190</v>
      </c>
      <c r="CH52" s="253"/>
    </row>
    <row r="53" spans="1:86">
      <c r="A53" s="1563"/>
      <c r="B53" s="168"/>
      <c r="C53" s="241" t="s">
        <v>319</v>
      </c>
      <c r="D53" s="177" t="s">
        <v>320</v>
      </c>
      <c r="F53" s="242">
        <v>109070</v>
      </c>
      <c r="G53" s="243">
        <v>187980</v>
      </c>
      <c r="H53" s="242">
        <v>104660</v>
      </c>
      <c r="I53" s="243">
        <v>183570</v>
      </c>
      <c r="J53" s="179" t="s">
        <v>182</v>
      </c>
      <c r="K53" s="244">
        <v>980</v>
      </c>
      <c r="L53" s="245">
        <v>1770</v>
      </c>
      <c r="M53" s="246" t="s">
        <v>795</v>
      </c>
      <c r="N53" s="244">
        <v>930</v>
      </c>
      <c r="O53" s="245">
        <v>1720</v>
      </c>
      <c r="P53" s="246" t="s">
        <v>795</v>
      </c>
      <c r="R53" s="182"/>
      <c r="S53" s="176"/>
      <c r="T53" s="177"/>
      <c r="V53" s="187"/>
      <c r="W53" s="185">
        <v>551300</v>
      </c>
      <c r="X53" s="176"/>
      <c r="Y53" s="185">
        <v>5510</v>
      </c>
      <c r="Z53" s="176" t="s">
        <v>184</v>
      </c>
      <c r="AA53" s="176"/>
      <c r="AB53" s="177"/>
      <c r="AD53" s="281"/>
      <c r="AE53" s="281"/>
      <c r="AF53" s="176"/>
      <c r="AG53" s="176"/>
      <c r="AH53" s="177"/>
      <c r="AJ53" s="187">
        <v>2700</v>
      </c>
      <c r="AK53" s="185" t="s">
        <v>321</v>
      </c>
      <c r="AL53" s="176"/>
      <c r="AM53" s="176"/>
      <c r="AN53" s="177"/>
      <c r="AP53" s="1551"/>
      <c r="AQ53" s="1554"/>
      <c r="AR53" s="1551"/>
      <c r="AS53" s="1554"/>
      <c r="AT53" s="1544"/>
      <c r="AU53" s="172" t="s">
        <v>700</v>
      </c>
      <c r="AV53" s="249">
        <v>2600</v>
      </c>
      <c r="AW53" s="250">
        <v>2900</v>
      </c>
      <c r="AX53" s="267">
        <v>1800</v>
      </c>
      <c r="AY53" s="252">
        <v>1800</v>
      </c>
      <c r="BA53" s="235">
        <v>3160</v>
      </c>
      <c r="BC53" s="359"/>
      <c r="BE53" s="187"/>
      <c r="BF53" s="176"/>
      <c r="BG53" s="176"/>
      <c r="BH53" s="177"/>
      <c r="BJ53" s="253"/>
      <c r="BL53" s="193">
        <v>0.01</v>
      </c>
      <c r="BM53" s="194">
        <v>0.03</v>
      </c>
      <c r="BN53" s="194">
        <v>0.04</v>
      </c>
      <c r="BO53" s="195">
        <v>0.06</v>
      </c>
      <c r="BQ53" s="187"/>
      <c r="BR53" s="185"/>
      <c r="BS53" s="185"/>
      <c r="BT53" s="254"/>
      <c r="BV53" s="187"/>
      <c r="BW53" s="185"/>
      <c r="BX53" s="185"/>
      <c r="BY53" s="185"/>
      <c r="BZ53" s="254"/>
      <c r="CB53" s="187"/>
      <c r="CC53" s="185"/>
      <c r="CD53" s="185"/>
      <c r="CE53" s="185"/>
      <c r="CF53" s="254"/>
      <c r="CH53" s="253">
        <v>0.95</v>
      </c>
    </row>
    <row r="54" spans="1:86">
      <c r="A54" s="1563"/>
      <c r="B54" s="269"/>
      <c r="C54" s="270"/>
      <c r="D54" s="184" t="s">
        <v>322</v>
      </c>
      <c r="F54" s="256">
        <v>187980</v>
      </c>
      <c r="G54" s="257"/>
      <c r="H54" s="256">
        <v>183570</v>
      </c>
      <c r="I54" s="257"/>
      <c r="J54" s="179" t="s">
        <v>182</v>
      </c>
      <c r="K54" s="258">
        <v>1770</v>
      </c>
      <c r="L54" s="259"/>
      <c r="M54" s="260" t="s">
        <v>795</v>
      </c>
      <c r="N54" s="258">
        <v>1720</v>
      </c>
      <c r="O54" s="259"/>
      <c r="P54" s="260" t="s">
        <v>795</v>
      </c>
      <c r="R54" s="183"/>
      <c r="S54" s="271"/>
      <c r="T54" s="184"/>
      <c r="V54" s="187"/>
      <c r="W54" s="185"/>
      <c r="X54" s="176"/>
      <c r="Y54" s="185"/>
      <c r="Z54" s="176"/>
      <c r="AA54" s="176"/>
      <c r="AB54" s="177"/>
      <c r="AD54" s="281"/>
      <c r="AE54" s="281"/>
      <c r="AF54" s="176"/>
      <c r="AG54" s="176"/>
      <c r="AH54" s="177"/>
      <c r="AJ54" s="187"/>
      <c r="AK54" s="185"/>
      <c r="AL54" s="176"/>
      <c r="AM54" s="176"/>
      <c r="AN54" s="177"/>
      <c r="AP54" s="1552"/>
      <c r="AQ54" s="1555"/>
      <c r="AR54" s="1552"/>
      <c r="AS54" s="1555"/>
      <c r="AT54" s="1544"/>
      <c r="AU54" s="262" t="s">
        <v>701</v>
      </c>
      <c r="AV54" s="263">
        <v>2400</v>
      </c>
      <c r="AW54" s="264">
        <v>2600</v>
      </c>
      <c r="AX54" s="265">
        <v>1600</v>
      </c>
      <c r="AY54" s="266">
        <v>1600</v>
      </c>
      <c r="BA54" s="277"/>
      <c r="BC54" s="359"/>
      <c r="BE54" s="186"/>
      <c r="BF54" s="271"/>
      <c r="BG54" s="271"/>
      <c r="BH54" s="184"/>
      <c r="BJ54" s="253"/>
      <c r="BL54" s="272"/>
      <c r="BM54" s="273"/>
      <c r="BN54" s="273"/>
      <c r="BO54" s="274"/>
      <c r="BQ54" s="186"/>
      <c r="BR54" s="196"/>
      <c r="BS54" s="196"/>
      <c r="BT54" s="197"/>
      <c r="BV54" s="186"/>
      <c r="BW54" s="196"/>
      <c r="BX54" s="196"/>
      <c r="BY54" s="196"/>
      <c r="BZ54" s="197"/>
      <c r="CB54" s="186"/>
      <c r="CC54" s="196"/>
      <c r="CD54" s="196"/>
      <c r="CE54" s="196"/>
      <c r="CF54" s="197"/>
      <c r="CH54" s="198"/>
    </row>
    <row r="55" spans="1:86" ht="63">
      <c r="A55" s="1563"/>
      <c r="B55" s="168" t="s">
        <v>339</v>
      </c>
      <c r="C55" s="241" t="s">
        <v>313</v>
      </c>
      <c r="D55" s="177" t="s">
        <v>314</v>
      </c>
      <c r="F55" s="218">
        <v>36200</v>
      </c>
      <c r="G55" s="219">
        <v>44090</v>
      </c>
      <c r="H55" s="218">
        <v>32130</v>
      </c>
      <c r="I55" s="219">
        <v>40020</v>
      </c>
      <c r="J55" s="179" t="s">
        <v>182</v>
      </c>
      <c r="K55" s="220">
        <v>340</v>
      </c>
      <c r="L55" s="221">
        <v>410</v>
      </c>
      <c r="M55" s="222" t="s">
        <v>795</v>
      </c>
      <c r="N55" s="220">
        <v>300</v>
      </c>
      <c r="O55" s="221">
        <v>370</v>
      </c>
      <c r="P55" s="222" t="s">
        <v>795</v>
      </c>
      <c r="Q55" s="160" t="s">
        <v>182</v>
      </c>
      <c r="R55" s="275">
        <v>7890</v>
      </c>
      <c r="S55" s="276">
        <v>70</v>
      </c>
      <c r="T55" s="247" t="s">
        <v>184</v>
      </c>
      <c r="V55" s="280"/>
      <c r="W55" s="279" t="s">
        <v>807</v>
      </c>
      <c r="X55" s="176"/>
      <c r="Y55" s="279" t="s">
        <v>807</v>
      </c>
      <c r="Z55" s="279"/>
      <c r="AA55" s="176"/>
      <c r="AB55" s="177"/>
      <c r="AD55" s="281"/>
      <c r="AE55" s="281"/>
      <c r="AF55" s="176"/>
      <c r="AG55" s="176"/>
      <c r="AH55" s="177"/>
      <c r="AJ55" s="187" t="s">
        <v>217</v>
      </c>
      <c r="AK55" s="185"/>
      <c r="AL55" s="176" t="s">
        <v>182</v>
      </c>
      <c r="AM55" s="176">
        <v>20</v>
      </c>
      <c r="AN55" s="177" t="s">
        <v>316</v>
      </c>
      <c r="AO55" s="160" t="s">
        <v>182</v>
      </c>
      <c r="AP55" s="1550">
        <v>2600</v>
      </c>
      <c r="AQ55" s="1553">
        <v>2900</v>
      </c>
      <c r="AR55" s="1550">
        <v>1800</v>
      </c>
      <c r="AS55" s="1553">
        <v>1800</v>
      </c>
      <c r="AT55" s="1544" t="s">
        <v>664</v>
      </c>
      <c r="AU55" s="230" t="s">
        <v>697</v>
      </c>
      <c r="AV55" s="231">
        <v>5100</v>
      </c>
      <c r="AW55" s="232">
        <v>5700</v>
      </c>
      <c r="AX55" s="267">
        <v>3500</v>
      </c>
      <c r="AY55" s="252">
        <v>3500</v>
      </c>
      <c r="BA55" s="235" t="s">
        <v>822</v>
      </c>
      <c r="BB55" s="160" t="s">
        <v>182</v>
      </c>
      <c r="BC55" s="1556">
        <v>4700</v>
      </c>
      <c r="BD55" s="160" t="s">
        <v>182</v>
      </c>
      <c r="BE55" s="187">
        <v>1700</v>
      </c>
      <c r="BF55" s="176" t="s">
        <v>182</v>
      </c>
      <c r="BG55" s="176">
        <v>10</v>
      </c>
      <c r="BH55" s="177" t="s">
        <v>184</v>
      </c>
      <c r="BJ55" s="253"/>
      <c r="BK55" s="160" t="s">
        <v>188</v>
      </c>
      <c r="BL55" s="193" t="s">
        <v>317</v>
      </c>
      <c r="BM55" s="194" t="s">
        <v>317</v>
      </c>
      <c r="BN55" s="194" t="s">
        <v>317</v>
      </c>
      <c r="BO55" s="195" t="s">
        <v>317</v>
      </c>
      <c r="BP55" s="160" t="s">
        <v>188</v>
      </c>
      <c r="BQ55" s="187"/>
      <c r="BR55" s="185"/>
      <c r="BS55" s="185"/>
      <c r="BT55" s="254"/>
      <c r="BU55" s="160" t="s">
        <v>188</v>
      </c>
      <c r="BV55" s="187"/>
      <c r="BW55" s="185"/>
      <c r="BX55" s="185"/>
      <c r="BY55" s="185"/>
      <c r="BZ55" s="254"/>
      <c r="CA55" s="160" t="s">
        <v>188</v>
      </c>
      <c r="CB55" s="187"/>
      <c r="CC55" s="185"/>
      <c r="CD55" s="185"/>
      <c r="CE55" s="185"/>
      <c r="CF55" s="254"/>
      <c r="CH55" s="253" t="s">
        <v>324</v>
      </c>
    </row>
    <row r="56" spans="1:86">
      <c r="A56" s="1563"/>
      <c r="B56" s="168"/>
      <c r="C56" s="241"/>
      <c r="D56" s="177" t="s">
        <v>318</v>
      </c>
      <c r="F56" s="242">
        <v>44090</v>
      </c>
      <c r="G56" s="243">
        <v>107580</v>
      </c>
      <c r="H56" s="242">
        <v>40020</v>
      </c>
      <c r="I56" s="243">
        <v>103510</v>
      </c>
      <c r="J56" s="179" t="s">
        <v>182</v>
      </c>
      <c r="K56" s="244">
        <v>410</v>
      </c>
      <c r="L56" s="245">
        <v>960</v>
      </c>
      <c r="M56" s="246" t="s">
        <v>795</v>
      </c>
      <c r="N56" s="244">
        <v>370</v>
      </c>
      <c r="O56" s="245">
        <v>920</v>
      </c>
      <c r="P56" s="246" t="s">
        <v>795</v>
      </c>
      <c r="Q56" s="160" t="s">
        <v>182</v>
      </c>
      <c r="R56" s="187">
        <v>7890</v>
      </c>
      <c r="S56" s="176">
        <v>70</v>
      </c>
      <c r="T56" s="247" t="s">
        <v>184</v>
      </c>
      <c r="V56" s="187"/>
      <c r="W56" s="185">
        <v>584600</v>
      </c>
      <c r="X56" s="176"/>
      <c r="Y56" s="185">
        <v>5840</v>
      </c>
      <c r="Z56" s="176" t="s">
        <v>184</v>
      </c>
      <c r="AA56" s="176"/>
      <c r="AB56" s="177"/>
      <c r="AD56" s="281"/>
      <c r="AE56" s="281"/>
      <c r="AF56" s="176"/>
      <c r="AG56" s="176"/>
      <c r="AH56" s="177"/>
      <c r="AJ56" s="187"/>
      <c r="AK56" s="185"/>
      <c r="AL56" s="176"/>
      <c r="AM56" s="176"/>
      <c r="AN56" s="177"/>
      <c r="AP56" s="1551"/>
      <c r="AQ56" s="1554"/>
      <c r="AR56" s="1551"/>
      <c r="AS56" s="1554"/>
      <c r="AT56" s="1544"/>
      <c r="AU56" s="172" t="s">
        <v>699</v>
      </c>
      <c r="AV56" s="249">
        <v>2800</v>
      </c>
      <c r="AW56" s="250">
        <v>3100</v>
      </c>
      <c r="AX56" s="267">
        <v>1900</v>
      </c>
      <c r="AY56" s="252">
        <v>1900</v>
      </c>
      <c r="BA56" s="235">
        <v>2810</v>
      </c>
      <c r="BC56" s="1557"/>
      <c r="BE56" s="187"/>
      <c r="BF56" s="176"/>
      <c r="BG56" s="176"/>
      <c r="BH56" s="177"/>
      <c r="BJ56" s="253"/>
      <c r="BL56" s="193"/>
      <c r="BM56" s="194"/>
      <c r="BN56" s="194"/>
      <c r="BO56" s="195"/>
      <c r="BQ56" s="187">
        <v>970</v>
      </c>
      <c r="BR56" s="185" t="s">
        <v>189</v>
      </c>
      <c r="BS56" s="185">
        <v>10</v>
      </c>
      <c r="BT56" s="254" t="s">
        <v>184</v>
      </c>
      <c r="BV56" s="187">
        <v>3640</v>
      </c>
      <c r="BW56" s="185" t="s">
        <v>189</v>
      </c>
      <c r="BX56" s="185">
        <v>30</v>
      </c>
      <c r="BY56" s="185" t="s">
        <v>184</v>
      </c>
      <c r="BZ56" s="254" t="s">
        <v>190</v>
      </c>
      <c r="CB56" s="187">
        <v>2400</v>
      </c>
      <c r="CC56" s="185" t="s">
        <v>189</v>
      </c>
      <c r="CD56" s="185">
        <v>20</v>
      </c>
      <c r="CE56" s="185" t="s">
        <v>184</v>
      </c>
      <c r="CF56" s="254" t="s">
        <v>190</v>
      </c>
      <c r="CH56" s="253"/>
    </row>
    <row r="57" spans="1:86">
      <c r="A57" s="1563"/>
      <c r="B57" s="168"/>
      <c r="C57" s="241" t="s">
        <v>319</v>
      </c>
      <c r="D57" s="177" t="s">
        <v>320</v>
      </c>
      <c r="F57" s="242">
        <v>107580</v>
      </c>
      <c r="G57" s="243">
        <v>186490</v>
      </c>
      <c r="H57" s="242">
        <v>103510</v>
      </c>
      <c r="I57" s="243">
        <v>182420</v>
      </c>
      <c r="J57" s="179" t="s">
        <v>182</v>
      </c>
      <c r="K57" s="244">
        <v>960</v>
      </c>
      <c r="L57" s="245">
        <v>1750</v>
      </c>
      <c r="M57" s="246" t="s">
        <v>795</v>
      </c>
      <c r="N57" s="244">
        <v>920</v>
      </c>
      <c r="O57" s="245">
        <v>1710</v>
      </c>
      <c r="P57" s="246" t="s">
        <v>795</v>
      </c>
      <c r="R57" s="182"/>
      <c r="S57" s="176"/>
      <c r="T57" s="177"/>
      <c r="V57" s="187"/>
      <c r="W57" s="185"/>
      <c r="X57" s="176"/>
      <c r="Y57" s="185"/>
      <c r="Z57" s="176"/>
      <c r="AA57" s="176"/>
      <c r="AB57" s="177"/>
      <c r="AD57" s="281"/>
      <c r="AE57" s="281"/>
      <c r="AF57" s="176"/>
      <c r="AG57" s="176"/>
      <c r="AH57" s="177"/>
      <c r="AJ57" s="187">
        <v>2320</v>
      </c>
      <c r="AK57" s="185" t="s">
        <v>321</v>
      </c>
      <c r="AL57" s="176"/>
      <c r="AM57" s="176"/>
      <c r="AN57" s="177"/>
      <c r="AP57" s="1551"/>
      <c r="AQ57" s="1554"/>
      <c r="AR57" s="1551"/>
      <c r="AS57" s="1554"/>
      <c r="AT57" s="1544"/>
      <c r="AU57" s="172" t="s">
        <v>700</v>
      </c>
      <c r="AV57" s="249">
        <v>2400</v>
      </c>
      <c r="AW57" s="250">
        <v>2700</v>
      </c>
      <c r="AX57" s="267">
        <v>1700</v>
      </c>
      <c r="AY57" s="252">
        <v>1700</v>
      </c>
      <c r="BA57" s="277"/>
      <c r="BC57" s="358"/>
      <c r="BE57" s="187"/>
      <c r="BF57" s="176"/>
      <c r="BG57" s="176"/>
      <c r="BH57" s="177"/>
      <c r="BJ57" s="253"/>
      <c r="BL57" s="193">
        <v>0.01</v>
      </c>
      <c r="BM57" s="194">
        <v>0.03</v>
      </c>
      <c r="BN57" s="194">
        <v>0.04</v>
      </c>
      <c r="BO57" s="195">
        <v>0.06</v>
      </c>
      <c r="BQ57" s="187"/>
      <c r="BR57" s="185"/>
      <c r="BS57" s="185"/>
      <c r="BT57" s="254"/>
      <c r="BV57" s="187"/>
      <c r="BW57" s="185"/>
      <c r="BX57" s="185"/>
      <c r="BY57" s="185"/>
      <c r="BZ57" s="254"/>
      <c r="CB57" s="187"/>
      <c r="CC57" s="185"/>
      <c r="CD57" s="185"/>
      <c r="CE57" s="185"/>
      <c r="CF57" s="254"/>
      <c r="CH57" s="253">
        <v>0.97</v>
      </c>
    </row>
    <row r="58" spans="1:86">
      <c r="A58" s="1563"/>
      <c r="B58" s="168"/>
      <c r="C58" s="241"/>
      <c r="D58" s="177" t="s">
        <v>322</v>
      </c>
      <c r="F58" s="256">
        <v>186490</v>
      </c>
      <c r="G58" s="257"/>
      <c r="H58" s="256">
        <v>182420</v>
      </c>
      <c r="I58" s="257"/>
      <c r="J58" s="179" t="s">
        <v>182</v>
      </c>
      <c r="K58" s="258">
        <v>1750</v>
      </c>
      <c r="L58" s="259"/>
      <c r="M58" s="260" t="s">
        <v>795</v>
      </c>
      <c r="N58" s="258">
        <v>1710</v>
      </c>
      <c r="O58" s="259"/>
      <c r="P58" s="260" t="s">
        <v>795</v>
      </c>
      <c r="R58" s="182"/>
      <c r="S58" s="176"/>
      <c r="T58" s="177"/>
      <c r="V58" s="280"/>
      <c r="W58" s="279" t="s">
        <v>808</v>
      </c>
      <c r="X58" s="176"/>
      <c r="Y58" s="279" t="s">
        <v>808</v>
      </c>
      <c r="Z58" s="279"/>
      <c r="AA58" s="176"/>
      <c r="AB58" s="177"/>
      <c r="AD58" s="281"/>
      <c r="AE58" s="281"/>
      <c r="AF58" s="176"/>
      <c r="AG58" s="176"/>
      <c r="AH58" s="177"/>
      <c r="AJ58" s="187"/>
      <c r="AK58" s="185"/>
      <c r="AL58" s="176"/>
      <c r="AM58" s="176"/>
      <c r="AN58" s="177"/>
      <c r="AP58" s="1552"/>
      <c r="AQ58" s="1555"/>
      <c r="AR58" s="1552"/>
      <c r="AS58" s="1555"/>
      <c r="AT58" s="1544"/>
      <c r="AU58" s="262" t="s">
        <v>701</v>
      </c>
      <c r="AV58" s="263">
        <v>2200</v>
      </c>
      <c r="AW58" s="264">
        <v>2400</v>
      </c>
      <c r="AX58" s="265">
        <v>1500</v>
      </c>
      <c r="AY58" s="266">
        <v>1500</v>
      </c>
      <c r="BA58" s="235" t="s">
        <v>823</v>
      </c>
      <c r="BC58" s="359"/>
      <c r="BE58" s="187"/>
      <c r="BF58" s="176"/>
      <c r="BG58" s="176"/>
      <c r="BH58" s="177"/>
      <c r="BJ58" s="253"/>
      <c r="BL58" s="193"/>
      <c r="BM58" s="194"/>
      <c r="BN58" s="194"/>
      <c r="BO58" s="195"/>
      <c r="BQ58" s="187"/>
      <c r="BR58" s="185"/>
      <c r="BS58" s="185"/>
      <c r="BT58" s="254"/>
      <c r="BV58" s="187"/>
      <c r="BW58" s="185"/>
      <c r="BX58" s="185"/>
      <c r="BY58" s="185"/>
      <c r="BZ58" s="254"/>
      <c r="CB58" s="187"/>
      <c r="CC58" s="185"/>
      <c r="CD58" s="185"/>
      <c r="CE58" s="185"/>
      <c r="CF58" s="254"/>
      <c r="CH58" s="253"/>
    </row>
    <row r="59" spans="1:86" ht="63">
      <c r="A59" s="1563"/>
      <c r="B59" s="215" t="s">
        <v>340</v>
      </c>
      <c r="C59" s="216" t="s">
        <v>313</v>
      </c>
      <c r="D59" s="217" t="s">
        <v>314</v>
      </c>
      <c r="F59" s="218">
        <v>34960</v>
      </c>
      <c r="G59" s="219">
        <v>42850</v>
      </c>
      <c r="H59" s="218">
        <v>31180</v>
      </c>
      <c r="I59" s="219">
        <v>39070</v>
      </c>
      <c r="J59" s="179" t="s">
        <v>182</v>
      </c>
      <c r="K59" s="220">
        <v>330</v>
      </c>
      <c r="L59" s="221">
        <v>400</v>
      </c>
      <c r="M59" s="222" t="s">
        <v>795</v>
      </c>
      <c r="N59" s="220">
        <v>290</v>
      </c>
      <c r="O59" s="221">
        <v>360</v>
      </c>
      <c r="P59" s="222" t="s">
        <v>795</v>
      </c>
      <c r="Q59" s="160" t="s">
        <v>182</v>
      </c>
      <c r="R59" s="223">
        <v>7890</v>
      </c>
      <c r="S59" s="224">
        <v>70</v>
      </c>
      <c r="T59" s="225" t="s">
        <v>184</v>
      </c>
      <c r="V59" s="187"/>
      <c r="W59" s="185">
        <v>617800</v>
      </c>
      <c r="X59" s="176"/>
      <c r="Y59" s="185">
        <v>6170</v>
      </c>
      <c r="Z59" s="176" t="s">
        <v>184</v>
      </c>
      <c r="AA59" s="176"/>
      <c r="AB59" s="177"/>
      <c r="AD59" s="281"/>
      <c r="AE59" s="281"/>
      <c r="AF59" s="176"/>
      <c r="AG59" s="176"/>
      <c r="AH59" s="177"/>
      <c r="AJ59" s="187" t="s">
        <v>219</v>
      </c>
      <c r="AK59" s="185"/>
      <c r="AL59" s="176" t="s">
        <v>182</v>
      </c>
      <c r="AM59" s="176">
        <v>20</v>
      </c>
      <c r="AN59" s="177" t="s">
        <v>316</v>
      </c>
      <c r="AO59" s="160" t="s">
        <v>182</v>
      </c>
      <c r="AP59" s="1550">
        <v>2800</v>
      </c>
      <c r="AQ59" s="1553">
        <v>3100</v>
      </c>
      <c r="AR59" s="1550">
        <v>1900</v>
      </c>
      <c r="AS59" s="1553">
        <v>1900</v>
      </c>
      <c r="AT59" s="1544" t="s">
        <v>664</v>
      </c>
      <c r="AU59" s="230" t="s">
        <v>697</v>
      </c>
      <c r="AV59" s="231">
        <v>5500</v>
      </c>
      <c r="AW59" s="232">
        <v>6200</v>
      </c>
      <c r="AX59" s="267">
        <v>3900</v>
      </c>
      <c r="AY59" s="252">
        <v>3900</v>
      </c>
      <c r="BA59" s="235">
        <v>2540</v>
      </c>
      <c r="BB59" s="160" t="s">
        <v>182</v>
      </c>
      <c r="BC59" s="1556">
        <v>4700</v>
      </c>
      <c r="BD59" s="160" t="s">
        <v>182</v>
      </c>
      <c r="BE59" s="228">
        <v>1570</v>
      </c>
      <c r="BF59" s="226" t="s">
        <v>182</v>
      </c>
      <c r="BG59" s="226">
        <v>10</v>
      </c>
      <c r="BH59" s="217" t="s">
        <v>184</v>
      </c>
      <c r="BJ59" s="253"/>
      <c r="BK59" s="160" t="s">
        <v>188</v>
      </c>
      <c r="BL59" s="237" t="s">
        <v>317</v>
      </c>
      <c r="BM59" s="238" t="s">
        <v>317</v>
      </c>
      <c r="BN59" s="238" t="s">
        <v>317</v>
      </c>
      <c r="BO59" s="239" t="s">
        <v>317</v>
      </c>
      <c r="BP59" s="160" t="s">
        <v>188</v>
      </c>
      <c r="BQ59" s="228"/>
      <c r="BR59" s="229"/>
      <c r="BS59" s="229"/>
      <c r="BT59" s="240"/>
      <c r="BU59" s="160" t="s">
        <v>188</v>
      </c>
      <c r="BV59" s="228"/>
      <c r="BW59" s="229"/>
      <c r="BX59" s="229"/>
      <c r="BY59" s="229"/>
      <c r="BZ59" s="240"/>
      <c r="CA59" s="160" t="s">
        <v>188</v>
      </c>
      <c r="CB59" s="228"/>
      <c r="CC59" s="229"/>
      <c r="CD59" s="229"/>
      <c r="CE59" s="229"/>
      <c r="CF59" s="240"/>
      <c r="CH59" s="236" t="s">
        <v>324</v>
      </c>
    </row>
    <row r="60" spans="1:86">
      <c r="A60" s="1563"/>
      <c r="B60" s="168"/>
      <c r="C60" s="241"/>
      <c r="D60" s="177" t="s">
        <v>318</v>
      </c>
      <c r="F60" s="242">
        <v>42850</v>
      </c>
      <c r="G60" s="243">
        <v>106340</v>
      </c>
      <c r="H60" s="242">
        <v>39070</v>
      </c>
      <c r="I60" s="243">
        <v>102560</v>
      </c>
      <c r="J60" s="179" t="s">
        <v>182</v>
      </c>
      <c r="K60" s="244">
        <v>400</v>
      </c>
      <c r="L60" s="245">
        <v>950</v>
      </c>
      <c r="M60" s="246" t="s">
        <v>795</v>
      </c>
      <c r="N60" s="244">
        <v>360</v>
      </c>
      <c r="O60" s="245">
        <v>910</v>
      </c>
      <c r="P60" s="246" t="s">
        <v>795</v>
      </c>
      <c r="Q60" s="160" t="s">
        <v>182</v>
      </c>
      <c r="R60" s="187">
        <v>7890</v>
      </c>
      <c r="S60" s="176">
        <v>70</v>
      </c>
      <c r="T60" s="247" t="s">
        <v>184</v>
      </c>
      <c r="V60" s="187"/>
      <c r="W60" s="185"/>
      <c r="X60" s="176"/>
      <c r="Y60" s="185"/>
      <c r="Z60" s="176"/>
      <c r="AA60" s="176"/>
      <c r="AB60" s="177"/>
      <c r="AD60" s="281"/>
      <c r="AE60" s="281"/>
      <c r="AF60" s="176"/>
      <c r="AG60" s="176"/>
      <c r="AH60" s="177"/>
      <c r="AJ60" s="187"/>
      <c r="AK60" s="185"/>
      <c r="AL60" s="176"/>
      <c r="AM60" s="176"/>
      <c r="AN60" s="177"/>
      <c r="AP60" s="1551"/>
      <c r="AQ60" s="1554"/>
      <c r="AR60" s="1551"/>
      <c r="AS60" s="1554"/>
      <c r="AT60" s="1544"/>
      <c r="AU60" s="172" t="s">
        <v>699</v>
      </c>
      <c r="AV60" s="249">
        <v>3000</v>
      </c>
      <c r="AW60" s="250">
        <v>3400</v>
      </c>
      <c r="AX60" s="267">
        <v>2100</v>
      </c>
      <c r="AY60" s="252">
        <v>2100</v>
      </c>
      <c r="BA60" s="277"/>
      <c r="BC60" s="1557"/>
      <c r="BE60" s="187"/>
      <c r="BF60" s="176"/>
      <c r="BG60" s="176"/>
      <c r="BH60" s="177"/>
      <c r="BJ60" s="253"/>
      <c r="BL60" s="193"/>
      <c r="BM60" s="194"/>
      <c r="BN60" s="194"/>
      <c r="BO60" s="195"/>
      <c r="BQ60" s="187">
        <v>900</v>
      </c>
      <c r="BR60" s="185" t="s">
        <v>189</v>
      </c>
      <c r="BS60" s="185">
        <v>9</v>
      </c>
      <c r="BT60" s="254" t="s">
        <v>184</v>
      </c>
      <c r="BV60" s="187">
        <v>3380</v>
      </c>
      <c r="BW60" s="185" t="s">
        <v>189</v>
      </c>
      <c r="BX60" s="185">
        <v>30</v>
      </c>
      <c r="BY60" s="185" t="s">
        <v>184</v>
      </c>
      <c r="BZ60" s="254" t="s">
        <v>190</v>
      </c>
      <c r="CB60" s="187">
        <v>2220</v>
      </c>
      <c r="CC60" s="185" t="s">
        <v>189</v>
      </c>
      <c r="CD60" s="185">
        <v>20</v>
      </c>
      <c r="CE60" s="185" t="s">
        <v>184</v>
      </c>
      <c r="CF60" s="254" t="s">
        <v>190</v>
      </c>
      <c r="CH60" s="253"/>
    </row>
    <row r="61" spans="1:86">
      <c r="A61" s="1563"/>
      <c r="B61" s="168"/>
      <c r="C61" s="241" t="s">
        <v>319</v>
      </c>
      <c r="D61" s="177" t="s">
        <v>320</v>
      </c>
      <c r="F61" s="242">
        <v>106340</v>
      </c>
      <c r="G61" s="243">
        <v>185250</v>
      </c>
      <c r="H61" s="242">
        <v>102560</v>
      </c>
      <c r="I61" s="243">
        <v>181470</v>
      </c>
      <c r="J61" s="179" t="s">
        <v>182</v>
      </c>
      <c r="K61" s="244">
        <v>950</v>
      </c>
      <c r="L61" s="245">
        <v>1740</v>
      </c>
      <c r="M61" s="246" t="s">
        <v>795</v>
      </c>
      <c r="N61" s="244">
        <v>910</v>
      </c>
      <c r="O61" s="245">
        <v>1700</v>
      </c>
      <c r="P61" s="246" t="s">
        <v>795</v>
      </c>
      <c r="R61" s="182"/>
      <c r="S61" s="176"/>
      <c r="T61" s="177"/>
      <c r="V61" s="280"/>
      <c r="W61" s="279" t="s">
        <v>809</v>
      </c>
      <c r="X61" s="176"/>
      <c r="Y61" s="279" t="s">
        <v>809</v>
      </c>
      <c r="Z61" s="279"/>
      <c r="AA61" s="176"/>
      <c r="AB61" s="177"/>
      <c r="AD61" s="281"/>
      <c r="AE61" s="281"/>
      <c r="AF61" s="176"/>
      <c r="AG61" s="176"/>
      <c r="AH61" s="177"/>
      <c r="AJ61" s="187">
        <v>2030</v>
      </c>
      <c r="AK61" s="185" t="s">
        <v>321</v>
      </c>
      <c r="AL61" s="176"/>
      <c r="AM61" s="176"/>
      <c r="AN61" s="177"/>
      <c r="AP61" s="1551"/>
      <c r="AQ61" s="1554"/>
      <c r="AR61" s="1551"/>
      <c r="AS61" s="1554"/>
      <c r="AT61" s="1544"/>
      <c r="AU61" s="172" t="s">
        <v>700</v>
      </c>
      <c r="AV61" s="249">
        <v>2600</v>
      </c>
      <c r="AW61" s="250">
        <v>2900</v>
      </c>
      <c r="AX61" s="267">
        <v>1800</v>
      </c>
      <c r="AY61" s="252">
        <v>1800</v>
      </c>
      <c r="BA61" s="235" t="s">
        <v>824</v>
      </c>
      <c r="BC61" s="359"/>
      <c r="BE61" s="187"/>
      <c r="BF61" s="176"/>
      <c r="BG61" s="176"/>
      <c r="BH61" s="177"/>
      <c r="BJ61" s="253"/>
      <c r="BL61" s="193">
        <v>0.01</v>
      </c>
      <c r="BM61" s="194">
        <v>0.03</v>
      </c>
      <c r="BN61" s="194">
        <v>0.04</v>
      </c>
      <c r="BO61" s="195">
        <v>0.06</v>
      </c>
      <c r="BQ61" s="187"/>
      <c r="BR61" s="185"/>
      <c r="BS61" s="185"/>
      <c r="BT61" s="254"/>
      <c r="BV61" s="187"/>
      <c r="BW61" s="185"/>
      <c r="BX61" s="185"/>
      <c r="BY61" s="185"/>
      <c r="BZ61" s="254"/>
      <c r="CB61" s="187"/>
      <c r="CC61" s="185"/>
      <c r="CD61" s="185"/>
      <c r="CE61" s="185"/>
      <c r="CF61" s="254"/>
      <c r="CH61" s="253">
        <v>0.97</v>
      </c>
    </row>
    <row r="62" spans="1:86">
      <c r="A62" s="1563"/>
      <c r="B62" s="269"/>
      <c r="C62" s="270"/>
      <c r="D62" s="184" t="s">
        <v>322</v>
      </c>
      <c r="F62" s="256">
        <v>185250</v>
      </c>
      <c r="G62" s="257"/>
      <c r="H62" s="256">
        <v>181470</v>
      </c>
      <c r="I62" s="257"/>
      <c r="J62" s="179" t="s">
        <v>182</v>
      </c>
      <c r="K62" s="258">
        <v>1740</v>
      </c>
      <c r="L62" s="259"/>
      <c r="M62" s="260" t="s">
        <v>795</v>
      </c>
      <c r="N62" s="258">
        <v>1700</v>
      </c>
      <c r="O62" s="259"/>
      <c r="P62" s="260" t="s">
        <v>795</v>
      </c>
      <c r="R62" s="183"/>
      <c r="S62" s="271"/>
      <c r="T62" s="184"/>
      <c r="V62" s="187"/>
      <c r="W62" s="185">
        <v>651100</v>
      </c>
      <c r="X62" s="176"/>
      <c r="Y62" s="185">
        <v>6510</v>
      </c>
      <c r="Z62" s="176" t="s">
        <v>184</v>
      </c>
      <c r="AA62" s="176"/>
      <c r="AB62" s="177"/>
      <c r="AD62" s="281"/>
      <c r="AE62" s="281"/>
      <c r="AF62" s="176"/>
      <c r="AG62" s="176"/>
      <c r="AH62" s="177"/>
      <c r="AJ62" s="187"/>
      <c r="AK62" s="185"/>
      <c r="AL62" s="176"/>
      <c r="AM62" s="176"/>
      <c r="AN62" s="177"/>
      <c r="AP62" s="1552"/>
      <c r="AQ62" s="1555"/>
      <c r="AR62" s="1552"/>
      <c r="AS62" s="1555"/>
      <c r="AT62" s="1544"/>
      <c r="AU62" s="262" t="s">
        <v>701</v>
      </c>
      <c r="AV62" s="263">
        <v>2400</v>
      </c>
      <c r="AW62" s="264">
        <v>2600</v>
      </c>
      <c r="AX62" s="265">
        <v>1600</v>
      </c>
      <c r="AY62" s="266">
        <v>1600</v>
      </c>
      <c r="BA62" s="235">
        <v>2440</v>
      </c>
      <c r="BC62" s="359"/>
      <c r="BE62" s="186"/>
      <c r="BF62" s="271"/>
      <c r="BG62" s="271"/>
      <c r="BH62" s="184"/>
      <c r="BJ62" s="253"/>
      <c r="BL62" s="272"/>
      <c r="BM62" s="273"/>
      <c r="BN62" s="273"/>
      <c r="BO62" s="274"/>
      <c r="BQ62" s="186"/>
      <c r="BR62" s="196"/>
      <c r="BS62" s="196"/>
      <c r="BT62" s="197"/>
      <c r="BV62" s="186"/>
      <c r="BW62" s="196"/>
      <c r="BX62" s="196"/>
      <c r="BY62" s="196"/>
      <c r="BZ62" s="197"/>
      <c r="CB62" s="186"/>
      <c r="CC62" s="196"/>
      <c r="CD62" s="196"/>
      <c r="CE62" s="196"/>
      <c r="CF62" s="197"/>
      <c r="CH62" s="198"/>
    </row>
    <row r="63" spans="1:86" ht="63">
      <c r="A63" s="1563"/>
      <c r="B63" s="168" t="s">
        <v>341</v>
      </c>
      <c r="C63" s="241" t="s">
        <v>313</v>
      </c>
      <c r="D63" s="177" t="s">
        <v>314</v>
      </c>
      <c r="F63" s="218">
        <v>33860</v>
      </c>
      <c r="G63" s="219">
        <v>41750</v>
      </c>
      <c r="H63" s="218">
        <v>30330</v>
      </c>
      <c r="I63" s="219">
        <v>38220</v>
      </c>
      <c r="J63" s="179" t="s">
        <v>182</v>
      </c>
      <c r="K63" s="220">
        <v>310</v>
      </c>
      <c r="L63" s="221">
        <v>380</v>
      </c>
      <c r="M63" s="222" t="s">
        <v>795</v>
      </c>
      <c r="N63" s="220">
        <v>280</v>
      </c>
      <c r="O63" s="221">
        <v>350</v>
      </c>
      <c r="P63" s="222" t="s">
        <v>795</v>
      </c>
      <c r="Q63" s="160" t="s">
        <v>182</v>
      </c>
      <c r="R63" s="275">
        <v>7890</v>
      </c>
      <c r="S63" s="276">
        <v>70</v>
      </c>
      <c r="T63" s="247" t="s">
        <v>184</v>
      </c>
      <c r="V63" s="182"/>
      <c r="W63" s="185"/>
      <c r="X63" s="176"/>
      <c r="Y63" s="185"/>
      <c r="Z63" s="176"/>
      <c r="AA63" s="176"/>
      <c r="AB63" s="177"/>
      <c r="AD63" s="281"/>
      <c r="AE63" s="281"/>
      <c r="AF63" s="176"/>
      <c r="AG63" s="176"/>
      <c r="AH63" s="177"/>
      <c r="AJ63" s="187" t="s">
        <v>221</v>
      </c>
      <c r="AK63" s="185"/>
      <c r="AL63" s="176" t="s">
        <v>182</v>
      </c>
      <c r="AM63" s="176">
        <v>10</v>
      </c>
      <c r="AN63" s="177" t="s">
        <v>316</v>
      </c>
      <c r="AO63" s="160" t="s">
        <v>182</v>
      </c>
      <c r="AP63" s="1550">
        <v>2600</v>
      </c>
      <c r="AQ63" s="1553">
        <v>2900</v>
      </c>
      <c r="AR63" s="1550">
        <v>1800</v>
      </c>
      <c r="AS63" s="1553">
        <v>1800</v>
      </c>
      <c r="AT63" s="1544" t="s">
        <v>664</v>
      </c>
      <c r="AU63" s="230" t="s">
        <v>697</v>
      </c>
      <c r="AV63" s="231">
        <v>5400</v>
      </c>
      <c r="AW63" s="232">
        <v>6000</v>
      </c>
      <c r="AX63" s="267">
        <v>3700</v>
      </c>
      <c r="AY63" s="252">
        <v>3700</v>
      </c>
      <c r="BA63" s="235"/>
      <c r="BB63" s="160" t="s">
        <v>182</v>
      </c>
      <c r="BC63" s="1556">
        <v>4700</v>
      </c>
      <c r="BD63" s="160" t="s">
        <v>182</v>
      </c>
      <c r="BE63" s="187">
        <v>1470</v>
      </c>
      <c r="BF63" s="176" t="s">
        <v>182</v>
      </c>
      <c r="BG63" s="176">
        <v>10</v>
      </c>
      <c r="BH63" s="177" t="s">
        <v>184</v>
      </c>
      <c r="BJ63" s="253"/>
      <c r="BK63" s="160" t="s">
        <v>188</v>
      </c>
      <c r="BL63" s="193" t="s">
        <v>317</v>
      </c>
      <c r="BM63" s="194" t="s">
        <v>317</v>
      </c>
      <c r="BN63" s="194" t="s">
        <v>317</v>
      </c>
      <c r="BO63" s="195" t="s">
        <v>317</v>
      </c>
      <c r="BP63" s="160" t="s">
        <v>188</v>
      </c>
      <c r="BQ63" s="187"/>
      <c r="BR63" s="185"/>
      <c r="BS63" s="185"/>
      <c r="BT63" s="254"/>
      <c r="BU63" s="160" t="s">
        <v>188</v>
      </c>
      <c r="BV63" s="187"/>
      <c r="BW63" s="185"/>
      <c r="BX63" s="185"/>
      <c r="BY63" s="185"/>
      <c r="BZ63" s="254"/>
      <c r="CA63" s="160" t="s">
        <v>188</v>
      </c>
      <c r="CB63" s="187"/>
      <c r="CC63" s="185"/>
      <c r="CD63" s="185"/>
      <c r="CE63" s="185"/>
      <c r="CF63" s="254"/>
      <c r="CH63" s="253" t="s">
        <v>324</v>
      </c>
    </row>
    <row r="64" spans="1:86">
      <c r="A64" s="1563"/>
      <c r="B64" s="168"/>
      <c r="C64" s="241"/>
      <c r="D64" s="177" t="s">
        <v>318</v>
      </c>
      <c r="F64" s="242">
        <v>41750</v>
      </c>
      <c r="G64" s="243">
        <v>105240</v>
      </c>
      <c r="H64" s="242">
        <v>38220</v>
      </c>
      <c r="I64" s="243">
        <v>101710</v>
      </c>
      <c r="J64" s="179" t="s">
        <v>182</v>
      </c>
      <c r="K64" s="244">
        <v>380</v>
      </c>
      <c r="L64" s="245">
        <v>940</v>
      </c>
      <c r="M64" s="246" t="s">
        <v>795</v>
      </c>
      <c r="N64" s="244">
        <v>350</v>
      </c>
      <c r="O64" s="245">
        <v>900</v>
      </c>
      <c r="P64" s="246" t="s">
        <v>795</v>
      </c>
      <c r="Q64" s="160" t="s">
        <v>182</v>
      </c>
      <c r="R64" s="187">
        <v>7890</v>
      </c>
      <c r="S64" s="176">
        <v>70</v>
      </c>
      <c r="T64" s="247" t="s">
        <v>184</v>
      </c>
      <c r="V64" s="182"/>
      <c r="W64" s="185"/>
      <c r="X64" s="176"/>
      <c r="Y64" s="185"/>
      <c r="Z64" s="176"/>
      <c r="AA64" s="176"/>
      <c r="AB64" s="177"/>
      <c r="AD64" s="281"/>
      <c r="AE64" s="281"/>
      <c r="AF64" s="176"/>
      <c r="AG64" s="176"/>
      <c r="AH64" s="177"/>
      <c r="AJ64" s="187"/>
      <c r="AK64" s="185"/>
      <c r="AL64" s="176"/>
      <c r="AM64" s="176"/>
      <c r="AN64" s="177"/>
      <c r="AP64" s="1551"/>
      <c r="AQ64" s="1554"/>
      <c r="AR64" s="1551"/>
      <c r="AS64" s="1554"/>
      <c r="AT64" s="1544"/>
      <c r="AU64" s="172" t="s">
        <v>699</v>
      </c>
      <c r="AV64" s="249">
        <v>2900</v>
      </c>
      <c r="AW64" s="250">
        <v>3300</v>
      </c>
      <c r="AX64" s="267">
        <v>2000</v>
      </c>
      <c r="AY64" s="252">
        <v>2000</v>
      </c>
      <c r="BA64" s="235" t="s">
        <v>825</v>
      </c>
      <c r="BC64" s="1557"/>
      <c r="BE64" s="187"/>
      <c r="BF64" s="176"/>
      <c r="BG64" s="176"/>
      <c r="BH64" s="177"/>
      <c r="BJ64" s="253"/>
      <c r="BL64" s="193"/>
      <c r="BM64" s="194"/>
      <c r="BN64" s="194"/>
      <c r="BO64" s="195"/>
      <c r="BQ64" s="187">
        <v>840</v>
      </c>
      <c r="BR64" s="185" t="s">
        <v>189</v>
      </c>
      <c r="BS64" s="185">
        <v>8</v>
      </c>
      <c r="BT64" s="254" t="s">
        <v>184</v>
      </c>
      <c r="BV64" s="187">
        <v>3150</v>
      </c>
      <c r="BW64" s="185" t="s">
        <v>189</v>
      </c>
      <c r="BX64" s="185">
        <v>30</v>
      </c>
      <c r="BY64" s="185" t="s">
        <v>184</v>
      </c>
      <c r="BZ64" s="254" t="s">
        <v>190</v>
      </c>
      <c r="CB64" s="187">
        <v>2080</v>
      </c>
      <c r="CC64" s="185" t="s">
        <v>189</v>
      </c>
      <c r="CD64" s="185">
        <v>20</v>
      </c>
      <c r="CE64" s="185" t="s">
        <v>184</v>
      </c>
      <c r="CF64" s="254" t="s">
        <v>190</v>
      </c>
      <c r="CH64" s="253"/>
    </row>
    <row r="65" spans="1:86">
      <c r="A65" s="1563"/>
      <c r="B65" s="168"/>
      <c r="C65" s="241" t="s">
        <v>319</v>
      </c>
      <c r="D65" s="177" t="s">
        <v>320</v>
      </c>
      <c r="F65" s="242">
        <v>105240</v>
      </c>
      <c r="G65" s="243">
        <v>184150</v>
      </c>
      <c r="H65" s="242">
        <v>101710</v>
      </c>
      <c r="I65" s="243">
        <v>180620</v>
      </c>
      <c r="J65" s="179" t="s">
        <v>182</v>
      </c>
      <c r="K65" s="244">
        <v>940</v>
      </c>
      <c r="L65" s="245">
        <v>1730</v>
      </c>
      <c r="M65" s="246" t="s">
        <v>795</v>
      </c>
      <c r="N65" s="244">
        <v>900</v>
      </c>
      <c r="O65" s="245">
        <v>1690</v>
      </c>
      <c r="P65" s="246" t="s">
        <v>795</v>
      </c>
      <c r="R65" s="182"/>
      <c r="S65" s="176"/>
      <c r="T65" s="177"/>
      <c r="V65" s="182"/>
      <c r="W65" s="185"/>
      <c r="X65" s="176"/>
      <c r="Y65" s="185"/>
      <c r="Z65" s="176"/>
      <c r="AA65" s="176"/>
      <c r="AB65" s="177"/>
      <c r="AD65" s="281"/>
      <c r="AE65" s="281"/>
      <c r="AF65" s="176"/>
      <c r="AG65" s="176"/>
      <c r="AH65" s="177"/>
      <c r="AJ65" s="187">
        <v>1800</v>
      </c>
      <c r="AK65" s="185" t="s">
        <v>321</v>
      </c>
      <c r="AL65" s="176"/>
      <c r="AM65" s="176"/>
      <c r="AN65" s="177"/>
      <c r="AP65" s="1551"/>
      <c r="AQ65" s="1554"/>
      <c r="AR65" s="1551"/>
      <c r="AS65" s="1554"/>
      <c r="AT65" s="1544"/>
      <c r="AU65" s="172" t="s">
        <v>700</v>
      </c>
      <c r="AV65" s="249">
        <v>2500</v>
      </c>
      <c r="AW65" s="250">
        <v>2800</v>
      </c>
      <c r="AX65" s="267">
        <v>1800</v>
      </c>
      <c r="AY65" s="252">
        <v>1800</v>
      </c>
      <c r="BA65" s="235">
        <v>2360</v>
      </c>
      <c r="BC65" s="359"/>
      <c r="BE65" s="187"/>
      <c r="BF65" s="176"/>
      <c r="BG65" s="176"/>
      <c r="BH65" s="177"/>
      <c r="BJ65" s="253"/>
      <c r="BL65" s="193">
        <v>0.01</v>
      </c>
      <c r="BM65" s="194">
        <v>0.03</v>
      </c>
      <c r="BN65" s="194">
        <v>0.04</v>
      </c>
      <c r="BO65" s="195">
        <v>0.06</v>
      </c>
      <c r="BQ65" s="187"/>
      <c r="BR65" s="185"/>
      <c r="BS65" s="185"/>
      <c r="BT65" s="254"/>
      <c r="BV65" s="187"/>
      <c r="BW65" s="185"/>
      <c r="BX65" s="185"/>
      <c r="BY65" s="185"/>
      <c r="BZ65" s="254"/>
      <c r="CB65" s="187"/>
      <c r="CC65" s="185"/>
      <c r="CD65" s="185"/>
      <c r="CE65" s="185"/>
      <c r="CF65" s="254"/>
      <c r="CH65" s="253">
        <v>0.98</v>
      </c>
    </row>
    <row r="66" spans="1:86">
      <c r="A66" s="1563"/>
      <c r="B66" s="168"/>
      <c r="C66" s="241"/>
      <c r="D66" s="177" t="s">
        <v>322</v>
      </c>
      <c r="F66" s="256">
        <v>184150</v>
      </c>
      <c r="G66" s="257"/>
      <c r="H66" s="256">
        <v>180620</v>
      </c>
      <c r="I66" s="257"/>
      <c r="J66" s="179" t="s">
        <v>182</v>
      </c>
      <c r="K66" s="258">
        <v>1730</v>
      </c>
      <c r="L66" s="259"/>
      <c r="M66" s="260" t="s">
        <v>795</v>
      </c>
      <c r="N66" s="258">
        <v>1690</v>
      </c>
      <c r="O66" s="259"/>
      <c r="P66" s="260" t="s">
        <v>795</v>
      </c>
      <c r="R66" s="182"/>
      <c r="S66" s="176"/>
      <c r="T66" s="177"/>
      <c r="V66" s="182"/>
      <c r="W66" s="185"/>
      <c r="X66" s="176"/>
      <c r="Y66" s="185"/>
      <c r="Z66" s="176"/>
      <c r="AA66" s="176"/>
      <c r="AB66" s="177"/>
      <c r="AD66" s="281"/>
      <c r="AE66" s="281"/>
      <c r="AF66" s="176"/>
      <c r="AG66" s="176"/>
      <c r="AH66" s="177"/>
      <c r="AJ66" s="187"/>
      <c r="AK66" s="185"/>
      <c r="AL66" s="176"/>
      <c r="AM66" s="176"/>
      <c r="AN66" s="177"/>
      <c r="AP66" s="1552"/>
      <c r="AQ66" s="1555"/>
      <c r="AR66" s="1552"/>
      <c r="AS66" s="1555"/>
      <c r="AT66" s="1544"/>
      <c r="AU66" s="262" t="s">
        <v>701</v>
      </c>
      <c r="AV66" s="263">
        <v>2300</v>
      </c>
      <c r="AW66" s="264">
        <v>2500</v>
      </c>
      <c r="AX66" s="265">
        <v>1600</v>
      </c>
      <c r="AY66" s="266">
        <v>1600</v>
      </c>
      <c r="BA66" s="235"/>
      <c r="BC66" s="359"/>
      <c r="BE66" s="187"/>
      <c r="BF66" s="176"/>
      <c r="BG66" s="176"/>
      <c r="BH66" s="177"/>
      <c r="BJ66" s="253"/>
      <c r="BL66" s="193"/>
      <c r="BM66" s="194"/>
      <c r="BN66" s="194"/>
      <c r="BO66" s="195"/>
      <c r="BQ66" s="187"/>
      <c r="BR66" s="185"/>
      <c r="BS66" s="185"/>
      <c r="BT66" s="254"/>
      <c r="BV66" s="187"/>
      <c r="BW66" s="185"/>
      <c r="BX66" s="185"/>
      <c r="BY66" s="185"/>
      <c r="BZ66" s="254"/>
      <c r="CB66" s="187"/>
      <c r="CC66" s="185"/>
      <c r="CD66" s="185"/>
      <c r="CE66" s="185"/>
      <c r="CF66" s="254"/>
      <c r="CH66" s="253"/>
    </row>
    <row r="67" spans="1:86" ht="63">
      <c r="A67" s="1563"/>
      <c r="B67" s="215" t="s">
        <v>342</v>
      </c>
      <c r="C67" s="216" t="s">
        <v>313</v>
      </c>
      <c r="D67" s="217" t="s">
        <v>314</v>
      </c>
      <c r="F67" s="218">
        <v>33760</v>
      </c>
      <c r="G67" s="219">
        <v>41650</v>
      </c>
      <c r="H67" s="218">
        <v>30450</v>
      </c>
      <c r="I67" s="219">
        <v>38340</v>
      </c>
      <c r="J67" s="179" t="s">
        <v>182</v>
      </c>
      <c r="K67" s="220">
        <v>310</v>
      </c>
      <c r="L67" s="221">
        <v>380</v>
      </c>
      <c r="M67" s="222" t="s">
        <v>795</v>
      </c>
      <c r="N67" s="220">
        <v>280</v>
      </c>
      <c r="O67" s="221">
        <v>350</v>
      </c>
      <c r="P67" s="222" t="s">
        <v>795</v>
      </c>
      <c r="Q67" s="160" t="s">
        <v>182</v>
      </c>
      <c r="R67" s="223">
        <v>7890</v>
      </c>
      <c r="S67" s="224">
        <v>70</v>
      </c>
      <c r="T67" s="225" t="s">
        <v>184</v>
      </c>
      <c r="V67" s="182"/>
      <c r="W67" s="185"/>
      <c r="X67" s="176"/>
      <c r="Y67" s="185"/>
      <c r="Z67" s="176"/>
      <c r="AA67" s="176"/>
      <c r="AB67" s="177"/>
      <c r="AD67" s="281"/>
      <c r="AE67" s="281"/>
      <c r="AF67" s="176"/>
      <c r="AG67" s="176"/>
      <c r="AH67" s="177"/>
      <c r="AJ67" s="187" t="s">
        <v>223</v>
      </c>
      <c r="AK67" s="185"/>
      <c r="AL67" s="176" t="s">
        <v>182</v>
      </c>
      <c r="AM67" s="176">
        <v>10</v>
      </c>
      <c r="AN67" s="177" t="s">
        <v>316</v>
      </c>
      <c r="AO67" s="160" t="s">
        <v>182</v>
      </c>
      <c r="AP67" s="1550">
        <v>2400</v>
      </c>
      <c r="AQ67" s="1553">
        <v>2700</v>
      </c>
      <c r="AR67" s="1550">
        <v>1700</v>
      </c>
      <c r="AS67" s="1553">
        <v>1700</v>
      </c>
      <c r="AT67" s="1544" t="s">
        <v>664</v>
      </c>
      <c r="AU67" s="230" t="s">
        <v>697</v>
      </c>
      <c r="AV67" s="231">
        <v>4800</v>
      </c>
      <c r="AW67" s="232">
        <v>5400</v>
      </c>
      <c r="AX67" s="267">
        <v>3400</v>
      </c>
      <c r="AY67" s="252">
        <v>3400</v>
      </c>
      <c r="BA67" s="235" t="s">
        <v>826</v>
      </c>
      <c r="BB67" s="160" t="s">
        <v>182</v>
      </c>
      <c r="BC67" s="1556">
        <v>4700</v>
      </c>
      <c r="BD67" s="160" t="s">
        <v>182</v>
      </c>
      <c r="BE67" s="228">
        <v>1380</v>
      </c>
      <c r="BF67" s="226" t="s">
        <v>182</v>
      </c>
      <c r="BG67" s="226">
        <v>10</v>
      </c>
      <c r="BH67" s="217" t="s">
        <v>184</v>
      </c>
      <c r="BJ67" s="253"/>
      <c r="BK67" s="160" t="s">
        <v>188</v>
      </c>
      <c r="BL67" s="237" t="s">
        <v>317</v>
      </c>
      <c r="BM67" s="238" t="s">
        <v>317</v>
      </c>
      <c r="BN67" s="238" t="s">
        <v>317</v>
      </c>
      <c r="BO67" s="239" t="s">
        <v>317</v>
      </c>
      <c r="BP67" s="160" t="s">
        <v>188</v>
      </c>
      <c r="BQ67" s="228"/>
      <c r="BR67" s="229"/>
      <c r="BS67" s="229"/>
      <c r="BT67" s="240"/>
      <c r="BU67" s="160" t="s">
        <v>188</v>
      </c>
      <c r="BV67" s="228"/>
      <c r="BW67" s="229"/>
      <c r="BX67" s="229"/>
      <c r="BY67" s="229"/>
      <c r="BZ67" s="240"/>
      <c r="CA67" s="160" t="s">
        <v>188</v>
      </c>
      <c r="CB67" s="228"/>
      <c r="CC67" s="229"/>
      <c r="CD67" s="229"/>
      <c r="CE67" s="229"/>
      <c r="CF67" s="240"/>
      <c r="CH67" s="236" t="s">
        <v>324</v>
      </c>
    </row>
    <row r="68" spans="1:86">
      <c r="A68" s="1563"/>
      <c r="B68" s="168"/>
      <c r="C68" s="241"/>
      <c r="D68" s="177" t="s">
        <v>318</v>
      </c>
      <c r="F68" s="242">
        <v>41650</v>
      </c>
      <c r="G68" s="243">
        <v>105140</v>
      </c>
      <c r="H68" s="242">
        <v>38340</v>
      </c>
      <c r="I68" s="243">
        <v>101830</v>
      </c>
      <c r="J68" s="179" t="s">
        <v>182</v>
      </c>
      <c r="K68" s="244">
        <v>380</v>
      </c>
      <c r="L68" s="245">
        <v>940</v>
      </c>
      <c r="M68" s="246" t="s">
        <v>795</v>
      </c>
      <c r="N68" s="244">
        <v>350</v>
      </c>
      <c r="O68" s="245">
        <v>900</v>
      </c>
      <c r="P68" s="246" t="s">
        <v>795</v>
      </c>
      <c r="Q68" s="160" t="s">
        <v>182</v>
      </c>
      <c r="R68" s="187">
        <v>7890</v>
      </c>
      <c r="S68" s="176">
        <v>70</v>
      </c>
      <c r="T68" s="247" t="s">
        <v>184</v>
      </c>
      <c r="V68" s="182"/>
      <c r="W68" s="185"/>
      <c r="X68" s="176"/>
      <c r="Y68" s="185"/>
      <c r="Z68" s="176"/>
      <c r="AA68" s="176"/>
      <c r="AB68" s="177"/>
      <c r="AD68" s="281"/>
      <c r="AE68" s="281"/>
      <c r="AF68" s="176"/>
      <c r="AG68" s="176"/>
      <c r="AH68" s="177"/>
      <c r="AJ68" s="187"/>
      <c r="AK68" s="185"/>
      <c r="AL68" s="176"/>
      <c r="AM68" s="176"/>
      <c r="AN68" s="177"/>
      <c r="AP68" s="1551"/>
      <c r="AQ68" s="1554"/>
      <c r="AR68" s="1551"/>
      <c r="AS68" s="1554"/>
      <c r="AT68" s="1544"/>
      <c r="AU68" s="172" t="s">
        <v>699</v>
      </c>
      <c r="AV68" s="249">
        <v>2600</v>
      </c>
      <c r="AW68" s="250">
        <v>2900</v>
      </c>
      <c r="AX68" s="267">
        <v>1800</v>
      </c>
      <c r="AY68" s="252">
        <v>1800</v>
      </c>
      <c r="BA68" s="235">
        <v>2150</v>
      </c>
      <c r="BC68" s="1557"/>
      <c r="BE68" s="187"/>
      <c r="BF68" s="176"/>
      <c r="BG68" s="176"/>
      <c r="BH68" s="177"/>
      <c r="BJ68" s="253"/>
      <c r="BL68" s="193"/>
      <c r="BM68" s="194"/>
      <c r="BN68" s="194"/>
      <c r="BO68" s="195"/>
      <c r="BQ68" s="187">
        <v>790</v>
      </c>
      <c r="BR68" s="185" t="s">
        <v>189</v>
      </c>
      <c r="BS68" s="185">
        <v>8</v>
      </c>
      <c r="BT68" s="254" t="s">
        <v>184</v>
      </c>
      <c r="BV68" s="187">
        <v>2950</v>
      </c>
      <c r="BW68" s="185" t="s">
        <v>189</v>
      </c>
      <c r="BX68" s="185">
        <v>30</v>
      </c>
      <c r="BY68" s="185" t="s">
        <v>184</v>
      </c>
      <c r="BZ68" s="254" t="s">
        <v>190</v>
      </c>
      <c r="CB68" s="187">
        <v>1950</v>
      </c>
      <c r="CC68" s="185" t="s">
        <v>189</v>
      </c>
      <c r="CD68" s="185">
        <v>20</v>
      </c>
      <c r="CE68" s="185" t="s">
        <v>184</v>
      </c>
      <c r="CF68" s="254" t="s">
        <v>190</v>
      </c>
      <c r="CH68" s="253"/>
    </row>
    <row r="69" spans="1:86">
      <c r="A69" s="1563"/>
      <c r="B69" s="168"/>
      <c r="C69" s="241" t="s">
        <v>319</v>
      </c>
      <c r="D69" s="177" t="s">
        <v>320</v>
      </c>
      <c r="F69" s="242">
        <v>105140</v>
      </c>
      <c r="G69" s="243">
        <v>184050</v>
      </c>
      <c r="H69" s="242">
        <v>101830</v>
      </c>
      <c r="I69" s="243">
        <v>180740</v>
      </c>
      <c r="J69" s="179" t="s">
        <v>182</v>
      </c>
      <c r="K69" s="244">
        <v>940</v>
      </c>
      <c r="L69" s="245">
        <v>1730</v>
      </c>
      <c r="M69" s="246" t="s">
        <v>795</v>
      </c>
      <c r="N69" s="244">
        <v>900</v>
      </c>
      <c r="O69" s="245">
        <v>1690</v>
      </c>
      <c r="P69" s="246" t="s">
        <v>795</v>
      </c>
      <c r="R69" s="182"/>
      <c r="S69" s="176"/>
      <c r="T69" s="177"/>
      <c r="V69" s="182"/>
      <c r="W69" s="185"/>
      <c r="X69" s="176"/>
      <c r="Y69" s="185"/>
      <c r="Z69" s="176"/>
      <c r="AA69" s="176"/>
      <c r="AB69" s="177"/>
      <c r="AD69" s="281"/>
      <c r="AE69" s="281"/>
      <c r="AF69" s="176"/>
      <c r="AG69" s="176"/>
      <c r="AH69" s="177"/>
      <c r="AJ69" s="187">
        <v>1620</v>
      </c>
      <c r="AK69" s="185" t="s">
        <v>321</v>
      </c>
      <c r="AL69" s="176"/>
      <c r="AM69" s="176"/>
      <c r="AN69" s="177"/>
      <c r="AP69" s="1551"/>
      <c r="AQ69" s="1554"/>
      <c r="AR69" s="1551"/>
      <c r="AS69" s="1554"/>
      <c r="AT69" s="1544"/>
      <c r="AU69" s="172" t="s">
        <v>700</v>
      </c>
      <c r="AV69" s="249">
        <v>2300</v>
      </c>
      <c r="AW69" s="250">
        <v>2500</v>
      </c>
      <c r="AX69" s="267">
        <v>1600</v>
      </c>
      <c r="AY69" s="252">
        <v>1600</v>
      </c>
      <c r="BA69" s="235"/>
      <c r="BC69" s="359"/>
      <c r="BE69" s="187"/>
      <c r="BF69" s="176"/>
      <c r="BG69" s="176"/>
      <c r="BH69" s="177"/>
      <c r="BJ69" s="253"/>
      <c r="BL69" s="193">
        <v>0.01</v>
      </c>
      <c r="BM69" s="194">
        <v>0.03</v>
      </c>
      <c r="BN69" s="194">
        <v>0.04</v>
      </c>
      <c r="BO69" s="195">
        <v>0.06</v>
      </c>
      <c r="BQ69" s="187"/>
      <c r="BR69" s="185"/>
      <c r="BS69" s="185"/>
      <c r="BT69" s="254"/>
      <c r="BV69" s="187"/>
      <c r="BW69" s="185"/>
      <c r="BX69" s="185"/>
      <c r="BY69" s="185"/>
      <c r="BZ69" s="254"/>
      <c r="CB69" s="187"/>
      <c r="CC69" s="185"/>
      <c r="CD69" s="185"/>
      <c r="CE69" s="185"/>
      <c r="CF69" s="254"/>
      <c r="CH69" s="253">
        <v>0.98</v>
      </c>
    </row>
    <row r="70" spans="1:86">
      <c r="A70" s="1563"/>
      <c r="B70" s="269"/>
      <c r="C70" s="270"/>
      <c r="D70" s="184" t="s">
        <v>322</v>
      </c>
      <c r="F70" s="256">
        <v>184050</v>
      </c>
      <c r="G70" s="257"/>
      <c r="H70" s="256">
        <v>180740</v>
      </c>
      <c r="I70" s="257"/>
      <c r="J70" s="179" t="s">
        <v>182</v>
      </c>
      <c r="K70" s="258">
        <v>1730</v>
      </c>
      <c r="L70" s="259"/>
      <c r="M70" s="260" t="s">
        <v>795</v>
      </c>
      <c r="N70" s="258">
        <v>1690</v>
      </c>
      <c r="O70" s="259"/>
      <c r="P70" s="260" t="s">
        <v>795</v>
      </c>
      <c r="R70" s="183"/>
      <c r="S70" s="271"/>
      <c r="T70" s="184"/>
      <c r="V70" s="182"/>
      <c r="W70" s="185"/>
      <c r="X70" s="176"/>
      <c r="Y70" s="185"/>
      <c r="Z70" s="176"/>
      <c r="AA70" s="176"/>
      <c r="AB70" s="177"/>
      <c r="AD70" s="281"/>
      <c r="AE70" s="281"/>
      <c r="AF70" s="176"/>
      <c r="AG70" s="176"/>
      <c r="AH70" s="177"/>
      <c r="AJ70" s="187"/>
      <c r="AK70" s="185"/>
      <c r="AL70" s="176"/>
      <c r="AM70" s="176"/>
      <c r="AN70" s="177"/>
      <c r="AP70" s="1552"/>
      <c r="AQ70" s="1555"/>
      <c r="AR70" s="1552"/>
      <c r="AS70" s="1555"/>
      <c r="AT70" s="1544"/>
      <c r="AU70" s="262" t="s">
        <v>701</v>
      </c>
      <c r="AV70" s="263">
        <v>2000</v>
      </c>
      <c r="AW70" s="264">
        <v>2300</v>
      </c>
      <c r="AX70" s="265">
        <v>1400</v>
      </c>
      <c r="AY70" s="266">
        <v>1400</v>
      </c>
      <c r="BA70" s="235"/>
      <c r="BC70" s="359"/>
      <c r="BE70" s="186"/>
      <c r="BF70" s="271"/>
      <c r="BG70" s="271"/>
      <c r="BH70" s="184"/>
      <c r="BJ70" s="253"/>
      <c r="BL70" s="272"/>
      <c r="BM70" s="273"/>
      <c r="BN70" s="273"/>
      <c r="BO70" s="274"/>
      <c r="BQ70" s="186"/>
      <c r="BR70" s="196"/>
      <c r="BS70" s="196"/>
      <c r="BT70" s="197"/>
      <c r="BV70" s="186"/>
      <c r="BW70" s="196"/>
      <c r="BX70" s="196"/>
      <c r="BY70" s="196"/>
      <c r="BZ70" s="197"/>
      <c r="CB70" s="186"/>
      <c r="CC70" s="196"/>
      <c r="CD70" s="196"/>
      <c r="CE70" s="196"/>
      <c r="CF70" s="197"/>
      <c r="CH70" s="198"/>
    </row>
    <row r="71" spans="1:86" ht="63">
      <c r="A71" s="1563"/>
      <c r="B71" s="168" t="s">
        <v>343</v>
      </c>
      <c r="C71" s="241" t="s">
        <v>313</v>
      </c>
      <c r="D71" s="177" t="s">
        <v>314</v>
      </c>
      <c r="F71" s="218">
        <v>32880</v>
      </c>
      <c r="G71" s="219">
        <v>40770</v>
      </c>
      <c r="H71" s="218">
        <v>29770</v>
      </c>
      <c r="I71" s="219">
        <v>37660</v>
      </c>
      <c r="J71" s="179" t="s">
        <v>182</v>
      </c>
      <c r="K71" s="220">
        <v>310</v>
      </c>
      <c r="L71" s="221">
        <v>380</v>
      </c>
      <c r="M71" s="222" t="s">
        <v>795</v>
      </c>
      <c r="N71" s="220">
        <v>270</v>
      </c>
      <c r="O71" s="221">
        <v>340</v>
      </c>
      <c r="P71" s="222" t="s">
        <v>795</v>
      </c>
      <c r="Q71" s="160" t="s">
        <v>182</v>
      </c>
      <c r="R71" s="275">
        <v>7890</v>
      </c>
      <c r="S71" s="276">
        <v>70</v>
      </c>
      <c r="T71" s="247" t="s">
        <v>184</v>
      </c>
      <c r="V71" s="182"/>
      <c r="W71" s="185"/>
      <c r="X71" s="176"/>
      <c r="Y71" s="185"/>
      <c r="Z71" s="176"/>
      <c r="AA71" s="176"/>
      <c r="AB71" s="177"/>
      <c r="AD71" s="281"/>
      <c r="AE71" s="281"/>
      <c r="AF71" s="176"/>
      <c r="AG71" s="176"/>
      <c r="AH71" s="177"/>
      <c r="AJ71" s="187" t="s">
        <v>225</v>
      </c>
      <c r="AK71" s="185"/>
      <c r="AL71" s="176" t="s">
        <v>182</v>
      </c>
      <c r="AM71" s="176">
        <v>10</v>
      </c>
      <c r="AN71" s="177" t="s">
        <v>316</v>
      </c>
      <c r="AO71" s="160" t="s">
        <v>182</v>
      </c>
      <c r="AP71" s="1550">
        <v>2600</v>
      </c>
      <c r="AQ71" s="1553">
        <v>2900</v>
      </c>
      <c r="AR71" s="1550">
        <v>1800</v>
      </c>
      <c r="AS71" s="1553">
        <v>1800</v>
      </c>
      <c r="AT71" s="1544" t="s">
        <v>664</v>
      </c>
      <c r="AU71" s="230" t="s">
        <v>697</v>
      </c>
      <c r="AV71" s="231">
        <v>5400</v>
      </c>
      <c r="AW71" s="232">
        <v>6000</v>
      </c>
      <c r="AX71" s="267">
        <v>3700</v>
      </c>
      <c r="AY71" s="252">
        <v>3700</v>
      </c>
      <c r="BA71" s="1545" t="s">
        <v>717</v>
      </c>
      <c r="BB71" s="160" t="s">
        <v>182</v>
      </c>
      <c r="BC71" s="1556">
        <v>4700</v>
      </c>
      <c r="BD71" s="160" t="s">
        <v>182</v>
      </c>
      <c r="BE71" s="187">
        <v>1290</v>
      </c>
      <c r="BF71" s="176" t="s">
        <v>182</v>
      </c>
      <c r="BG71" s="176">
        <v>10</v>
      </c>
      <c r="BH71" s="177" t="s">
        <v>184</v>
      </c>
      <c r="BJ71" s="253"/>
      <c r="BK71" s="160" t="s">
        <v>188</v>
      </c>
      <c r="BL71" s="193" t="s">
        <v>317</v>
      </c>
      <c r="BM71" s="194" t="s">
        <v>317</v>
      </c>
      <c r="BN71" s="194" t="s">
        <v>317</v>
      </c>
      <c r="BO71" s="195" t="s">
        <v>317</v>
      </c>
      <c r="BP71" s="160" t="s">
        <v>188</v>
      </c>
      <c r="BQ71" s="187"/>
      <c r="BR71" s="185"/>
      <c r="BS71" s="185"/>
      <c r="BT71" s="254"/>
      <c r="BU71" s="160" t="s">
        <v>188</v>
      </c>
      <c r="BV71" s="187"/>
      <c r="BW71" s="185"/>
      <c r="BX71" s="185"/>
      <c r="BY71" s="185"/>
      <c r="BZ71" s="254"/>
      <c r="CA71" s="160" t="s">
        <v>188</v>
      </c>
      <c r="CB71" s="187"/>
      <c r="CC71" s="185"/>
      <c r="CD71" s="185"/>
      <c r="CE71" s="185"/>
      <c r="CF71" s="254"/>
      <c r="CH71" s="253" t="s">
        <v>324</v>
      </c>
    </row>
    <row r="72" spans="1:86">
      <c r="A72" s="1563"/>
      <c r="B72" s="168"/>
      <c r="C72" s="241"/>
      <c r="D72" s="177" t="s">
        <v>318</v>
      </c>
      <c r="F72" s="242">
        <v>40770</v>
      </c>
      <c r="G72" s="243">
        <v>104260</v>
      </c>
      <c r="H72" s="242">
        <v>37660</v>
      </c>
      <c r="I72" s="243">
        <v>101150</v>
      </c>
      <c r="J72" s="179" t="s">
        <v>182</v>
      </c>
      <c r="K72" s="244">
        <v>380</v>
      </c>
      <c r="L72" s="245">
        <v>930</v>
      </c>
      <c r="M72" s="246" t="s">
        <v>795</v>
      </c>
      <c r="N72" s="244">
        <v>340</v>
      </c>
      <c r="O72" s="245">
        <v>900</v>
      </c>
      <c r="P72" s="246" t="s">
        <v>795</v>
      </c>
      <c r="Q72" s="160" t="s">
        <v>182</v>
      </c>
      <c r="R72" s="187">
        <v>7890</v>
      </c>
      <c r="S72" s="176">
        <v>70</v>
      </c>
      <c r="T72" s="247" t="s">
        <v>184</v>
      </c>
      <c r="V72" s="182"/>
      <c r="W72" s="185"/>
      <c r="X72" s="176"/>
      <c r="Y72" s="185"/>
      <c r="Z72" s="176"/>
      <c r="AA72" s="176"/>
      <c r="AB72" s="177"/>
      <c r="AD72" s="281"/>
      <c r="AE72" s="281"/>
      <c r="AF72" s="176"/>
      <c r="AG72" s="176"/>
      <c r="AH72" s="177"/>
      <c r="AJ72" s="187"/>
      <c r="AK72" s="185"/>
      <c r="AL72" s="176"/>
      <c r="AM72" s="176"/>
      <c r="AN72" s="177"/>
      <c r="AP72" s="1551"/>
      <c r="AQ72" s="1554"/>
      <c r="AR72" s="1551"/>
      <c r="AS72" s="1554"/>
      <c r="AT72" s="1544"/>
      <c r="AU72" s="172" t="s">
        <v>699</v>
      </c>
      <c r="AV72" s="249">
        <v>2900</v>
      </c>
      <c r="AW72" s="250">
        <v>3300</v>
      </c>
      <c r="AX72" s="267">
        <v>2000</v>
      </c>
      <c r="AY72" s="252">
        <v>2000</v>
      </c>
      <c r="BA72" s="1545"/>
      <c r="BC72" s="1557"/>
      <c r="BE72" s="187"/>
      <c r="BF72" s="176"/>
      <c r="BG72" s="176"/>
      <c r="BH72" s="177"/>
      <c r="BJ72" s="253"/>
      <c r="BL72" s="193"/>
      <c r="BM72" s="194"/>
      <c r="BN72" s="194"/>
      <c r="BO72" s="195"/>
      <c r="BQ72" s="187">
        <v>740</v>
      </c>
      <c r="BR72" s="185" t="s">
        <v>189</v>
      </c>
      <c r="BS72" s="185">
        <v>7</v>
      </c>
      <c r="BT72" s="254" t="s">
        <v>184</v>
      </c>
      <c r="BV72" s="187">
        <v>2780</v>
      </c>
      <c r="BW72" s="185" t="s">
        <v>189</v>
      </c>
      <c r="BX72" s="185">
        <v>20</v>
      </c>
      <c r="BY72" s="185" t="s">
        <v>184</v>
      </c>
      <c r="BZ72" s="254" t="s">
        <v>190</v>
      </c>
      <c r="CB72" s="187">
        <v>1830</v>
      </c>
      <c r="CC72" s="185" t="s">
        <v>189</v>
      </c>
      <c r="CD72" s="185">
        <v>10</v>
      </c>
      <c r="CE72" s="185" t="s">
        <v>184</v>
      </c>
      <c r="CF72" s="254" t="s">
        <v>190</v>
      </c>
      <c r="CH72" s="253"/>
    </row>
    <row r="73" spans="1:86">
      <c r="A73" s="1563"/>
      <c r="B73" s="168"/>
      <c r="C73" s="241" t="s">
        <v>319</v>
      </c>
      <c r="D73" s="177" t="s">
        <v>320</v>
      </c>
      <c r="F73" s="242">
        <v>104260</v>
      </c>
      <c r="G73" s="243">
        <v>183170</v>
      </c>
      <c r="H73" s="242">
        <v>101150</v>
      </c>
      <c r="I73" s="243">
        <v>180060</v>
      </c>
      <c r="J73" s="179" t="s">
        <v>182</v>
      </c>
      <c r="K73" s="244">
        <v>930</v>
      </c>
      <c r="L73" s="245">
        <v>1720</v>
      </c>
      <c r="M73" s="246" t="s">
        <v>795</v>
      </c>
      <c r="N73" s="244">
        <v>900</v>
      </c>
      <c r="O73" s="245">
        <v>1690</v>
      </c>
      <c r="P73" s="246" t="s">
        <v>795</v>
      </c>
      <c r="R73" s="182"/>
      <c r="S73" s="176"/>
      <c r="T73" s="177"/>
      <c r="V73" s="182"/>
      <c r="W73" s="185"/>
      <c r="X73" s="176"/>
      <c r="Y73" s="185"/>
      <c r="Z73" s="176"/>
      <c r="AA73" s="176"/>
      <c r="AB73" s="177"/>
      <c r="AD73" s="281"/>
      <c r="AE73" s="281"/>
      <c r="AF73" s="176"/>
      <c r="AG73" s="176"/>
      <c r="AH73" s="177"/>
      <c r="AJ73" s="187">
        <v>1470</v>
      </c>
      <c r="AK73" s="185" t="s">
        <v>321</v>
      </c>
      <c r="AL73" s="176"/>
      <c r="AM73" s="176"/>
      <c r="AN73" s="177"/>
      <c r="AP73" s="1551"/>
      <c r="AQ73" s="1554"/>
      <c r="AR73" s="1551"/>
      <c r="AS73" s="1554"/>
      <c r="AT73" s="1544"/>
      <c r="AU73" s="172" t="s">
        <v>700</v>
      </c>
      <c r="AV73" s="249">
        <v>2500</v>
      </c>
      <c r="AW73" s="250">
        <v>2800</v>
      </c>
      <c r="AX73" s="267">
        <v>1800</v>
      </c>
      <c r="AY73" s="252">
        <v>1800</v>
      </c>
      <c r="BA73" s="235"/>
      <c r="BC73" s="358"/>
      <c r="BE73" s="187"/>
      <c r="BF73" s="176"/>
      <c r="BG73" s="176"/>
      <c r="BH73" s="177"/>
      <c r="BJ73" s="253"/>
      <c r="BL73" s="193">
        <v>0.01</v>
      </c>
      <c r="BM73" s="194">
        <v>0.03</v>
      </c>
      <c r="BN73" s="194">
        <v>0.04</v>
      </c>
      <c r="BO73" s="195">
        <v>0.06</v>
      </c>
      <c r="BQ73" s="187"/>
      <c r="BR73" s="185"/>
      <c r="BS73" s="185"/>
      <c r="BT73" s="254"/>
      <c r="BV73" s="187"/>
      <c r="BW73" s="185"/>
      <c r="BX73" s="185"/>
      <c r="BY73" s="185"/>
      <c r="BZ73" s="254"/>
      <c r="CB73" s="187"/>
      <c r="CC73" s="185"/>
      <c r="CD73" s="185"/>
      <c r="CE73" s="185"/>
      <c r="CF73" s="254"/>
      <c r="CH73" s="253">
        <v>0.99</v>
      </c>
    </row>
    <row r="74" spans="1:86">
      <c r="A74" s="1563"/>
      <c r="B74" s="168"/>
      <c r="C74" s="241"/>
      <c r="D74" s="177" t="s">
        <v>322</v>
      </c>
      <c r="F74" s="256">
        <v>183170</v>
      </c>
      <c r="G74" s="257"/>
      <c r="H74" s="256">
        <v>180060</v>
      </c>
      <c r="I74" s="257"/>
      <c r="J74" s="179" t="s">
        <v>182</v>
      </c>
      <c r="K74" s="258">
        <v>1720</v>
      </c>
      <c r="L74" s="259"/>
      <c r="M74" s="260" t="s">
        <v>795</v>
      </c>
      <c r="N74" s="258">
        <v>1690</v>
      </c>
      <c r="O74" s="259"/>
      <c r="P74" s="260" t="s">
        <v>795</v>
      </c>
      <c r="R74" s="182"/>
      <c r="S74" s="176"/>
      <c r="T74" s="177"/>
      <c r="V74" s="182"/>
      <c r="W74" s="185"/>
      <c r="X74" s="176"/>
      <c r="Y74" s="185"/>
      <c r="Z74" s="176"/>
      <c r="AA74" s="176"/>
      <c r="AB74" s="177"/>
      <c r="AD74" s="281"/>
      <c r="AE74" s="281"/>
      <c r="AF74" s="176"/>
      <c r="AG74" s="176"/>
      <c r="AH74" s="177"/>
      <c r="AJ74" s="187"/>
      <c r="AK74" s="185"/>
      <c r="AL74" s="176"/>
      <c r="AM74" s="176"/>
      <c r="AN74" s="177"/>
      <c r="AP74" s="1552"/>
      <c r="AQ74" s="1555"/>
      <c r="AR74" s="1552"/>
      <c r="AS74" s="1555"/>
      <c r="AT74" s="1544"/>
      <c r="AU74" s="262" t="s">
        <v>701</v>
      </c>
      <c r="AV74" s="263">
        <v>2300</v>
      </c>
      <c r="AW74" s="264">
        <v>2500</v>
      </c>
      <c r="AX74" s="265">
        <v>1600</v>
      </c>
      <c r="AY74" s="266">
        <v>1600</v>
      </c>
      <c r="BA74" s="235"/>
      <c r="BC74" s="359"/>
      <c r="BE74" s="187"/>
      <c r="BF74" s="176"/>
      <c r="BG74" s="176"/>
      <c r="BH74" s="177"/>
      <c r="BJ74" s="253"/>
      <c r="BL74" s="193"/>
      <c r="BM74" s="194"/>
      <c r="BN74" s="194"/>
      <c r="BO74" s="195"/>
      <c r="BQ74" s="187"/>
      <c r="BR74" s="185"/>
      <c r="BS74" s="185"/>
      <c r="BT74" s="254"/>
      <c r="BV74" s="187"/>
      <c r="BW74" s="185"/>
      <c r="BX74" s="185"/>
      <c r="BY74" s="185"/>
      <c r="BZ74" s="254"/>
      <c r="CB74" s="187"/>
      <c r="CC74" s="185"/>
      <c r="CD74" s="185"/>
      <c r="CE74" s="185"/>
      <c r="CF74" s="254"/>
      <c r="CH74" s="253"/>
    </row>
    <row r="75" spans="1:86" ht="31.5">
      <c r="A75" s="1563"/>
      <c r="B75" s="215" t="s">
        <v>344</v>
      </c>
      <c r="C75" s="216" t="s">
        <v>313</v>
      </c>
      <c r="D75" s="217" t="s">
        <v>314</v>
      </c>
      <c r="F75" s="218">
        <v>32070</v>
      </c>
      <c r="G75" s="219">
        <v>39960</v>
      </c>
      <c r="H75" s="218">
        <v>29140</v>
      </c>
      <c r="I75" s="219">
        <v>37030</v>
      </c>
      <c r="J75" s="179" t="s">
        <v>182</v>
      </c>
      <c r="K75" s="220">
        <v>300</v>
      </c>
      <c r="L75" s="221">
        <v>370</v>
      </c>
      <c r="M75" s="222" t="s">
        <v>795</v>
      </c>
      <c r="N75" s="220">
        <v>270</v>
      </c>
      <c r="O75" s="221">
        <v>340</v>
      </c>
      <c r="P75" s="222" t="s">
        <v>795</v>
      </c>
      <c r="Q75" s="160" t="s">
        <v>182</v>
      </c>
      <c r="R75" s="223">
        <v>7890</v>
      </c>
      <c r="S75" s="224">
        <v>70</v>
      </c>
      <c r="T75" s="225" t="s">
        <v>184</v>
      </c>
      <c r="V75" s="182"/>
      <c r="W75" s="185"/>
      <c r="X75" s="176"/>
      <c r="Y75" s="185"/>
      <c r="Z75" s="176"/>
      <c r="AA75" s="176"/>
      <c r="AB75" s="177"/>
      <c r="AD75" s="281"/>
      <c r="AE75" s="281"/>
      <c r="AF75" s="176"/>
      <c r="AG75" s="176"/>
      <c r="AH75" s="177"/>
      <c r="AJ75" s="187"/>
      <c r="AK75" s="185"/>
      <c r="AL75" s="176"/>
      <c r="AM75" s="176"/>
      <c r="AN75" s="177"/>
      <c r="AO75" s="160" t="s">
        <v>182</v>
      </c>
      <c r="AP75" s="1550">
        <v>2500</v>
      </c>
      <c r="AQ75" s="1553">
        <v>2700</v>
      </c>
      <c r="AR75" s="1550">
        <v>1700</v>
      </c>
      <c r="AS75" s="1553">
        <v>1700</v>
      </c>
      <c r="AT75" s="1544" t="s">
        <v>664</v>
      </c>
      <c r="AU75" s="230" t="s">
        <v>697</v>
      </c>
      <c r="AV75" s="231">
        <v>4800</v>
      </c>
      <c r="AW75" s="232">
        <v>5400</v>
      </c>
      <c r="AX75" s="267">
        <v>3400</v>
      </c>
      <c r="AY75" s="252">
        <v>3400</v>
      </c>
      <c r="BA75" s="235"/>
      <c r="BB75" s="160" t="s">
        <v>182</v>
      </c>
      <c r="BC75" s="1556">
        <v>4700</v>
      </c>
      <c r="BD75" s="160" t="s">
        <v>182</v>
      </c>
      <c r="BE75" s="228">
        <v>1220</v>
      </c>
      <c r="BF75" s="226" t="s">
        <v>182</v>
      </c>
      <c r="BG75" s="226">
        <v>10</v>
      </c>
      <c r="BH75" s="217" t="s">
        <v>184</v>
      </c>
      <c r="BJ75" s="253"/>
      <c r="BK75" s="160" t="s">
        <v>188</v>
      </c>
      <c r="BL75" s="237" t="s">
        <v>317</v>
      </c>
      <c r="BM75" s="238" t="s">
        <v>317</v>
      </c>
      <c r="BN75" s="238" t="s">
        <v>317</v>
      </c>
      <c r="BO75" s="239" t="s">
        <v>317</v>
      </c>
      <c r="BP75" s="160" t="s">
        <v>188</v>
      </c>
      <c r="BQ75" s="228"/>
      <c r="BR75" s="229"/>
      <c r="BS75" s="229"/>
      <c r="BT75" s="240"/>
      <c r="BU75" s="160" t="s">
        <v>188</v>
      </c>
      <c r="BV75" s="228"/>
      <c r="BW75" s="229"/>
      <c r="BX75" s="229"/>
      <c r="BY75" s="229"/>
      <c r="BZ75" s="240"/>
      <c r="CA75" s="160" t="s">
        <v>188</v>
      </c>
      <c r="CB75" s="228"/>
      <c r="CC75" s="229"/>
      <c r="CD75" s="229"/>
      <c r="CE75" s="229"/>
      <c r="CF75" s="240"/>
      <c r="CH75" s="236" t="s">
        <v>324</v>
      </c>
    </row>
    <row r="76" spans="1:86">
      <c r="A76" s="1563"/>
      <c r="B76" s="168"/>
      <c r="C76" s="241"/>
      <c r="D76" s="177" t="s">
        <v>318</v>
      </c>
      <c r="F76" s="242">
        <v>39960</v>
      </c>
      <c r="G76" s="243">
        <v>103450</v>
      </c>
      <c r="H76" s="242">
        <v>37030</v>
      </c>
      <c r="I76" s="243">
        <v>100520</v>
      </c>
      <c r="J76" s="179" t="s">
        <v>182</v>
      </c>
      <c r="K76" s="244">
        <v>370</v>
      </c>
      <c r="L76" s="245">
        <v>920</v>
      </c>
      <c r="M76" s="246" t="s">
        <v>795</v>
      </c>
      <c r="N76" s="244">
        <v>340</v>
      </c>
      <c r="O76" s="245">
        <v>890</v>
      </c>
      <c r="P76" s="246" t="s">
        <v>795</v>
      </c>
      <c r="Q76" s="160" t="s">
        <v>182</v>
      </c>
      <c r="R76" s="187">
        <v>7890</v>
      </c>
      <c r="S76" s="176">
        <v>70</v>
      </c>
      <c r="T76" s="247" t="s">
        <v>184</v>
      </c>
      <c r="V76" s="182"/>
      <c r="W76" s="185"/>
      <c r="X76" s="176"/>
      <c r="Y76" s="185"/>
      <c r="Z76" s="176"/>
      <c r="AA76" s="176"/>
      <c r="AB76" s="177"/>
      <c r="AD76" s="281"/>
      <c r="AE76" s="281"/>
      <c r="AF76" s="176"/>
      <c r="AG76" s="176"/>
      <c r="AH76" s="177"/>
      <c r="AJ76" s="187"/>
      <c r="AK76" s="185"/>
      <c r="AL76" s="176"/>
      <c r="AM76" s="176"/>
      <c r="AN76" s="177"/>
      <c r="AP76" s="1551"/>
      <c r="AQ76" s="1554"/>
      <c r="AR76" s="1551"/>
      <c r="AS76" s="1554"/>
      <c r="AT76" s="1544"/>
      <c r="AU76" s="172" t="s">
        <v>699</v>
      </c>
      <c r="AV76" s="249">
        <v>2600</v>
      </c>
      <c r="AW76" s="250">
        <v>2900</v>
      </c>
      <c r="AX76" s="267">
        <v>1800</v>
      </c>
      <c r="AY76" s="252">
        <v>1800</v>
      </c>
      <c r="BA76" s="235"/>
      <c r="BC76" s="1557"/>
      <c r="BE76" s="187"/>
      <c r="BF76" s="176"/>
      <c r="BG76" s="176"/>
      <c r="BH76" s="177"/>
      <c r="BJ76" s="253"/>
      <c r="BL76" s="193"/>
      <c r="BM76" s="194"/>
      <c r="BN76" s="194"/>
      <c r="BO76" s="195"/>
      <c r="BQ76" s="187">
        <v>700</v>
      </c>
      <c r="BR76" s="185" t="s">
        <v>189</v>
      </c>
      <c r="BS76" s="185">
        <v>7</v>
      </c>
      <c r="BT76" s="254" t="s">
        <v>184</v>
      </c>
      <c r="BV76" s="187">
        <v>2630</v>
      </c>
      <c r="BW76" s="185" t="s">
        <v>189</v>
      </c>
      <c r="BX76" s="185">
        <v>20</v>
      </c>
      <c r="BY76" s="185" t="s">
        <v>184</v>
      </c>
      <c r="BZ76" s="254" t="s">
        <v>190</v>
      </c>
      <c r="CB76" s="187">
        <v>1730</v>
      </c>
      <c r="CC76" s="185" t="s">
        <v>189</v>
      </c>
      <c r="CD76" s="185">
        <v>10</v>
      </c>
      <c r="CE76" s="185" t="s">
        <v>184</v>
      </c>
      <c r="CF76" s="254" t="s">
        <v>190</v>
      </c>
      <c r="CH76" s="253"/>
    </row>
    <row r="77" spans="1:86">
      <c r="A77" s="1563"/>
      <c r="B77" s="168"/>
      <c r="C77" s="241" t="s">
        <v>319</v>
      </c>
      <c r="D77" s="177" t="s">
        <v>320</v>
      </c>
      <c r="F77" s="242">
        <v>103450</v>
      </c>
      <c r="G77" s="243">
        <v>182360</v>
      </c>
      <c r="H77" s="242">
        <v>100520</v>
      </c>
      <c r="I77" s="243">
        <v>179430</v>
      </c>
      <c r="J77" s="179" t="s">
        <v>182</v>
      </c>
      <c r="K77" s="244">
        <v>920</v>
      </c>
      <c r="L77" s="245">
        <v>1710</v>
      </c>
      <c r="M77" s="246" t="s">
        <v>795</v>
      </c>
      <c r="N77" s="244">
        <v>890</v>
      </c>
      <c r="O77" s="245">
        <v>1680</v>
      </c>
      <c r="P77" s="246" t="s">
        <v>795</v>
      </c>
      <c r="R77" s="182"/>
      <c r="S77" s="176"/>
      <c r="T77" s="177"/>
      <c r="V77" s="182"/>
      <c r="W77" s="185"/>
      <c r="X77" s="176"/>
      <c r="Y77" s="185"/>
      <c r="Z77" s="176"/>
      <c r="AA77" s="176"/>
      <c r="AB77" s="177"/>
      <c r="AD77" s="281"/>
      <c r="AE77" s="281"/>
      <c r="AF77" s="176"/>
      <c r="AG77" s="176"/>
      <c r="AH77" s="177"/>
      <c r="AJ77" s="187"/>
      <c r="AK77" s="185"/>
      <c r="AL77" s="176"/>
      <c r="AM77" s="176"/>
      <c r="AN77" s="177"/>
      <c r="AP77" s="1551"/>
      <c r="AQ77" s="1554"/>
      <c r="AR77" s="1551"/>
      <c r="AS77" s="1554"/>
      <c r="AT77" s="1544"/>
      <c r="AU77" s="172" t="s">
        <v>700</v>
      </c>
      <c r="AV77" s="249">
        <v>2300</v>
      </c>
      <c r="AW77" s="250">
        <v>2500</v>
      </c>
      <c r="AX77" s="267">
        <v>1600</v>
      </c>
      <c r="AY77" s="252">
        <v>1600</v>
      </c>
      <c r="BA77" s="235"/>
      <c r="BC77" s="359"/>
      <c r="BE77" s="187"/>
      <c r="BF77" s="176"/>
      <c r="BG77" s="176"/>
      <c r="BH77" s="177"/>
      <c r="BJ77" s="253"/>
      <c r="BL77" s="193">
        <v>0.01</v>
      </c>
      <c r="BM77" s="194">
        <v>0.03</v>
      </c>
      <c r="BN77" s="194">
        <v>0.04</v>
      </c>
      <c r="BO77" s="195">
        <v>0.06</v>
      </c>
      <c r="BQ77" s="187"/>
      <c r="BR77" s="185"/>
      <c r="BS77" s="185"/>
      <c r="BT77" s="254"/>
      <c r="BV77" s="187"/>
      <c r="BW77" s="185"/>
      <c r="BX77" s="185"/>
      <c r="BY77" s="185"/>
      <c r="BZ77" s="254"/>
      <c r="CB77" s="187"/>
      <c r="CC77" s="185"/>
      <c r="CD77" s="185"/>
      <c r="CE77" s="185"/>
      <c r="CF77" s="254"/>
      <c r="CH77" s="253">
        <v>0.99</v>
      </c>
    </row>
    <row r="78" spans="1:86">
      <c r="A78" s="1563"/>
      <c r="B78" s="269"/>
      <c r="C78" s="270"/>
      <c r="D78" s="184" t="s">
        <v>322</v>
      </c>
      <c r="F78" s="256">
        <v>182360</v>
      </c>
      <c r="G78" s="257"/>
      <c r="H78" s="256">
        <v>179430</v>
      </c>
      <c r="I78" s="257"/>
      <c r="J78" s="179" t="s">
        <v>182</v>
      </c>
      <c r="K78" s="258">
        <v>1710</v>
      </c>
      <c r="L78" s="259"/>
      <c r="M78" s="260" t="s">
        <v>795</v>
      </c>
      <c r="N78" s="258">
        <v>1680</v>
      </c>
      <c r="O78" s="259"/>
      <c r="P78" s="260" t="s">
        <v>795</v>
      </c>
      <c r="R78" s="183"/>
      <c r="S78" s="271"/>
      <c r="T78" s="184"/>
      <c r="V78" s="183"/>
      <c r="W78" s="196"/>
      <c r="X78" s="271"/>
      <c r="Y78" s="196"/>
      <c r="Z78" s="271"/>
      <c r="AA78" s="271"/>
      <c r="AB78" s="184"/>
      <c r="AD78" s="281"/>
      <c r="AE78" s="281"/>
      <c r="AF78" s="176"/>
      <c r="AG78" s="176"/>
      <c r="AH78" s="177"/>
      <c r="AJ78" s="187"/>
      <c r="AK78" s="185"/>
      <c r="AL78" s="176"/>
      <c r="AM78" s="176"/>
      <c r="AN78" s="177"/>
      <c r="AP78" s="1552"/>
      <c r="AQ78" s="1555"/>
      <c r="AR78" s="1552"/>
      <c r="AS78" s="1555"/>
      <c r="AT78" s="1544"/>
      <c r="AU78" s="262" t="s">
        <v>701</v>
      </c>
      <c r="AV78" s="263">
        <v>2000</v>
      </c>
      <c r="AW78" s="264">
        <v>2300</v>
      </c>
      <c r="AX78" s="265">
        <v>1400</v>
      </c>
      <c r="AY78" s="266">
        <v>1400</v>
      </c>
      <c r="BA78" s="282"/>
      <c r="BC78" s="359"/>
      <c r="BE78" s="186"/>
      <c r="BF78" s="271"/>
      <c r="BG78" s="271"/>
      <c r="BH78" s="184"/>
      <c r="BJ78" s="198"/>
      <c r="BL78" s="272"/>
      <c r="BM78" s="273"/>
      <c r="BN78" s="273"/>
      <c r="BO78" s="274"/>
      <c r="BQ78" s="186"/>
      <c r="BR78" s="196"/>
      <c r="BS78" s="196"/>
      <c r="BT78" s="197"/>
      <c r="BV78" s="186"/>
      <c r="BW78" s="196"/>
      <c r="BX78" s="196"/>
      <c r="BY78" s="196"/>
      <c r="BZ78" s="197"/>
      <c r="CB78" s="186"/>
      <c r="CC78" s="196"/>
      <c r="CD78" s="196"/>
      <c r="CE78" s="196"/>
      <c r="CF78" s="197"/>
      <c r="CH78" s="198"/>
    </row>
    <row r="79" spans="1:86" ht="63">
      <c r="A79" s="1563" t="s">
        <v>226</v>
      </c>
      <c r="B79" s="168" t="s">
        <v>345</v>
      </c>
      <c r="C79" s="241" t="s">
        <v>313</v>
      </c>
      <c r="D79" s="177" t="s">
        <v>314</v>
      </c>
      <c r="F79" s="218">
        <v>238890</v>
      </c>
      <c r="G79" s="219">
        <v>246540</v>
      </c>
      <c r="H79" s="218">
        <v>187420</v>
      </c>
      <c r="I79" s="219">
        <v>195070</v>
      </c>
      <c r="J79" s="179" t="s">
        <v>182</v>
      </c>
      <c r="K79" s="220">
        <v>2370</v>
      </c>
      <c r="L79" s="221">
        <v>2440</v>
      </c>
      <c r="M79" s="222" t="s">
        <v>795</v>
      </c>
      <c r="N79" s="220">
        <v>1850</v>
      </c>
      <c r="O79" s="221">
        <v>1920</v>
      </c>
      <c r="P79" s="222" t="s">
        <v>795</v>
      </c>
      <c r="Q79" s="160" t="s">
        <v>182</v>
      </c>
      <c r="R79" s="275">
        <v>7650</v>
      </c>
      <c r="S79" s="276">
        <v>70</v>
      </c>
      <c r="T79" s="247" t="s">
        <v>184</v>
      </c>
      <c r="U79" s="160" t="s">
        <v>182</v>
      </c>
      <c r="V79" s="1576" t="s">
        <v>315</v>
      </c>
      <c r="W79" s="1577"/>
      <c r="X79" s="226" t="s">
        <v>182</v>
      </c>
      <c r="Y79" s="1577" t="s">
        <v>315</v>
      </c>
      <c r="Z79" s="1577"/>
      <c r="AA79" s="226"/>
      <c r="AB79" s="217"/>
      <c r="AC79" s="160" t="s">
        <v>182</v>
      </c>
      <c r="AD79" s="1546">
        <v>54290</v>
      </c>
      <c r="AE79" s="227"/>
      <c r="AF79" s="226" t="s">
        <v>182</v>
      </c>
      <c r="AG79" s="226">
        <v>470</v>
      </c>
      <c r="AH79" s="217" t="s">
        <v>184</v>
      </c>
      <c r="AI79" s="160" t="s">
        <v>182</v>
      </c>
      <c r="AJ79" s="228" t="s">
        <v>186</v>
      </c>
      <c r="AK79" s="229"/>
      <c r="AL79" s="226" t="s">
        <v>182</v>
      </c>
      <c r="AM79" s="226">
        <v>310</v>
      </c>
      <c r="AN79" s="217" t="s">
        <v>316</v>
      </c>
      <c r="AO79" s="160" t="s">
        <v>182</v>
      </c>
      <c r="AP79" s="1550">
        <v>15800</v>
      </c>
      <c r="AQ79" s="1553">
        <v>17400</v>
      </c>
      <c r="AR79" s="1550">
        <v>11000</v>
      </c>
      <c r="AS79" s="1553">
        <v>11000</v>
      </c>
      <c r="AT79" s="1544" t="s">
        <v>664</v>
      </c>
      <c r="AU79" s="230" t="s">
        <v>697</v>
      </c>
      <c r="AV79" s="231">
        <v>31600</v>
      </c>
      <c r="AW79" s="232">
        <v>35200</v>
      </c>
      <c r="AX79" s="233">
        <v>22100</v>
      </c>
      <c r="AY79" s="234">
        <v>22100</v>
      </c>
      <c r="AZ79" s="160" t="s">
        <v>182</v>
      </c>
      <c r="BA79" s="235"/>
      <c r="BB79" s="160" t="s">
        <v>182</v>
      </c>
      <c r="BC79" s="1556">
        <v>4700</v>
      </c>
      <c r="BD79" s="160" t="s">
        <v>182</v>
      </c>
      <c r="BE79" s="187">
        <v>21840</v>
      </c>
      <c r="BF79" s="176" t="s">
        <v>182</v>
      </c>
      <c r="BG79" s="176">
        <v>210</v>
      </c>
      <c r="BH79" s="177" t="s">
        <v>184</v>
      </c>
      <c r="BI79" s="160" t="s">
        <v>188</v>
      </c>
      <c r="BJ79" s="253"/>
      <c r="BK79" s="160" t="s">
        <v>188</v>
      </c>
      <c r="BL79" s="193" t="s">
        <v>317</v>
      </c>
      <c r="BM79" s="194" t="s">
        <v>317</v>
      </c>
      <c r="BN79" s="194" t="s">
        <v>317</v>
      </c>
      <c r="BO79" s="195" t="s">
        <v>317</v>
      </c>
      <c r="BP79" s="160" t="s">
        <v>188</v>
      </c>
      <c r="BQ79" s="187"/>
      <c r="BR79" s="185"/>
      <c r="BS79" s="185"/>
      <c r="BT79" s="254"/>
      <c r="BU79" s="160" t="s">
        <v>188</v>
      </c>
      <c r="BV79" s="187"/>
      <c r="BW79" s="185"/>
      <c r="BX79" s="185"/>
      <c r="BY79" s="185"/>
      <c r="BZ79" s="254"/>
      <c r="CA79" s="160" t="s">
        <v>188</v>
      </c>
      <c r="CB79" s="187"/>
      <c r="CC79" s="185"/>
      <c r="CD79" s="185"/>
      <c r="CE79" s="185"/>
      <c r="CF79" s="254"/>
      <c r="CH79" s="253" t="s">
        <v>324</v>
      </c>
    </row>
    <row r="80" spans="1:86">
      <c r="A80" s="1563"/>
      <c r="B80" s="168"/>
      <c r="C80" s="241"/>
      <c r="D80" s="177" t="s">
        <v>318</v>
      </c>
      <c r="F80" s="242">
        <v>246540</v>
      </c>
      <c r="G80" s="243">
        <v>308380</v>
      </c>
      <c r="H80" s="242">
        <v>195070</v>
      </c>
      <c r="I80" s="243">
        <v>256910</v>
      </c>
      <c r="J80" s="179" t="s">
        <v>182</v>
      </c>
      <c r="K80" s="244">
        <v>2440</v>
      </c>
      <c r="L80" s="245">
        <v>2970</v>
      </c>
      <c r="M80" s="246" t="s">
        <v>795</v>
      </c>
      <c r="N80" s="244">
        <v>1920</v>
      </c>
      <c r="O80" s="245">
        <v>2450</v>
      </c>
      <c r="P80" s="246" t="s">
        <v>795</v>
      </c>
      <c r="Q80" s="160" t="s">
        <v>182</v>
      </c>
      <c r="R80" s="187">
        <v>7650</v>
      </c>
      <c r="S80" s="185">
        <v>70</v>
      </c>
      <c r="T80" s="247" t="s">
        <v>184</v>
      </c>
      <c r="V80" s="1578"/>
      <c r="W80" s="1579"/>
      <c r="X80" s="176"/>
      <c r="Y80" s="1579"/>
      <c r="Z80" s="1579"/>
      <c r="AA80" s="176"/>
      <c r="AB80" s="177"/>
      <c r="AD80" s="1547"/>
      <c r="AE80" s="248">
        <v>52560</v>
      </c>
      <c r="AF80" s="176"/>
      <c r="AG80" s="176"/>
      <c r="AH80" s="177"/>
      <c r="AJ80" s="187"/>
      <c r="AK80" s="185"/>
      <c r="AL80" s="176"/>
      <c r="AM80" s="176"/>
      <c r="AN80" s="177"/>
      <c r="AP80" s="1551"/>
      <c r="AQ80" s="1554"/>
      <c r="AR80" s="1551"/>
      <c r="AS80" s="1554"/>
      <c r="AT80" s="1544"/>
      <c r="AU80" s="172" t="s">
        <v>699</v>
      </c>
      <c r="AV80" s="249">
        <v>17400</v>
      </c>
      <c r="AW80" s="250">
        <v>19400</v>
      </c>
      <c r="AX80" s="251">
        <v>12200</v>
      </c>
      <c r="AY80" s="252">
        <v>12200</v>
      </c>
      <c r="BA80" s="235"/>
      <c r="BC80" s="1557"/>
      <c r="BE80" s="187"/>
      <c r="BF80" s="176"/>
      <c r="BG80" s="176"/>
      <c r="BH80" s="177"/>
      <c r="BJ80" s="253"/>
      <c r="BL80" s="193"/>
      <c r="BM80" s="194"/>
      <c r="BN80" s="194"/>
      <c r="BO80" s="195"/>
      <c r="BQ80" s="187">
        <v>12720</v>
      </c>
      <c r="BR80" s="185" t="s">
        <v>189</v>
      </c>
      <c r="BS80" s="185">
        <v>120</v>
      </c>
      <c r="BT80" s="254" t="s">
        <v>184</v>
      </c>
      <c r="BV80" s="187">
        <v>45920</v>
      </c>
      <c r="BW80" s="185" t="s">
        <v>189</v>
      </c>
      <c r="BX80" s="185">
        <v>450</v>
      </c>
      <c r="BY80" s="185" t="s">
        <v>184</v>
      </c>
      <c r="BZ80" s="254" t="s">
        <v>190</v>
      </c>
      <c r="CB80" s="187">
        <v>29780</v>
      </c>
      <c r="CC80" s="185" t="s">
        <v>189</v>
      </c>
      <c r="CD80" s="185">
        <v>290</v>
      </c>
      <c r="CE80" s="185" t="s">
        <v>184</v>
      </c>
      <c r="CF80" s="254" t="s">
        <v>190</v>
      </c>
      <c r="CH80" s="253"/>
    </row>
    <row r="81" spans="1:86">
      <c r="A81" s="1563"/>
      <c r="B81" s="168"/>
      <c r="C81" s="241" t="s">
        <v>319</v>
      </c>
      <c r="D81" s="177" t="s">
        <v>320</v>
      </c>
      <c r="F81" s="242">
        <v>308380</v>
      </c>
      <c r="G81" s="243">
        <v>384910</v>
      </c>
      <c r="H81" s="242">
        <v>256910</v>
      </c>
      <c r="I81" s="243">
        <v>333440</v>
      </c>
      <c r="J81" s="179" t="s">
        <v>182</v>
      </c>
      <c r="K81" s="244">
        <v>2970</v>
      </c>
      <c r="L81" s="245">
        <v>3730</v>
      </c>
      <c r="M81" s="246" t="s">
        <v>795</v>
      </c>
      <c r="N81" s="244">
        <v>2450</v>
      </c>
      <c r="O81" s="245">
        <v>3210</v>
      </c>
      <c r="P81" s="246" t="s">
        <v>795</v>
      </c>
      <c r="R81" s="182"/>
      <c r="S81" s="176"/>
      <c r="T81" s="177"/>
      <c r="V81" s="1578"/>
      <c r="W81" s="1579"/>
      <c r="X81" s="176"/>
      <c r="Y81" s="1579"/>
      <c r="Z81" s="1579"/>
      <c r="AA81" s="176"/>
      <c r="AB81" s="177"/>
      <c r="AC81" s="160" t="s">
        <v>182</v>
      </c>
      <c r="AD81" s="1548">
        <v>52560</v>
      </c>
      <c r="AE81" s="255"/>
      <c r="AF81" s="176"/>
      <c r="AG81" s="176"/>
      <c r="AH81" s="177"/>
      <c r="AJ81" s="187">
        <v>31510</v>
      </c>
      <c r="AK81" s="185" t="s">
        <v>321</v>
      </c>
      <c r="AL81" s="176"/>
      <c r="AM81" s="176"/>
      <c r="AN81" s="177"/>
      <c r="AP81" s="1551"/>
      <c r="AQ81" s="1554"/>
      <c r="AR81" s="1551"/>
      <c r="AS81" s="1554"/>
      <c r="AT81" s="1544"/>
      <c r="AU81" s="172" t="s">
        <v>700</v>
      </c>
      <c r="AV81" s="249">
        <v>15200</v>
      </c>
      <c r="AW81" s="250">
        <v>16900</v>
      </c>
      <c r="AX81" s="251">
        <v>10600</v>
      </c>
      <c r="AY81" s="252">
        <v>10600</v>
      </c>
      <c r="BA81" s="235"/>
      <c r="BC81" s="358"/>
      <c r="BE81" s="187"/>
      <c r="BF81" s="176"/>
      <c r="BG81" s="176"/>
      <c r="BH81" s="177"/>
      <c r="BJ81" s="253"/>
      <c r="BL81" s="193">
        <v>0.01</v>
      </c>
      <c r="BM81" s="194">
        <v>0.02</v>
      </c>
      <c r="BN81" s="194">
        <v>0.03</v>
      </c>
      <c r="BO81" s="195">
        <v>0.05</v>
      </c>
      <c r="BQ81" s="187"/>
      <c r="BR81" s="185"/>
      <c r="BS81" s="185"/>
      <c r="BT81" s="254"/>
      <c r="BV81" s="187"/>
      <c r="BW81" s="185"/>
      <c r="BX81" s="185"/>
      <c r="BY81" s="185"/>
      <c r="BZ81" s="254"/>
      <c r="CB81" s="187"/>
      <c r="CC81" s="185"/>
      <c r="CD81" s="185"/>
      <c r="CE81" s="185"/>
      <c r="CF81" s="254"/>
      <c r="CH81" s="253">
        <v>0.61</v>
      </c>
    </row>
    <row r="82" spans="1:86">
      <c r="A82" s="1563"/>
      <c r="B82" s="168"/>
      <c r="C82" s="241"/>
      <c r="D82" s="177" t="s">
        <v>322</v>
      </c>
      <c r="F82" s="256">
        <v>384910</v>
      </c>
      <c r="G82" s="257"/>
      <c r="H82" s="256">
        <v>333440</v>
      </c>
      <c r="I82" s="257"/>
      <c r="J82" s="179" t="s">
        <v>182</v>
      </c>
      <c r="K82" s="258">
        <v>3730</v>
      </c>
      <c r="L82" s="259"/>
      <c r="M82" s="260" t="s">
        <v>795</v>
      </c>
      <c r="N82" s="258">
        <v>3210</v>
      </c>
      <c r="O82" s="259"/>
      <c r="P82" s="260" t="s">
        <v>795</v>
      </c>
      <c r="R82" s="182"/>
      <c r="S82" s="176"/>
      <c r="T82" s="177"/>
      <c r="V82" s="1578"/>
      <c r="W82" s="1579"/>
      <c r="X82" s="176"/>
      <c r="Y82" s="1579"/>
      <c r="Z82" s="1579"/>
      <c r="AA82" s="176"/>
      <c r="AB82" s="177"/>
      <c r="AD82" s="1549"/>
      <c r="AE82" s="261"/>
      <c r="AF82" s="271"/>
      <c r="AG82" s="271"/>
      <c r="AH82" s="184"/>
      <c r="AJ82" s="187"/>
      <c r="AK82" s="185"/>
      <c r="AL82" s="176"/>
      <c r="AM82" s="176"/>
      <c r="AN82" s="177"/>
      <c r="AP82" s="1552"/>
      <c r="AQ82" s="1555"/>
      <c r="AR82" s="1552"/>
      <c r="AS82" s="1555"/>
      <c r="AT82" s="1544"/>
      <c r="AU82" s="262" t="s">
        <v>701</v>
      </c>
      <c r="AV82" s="263">
        <v>13600</v>
      </c>
      <c r="AW82" s="264">
        <v>15100</v>
      </c>
      <c r="AX82" s="265">
        <v>9500</v>
      </c>
      <c r="AY82" s="266">
        <v>9500</v>
      </c>
      <c r="BA82" s="235"/>
      <c r="BC82" s="359"/>
      <c r="BE82" s="187"/>
      <c r="BF82" s="176"/>
      <c r="BG82" s="176"/>
      <c r="BH82" s="177"/>
      <c r="BJ82" s="253"/>
      <c r="BL82" s="193"/>
      <c r="BM82" s="194"/>
      <c r="BN82" s="194"/>
      <c r="BO82" s="195"/>
      <c r="BQ82" s="187"/>
      <c r="BR82" s="185"/>
      <c r="BS82" s="185"/>
      <c r="BT82" s="254"/>
      <c r="BV82" s="187"/>
      <c r="BW82" s="185"/>
      <c r="BX82" s="185"/>
      <c r="BY82" s="185"/>
      <c r="BZ82" s="254"/>
      <c r="CB82" s="187"/>
      <c r="CC82" s="185"/>
      <c r="CD82" s="185"/>
      <c r="CE82" s="185"/>
      <c r="CF82" s="254"/>
      <c r="CH82" s="253"/>
    </row>
    <row r="83" spans="1:86" ht="63">
      <c r="A83" s="1563"/>
      <c r="B83" s="215" t="s">
        <v>323</v>
      </c>
      <c r="C83" s="216" t="s">
        <v>313</v>
      </c>
      <c r="D83" s="217" t="s">
        <v>314</v>
      </c>
      <c r="F83" s="218">
        <v>129670</v>
      </c>
      <c r="G83" s="219">
        <v>137320</v>
      </c>
      <c r="H83" s="218">
        <v>103940</v>
      </c>
      <c r="I83" s="219">
        <v>111590</v>
      </c>
      <c r="J83" s="179" t="s">
        <v>182</v>
      </c>
      <c r="K83" s="220">
        <v>1270</v>
      </c>
      <c r="L83" s="221">
        <v>1340</v>
      </c>
      <c r="M83" s="222" t="s">
        <v>795</v>
      </c>
      <c r="N83" s="220">
        <v>1020</v>
      </c>
      <c r="O83" s="221">
        <v>1090</v>
      </c>
      <c r="P83" s="222" t="s">
        <v>795</v>
      </c>
      <c r="Q83" s="160" t="s">
        <v>182</v>
      </c>
      <c r="R83" s="223">
        <v>7650</v>
      </c>
      <c r="S83" s="224">
        <v>70</v>
      </c>
      <c r="T83" s="225" t="s">
        <v>184</v>
      </c>
      <c r="V83" s="1578"/>
      <c r="W83" s="1579"/>
      <c r="X83" s="176"/>
      <c r="Y83" s="1579"/>
      <c r="Z83" s="1579"/>
      <c r="AA83" s="176"/>
      <c r="AB83" s="177"/>
      <c r="AC83" s="160" t="s">
        <v>182</v>
      </c>
      <c r="AD83" s="1546">
        <v>30600</v>
      </c>
      <c r="AE83" s="227"/>
      <c r="AF83" s="176" t="s">
        <v>182</v>
      </c>
      <c r="AG83" s="176">
        <v>230</v>
      </c>
      <c r="AH83" s="177" t="s">
        <v>184</v>
      </c>
      <c r="AJ83" s="187" t="s">
        <v>194</v>
      </c>
      <c r="AK83" s="185"/>
      <c r="AL83" s="176" t="s">
        <v>182</v>
      </c>
      <c r="AM83" s="176">
        <v>180</v>
      </c>
      <c r="AN83" s="177" t="s">
        <v>316</v>
      </c>
      <c r="AO83" s="160" t="s">
        <v>182</v>
      </c>
      <c r="AP83" s="1550">
        <v>7900</v>
      </c>
      <c r="AQ83" s="1553">
        <v>8700</v>
      </c>
      <c r="AR83" s="1550">
        <v>5500</v>
      </c>
      <c r="AS83" s="1553">
        <v>5500</v>
      </c>
      <c r="AT83" s="1544" t="s">
        <v>664</v>
      </c>
      <c r="AU83" s="230" t="s">
        <v>697</v>
      </c>
      <c r="AV83" s="231">
        <v>15800</v>
      </c>
      <c r="AW83" s="232">
        <v>17600</v>
      </c>
      <c r="AX83" s="267">
        <v>11000</v>
      </c>
      <c r="AY83" s="252">
        <v>11000</v>
      </c>
      <c r="BA83" s="235"/>
      <c r="BB83" s="160" t="s">
        <v>182</v>
      </c>
      <c r="BC83" s="1556">
        <v>4700</v>
      </c>
      <c r="BD83" s="160" t="s">
        <v>182</v>
      </c>
      <c r="BE83" s="228">
        <v>10920</v>
      </c>
      <c r="BF83" s="226" t="s">
        <v>182</v>
      </c>
      <c r="BG83" s="226">
        <v>100</v>
      </c>
      <c r="BH83" s="217" t="s">
        <v>184</v>
      </c>
      <c r="BJ83" s="253"/>
      <c r="BK83" s="160" t="s">
        <v>188</v>
      </c>
      <c r="BL83" s="237" t="s">
        <v>317</v>
      </c>
      <c r="BM83" s="238" t="s">
        <v>317</v>
      </c>
      <c r="BN83" s="238" t="s">
        <v>317</v>
      </c>
      <c r="BO83" s="239" t="s">
        <v>317</v>
      </c>
      <c r="BP83" s="160" t="s">
        <v>188</v>
      </c>
      <c r="BQ83" s="228"/>
      <c r="BR83" s="229"/>
      <c r="BS83" s="229"/>
      <c r="BT83" s="240"/>
      <c r="BU83" s="160" t="s">
        <v>188</v>
      </c>
      <c r="BV83" s="228"/>
      <c r="BW83" s="229"/>
      <c r="BX83" s="229"/>
      <c r="BY83" s="229"/>
      <c r="BZ83" s="240"/>
      <c r="CA83" s="160" t="s">
        <v>188</v>
      </c>
      <c r="CB83" s="228"/>
      <c r="CC83" s="229"/>
      <c r="CD83" s="229"/>
      <c r="CE83" s="229"/>
      <c r="CF83" s="240"/>
      <c r="CH83" s="236" t="s">
        <v>324</v>
      </c>
    </row>
    <row r="84" spans="1:86">
      <c r="A84" s="1563"/>
      <c r="B84" s="168"/>
      <c r="C84" s="241"/>
      <c r="D84" s="177" t="s">
        <v>318</v>
      </c>
      <c r="F84" s="242">
        <v>137320</v>
      </c>
      <c r="G84" s="243">
        <v>199160</v>
      </c>
      <c r="H84" s="242">
        <v>111590</v>
      </c>
      <c r="I84" s="243">
        <v>173430</v>
      </c>
      <c r="J84" s="179" t="s">
        <v>182</v>
      </c>
      <c r="K84" s="244">
        <v>1340</v>
      </c>
      <c r="L84" s="245">
        <v>1880</v>
      </c>
      <c r="M84" s="246" t="s">
        <v>795</v>
      </c>
      <c r="N84" s="244">
        <v>1090</v>
      </c>
      <c r="O84" s="245">
        <v>1620</v>
      </c>
      <c r="P84" s="246" t="s">
        <v>795</v>
      </c>
      <c r="Q84" s="160" t="s">
        <v>182</v>
      </c>
      <c r="R84" s="187">
        <v>7650</v>
      </c>
      <c r="S84" s="185">
        <v>70</v>
      </c>
      <c r="T84" s="247" t="s">
        <v>184</v>
      </c>
      <c r="V84" s="1578"/>
      <c r="W84" s="1579"/>
      <c r="X84" s="176"/>
      <c r="Y84" s="1579"/>
      <c r="Z84" s="1579"/>
      <c r="AA84" s="176"/>
      <c r="AB84" s="177"/>
      <c r="AD84" s="1547"/>
      <c r="AE84" s="248">
        <v>28870</v>
      </c>
      <c r="AF84" s="176"/>
      <c r="AG84" s="176"/>
      <c r="AH84" s="177"/>
      <c r="AJ84" s="187"/>
      <c r="AK84" s="185"/>
      <c r="AL84" s="176"/>
      <c r="AM84" s="176"/>
      <c r="AN84" s="177"/>
      <c r="AP84" s="1551"/>
      <c r="AQ84" s="1554"/>
      <c r="AR84" s="1551"/>
      <c r="AS84" s="1554"/>
      <c r="AT84" s="1544"/>
      <c r="AU84" s="172" t="s">
        <v>699</v>
      </c>
      <c r="AV84" s="249">
        <v>8700</v>
      </c>
      <c r="AW84" s="250">
        <v>9700</v>
      </c>
      <c r="AX84" s="267">
        <v>6100</v>
      </c>
      <c r="AY84" s="252">
        <v>6100</v>
      </c>
      <c r="BA84" s="235"/>
      <c r="BC84" s="1557"/>
      <c r="BE84" s="187"/>
      <c r="BF84" s="176"/>
      <c r="BG84" s="176"/>
      <c r="BH84" s="177"/>
      <c r="BJ84" s="253"/>
      <c r="BL84" s="193"/>
      <c r="BM84" s="194"/>
      <c r="BN84" s="194"/>
      <c r="BO84" s="195"/>
      <c r="BQ84" s="187">
        <v>6360</v>
      </c>
      <c r="BR84" s="185" t="s">
        <v>189</v>
      </c>
      <c r="BS84" s="185">
        <v>60</v>
      </c>
      <c r="BT84" s="254" t="s">
        <v>184</v>
      </c>
      <c r="BV84" s="187">
        <v>22960</v>
      </c>
      <c r="BW84" s="185" t="s">
        <v>189</v>
      </c>
      <c r="BX84" s="185">
        <v>230</v>
      </c>
      <c r="BY84" s="185" t="s">
        <v>184</v>
      </c>
      <c r="BZ84" s="254" t="s">
        <v>190</v>
      </c>
      <c r="CB84" s="187">
        <v>14890</v>
      </c>
      <c r="CC84" s="185" t="s">
        <v>189</v>
      </c>
      <c r="CD84" s="185">
        <v>140</v>
      </c>
      <c r="CE84" s="185" t="s">
        <v>184</v>
      </c>
      <c r="CF84" s="254" t="s">
        <v>190</v>
      </c>
      <c r="CH84" s="253"/>
    </row>
    <row r="85" spans="1:86">
      <c r="A85" s="1563"/>
      <c r="B85" s="168"/>
      <c r="C85" s="241" t="s">
        <v>319</v>
      </c>
      <c r="D85" s="177" t="s">
        <v>320</v>
      </c>
      <c r="F85" s="242">
        <v>199160</v>
      </c>
      <c r="G85" s="243">
        <v>275690</v>
      </c>
      <c r="H85" s="242">
        <v>173430</v>
      </c>
      <c r="I85" s="243">
        <v>249960</v>
      </c>
      <c r="J85" s="179" t="s">
        <v>182</v>
      </c>
      <c r="K85" s="244">
        <v>1880</v>
      </c>
      <c r="L85" s="245">
        <v>2640</v>
      </c>
      <c r="M85" s="246" t="s">
        <v>795</v>
      </c>
      <c r="N85" s="244">
        <v>1620</v>
      </c>
      <c r="O85" s="245">
        <v>2380</v>
      </c>
      <c r="P85" s="246" t="s">
        <v>795</v>
      </c>
      <c r="R85" s="182"/>
      <c r="S85" s="176"/>
      <c r="T85" s="177"/>
      <c r="V85" s="1578"/>
      <c r="W85" s="1579"/>
      <c r="X85" s="176"/>
      <c r="Y85" s="1579"/>
      <c r="Z85" s="1579"/>
      <c r="AA85" s="176"/>
      <c r="AB85" s="177"/>
      <c r="AC85" s="160" t="s">
        <v>182</v>
      </c>
      <c r="AD85" s="1548">
        <v>28870</v>
      </c>
      <c r="AE85" s="255"/>
      <c r="AF85" s="176"/>
      <c r="AG85" s="176"/>
      <c r="AH85" s="177"/>
      <c r="AJ85" s="187">
        <v>18910</v>
      </c>
      <c r="AK85" s="185" t="s">
        <v>321</v>
      </c>
      <c r="AL85" s="176"/>
      <c r="AM85" s="176"/>
      <c r="AN85" s="177"/>
      <c r="AP85" s="1551"/>
      <c r="AQ85" s="1554"/>
      <c r="AR85" s="1551"/>
      <c r="AS85" s="1554"/>
      <c r="AT85" s="1544"/>
      <c r="AU85" s="172" t="s">
        <v>700</v>
      </c>
      <c r="AV85" s="249">
        <v>7600</v>
      </c>
      <c r="AW85" s="250">
        <v>8400</v>
      </c>
      <c r="AX85" s="267">
        <v>5300</v>
      </c>
      <c r="AY85" s="252">
        <v>5300</v>
      </c>
      <c r="BA85" s="268"/>
      <c r="BC85" s="359"/>
      <c r="BE85" s="187"/>
      <c r="BF85" s="176"/>
      <c r="BG85" s="176"/>
      <c r="BH85" s="177"/>
      <c r="BJ85" s="253"/>
      <c r="BL85" s="193">
        <v>0.01</v>
      </c>
      <c r="BM85" s="194">
        <v>0.03</v>
      </c>
      <c r="BN85" s="194">
        <v>0.04</v>
      </c>
      <c r="BO85" s="195">
        <v>0.05</v>
      </c>
      <c r="BQ85" s="187"/>
      <c r="BR85" s="185"/>
      <c r="BS85" s="185"/>
      <c r="BT85" s="254"/>
      <c r="BV85" s="187"/>
      <c r="BW85" s="185"/>
      <c r="BX85" s="185"/>
      <c r="BY85" s="185"/>
      <c r="BZ85" s="254"/>
      <c r="CB85" s="187"/>
      <c r="CC85" s="185"/>
      <c r="CD85" s="185"/>
      <c r="CE85" s="185"/>
      <c r="CF85" s="254"/>
      <c r="CH85" s="253">
        <v>0.79</v>
      </c>
    </row>
    <row r="86" spans="1:86">
      <c r="A86" s="1563"/>
      <c r="B86" s="269"/>
      <c r="C86" s="270"/>
      <c r="D86" s="184" t="s">
        <v>322</v>
      </c>
      <c r="F86" s="256">
        <v>275690</v>
      </c>
      <c r="G86" s="257"/>
      <c r="H86" s="256">
        <v>249960</v>
      </c>
      <c r="I86" s="257"/>
      <c r="J86" s="179" t="s">
        <v>182</v>
      </c>
      <c r="K86" s="258">
        <v>2640</v>
      </c>
      <c r="L86" s="259"/>
      <c r="M86" s="260" t="s">
        <v>795</v>
      </c>
      <c r="N86" s="258">
        <v>2380</v>
      </c>
      <c r="O86" s="259"/>
      <c r="P86" s="260" t="s">
        <v>795</v>
      </c>
      <c r="R86" s="183"/>
      <c r="S86" s="271"/>
      <c r="T86" s="184"/>
      <c r="V86" s="1578"/>
      <c r="W86" s="1579"/>
      <c r="X86" s="176"/>
      <c r="Y86" s="1579"/>
      <c r="Z86" s="1579"/>
      <c r="AA86" s="176"/>
      <c r="AB86" s="177"/>
      <c r="AD86" s="1549"/>
      <c r="AE86" s="261"/>
      <c r="AF86" s="176"/>
      <c r="AG86" s="176"/>
      <c r="AH86" s="177"/>
      <c r="AJ86" s="187"/>
      <c r="AK86" s="185"/>
      <c r="AL86" s="176"/>
      <c r="AM86" s="176"/>
      <c r="AN86" s="177"/>
      <c r="AP86" s="1552"/>
      <c r="AQ86" s="1555"/>
      <c r="AR86" s="1552"/>
      <c r="AS86" s="1555"/>
      <c r="AT86" s="1544"/>
      <c r="AU86" s="262" t="s">
        <v>701</v>
      </c>
      <c r="AV86" s="263">
        <v>6800</v>
      </c>
      <c r="AW86" s="264">
        <v>7500</v>
      </c>
      <c r="AX86" s="265">
        <v>4700</v>
      </c>
      <c r="AY86" s="266">
        <v>4700</v>
      </c>
      <c r="BA86" s="268"/>
      <c r="BC86" s="359"/>
      <c r="BE86" s="186"/>
      <c r="BF86" s="271"/>
      <c r="BG86" s="271"/>
      <c r="BH86" s="184"/>
      <c r="BJ86" s="253"/>
      <c r="BL86" s="272"/>
      <c r="BM86" s="273"/>
      <c r="BN86" s="273"/>
      <c r="BO86" s="274"/>
      <c r="BQ86" s="186"/>
      <c r="BR86" s="196"/>
      <c r="BS86" s="196"/>
      <c r="BT86" s="197"/>
      <c r="BV86" s="186"/>
      <c r="BW86" s="196"/>
      <c r="BX86" s="196"/>
      <c r="BY86" s="196"/>
      <c r="BZ86" s="197"/>
      <c r="CB86" s="186"/>
      <c r="CC86" s="196"/>
      <c r="CD86" s="196"/>
      <c r="CE86" s="196"/>
      <c r="CF86" s="197"/>
      <c r="CH86" s="198"/>
    </row>
    <row r="87" spans="1:86" ht="63">
      <c r="A87" s="1563"/>
      <c r="B87" s="168" t="s">
        <v>325</v>
      </c>
      <c r="C87" s="241" t="s">
        <v>313</v>
      </c>
      <c r="D87" s="177" t="s">
        <v>314</v>
      </c>
      <c r="F87" s="218">
        <v>93150</v>
      </c>
      <c r="G87" s="219">
        <v>100800</v>
      </c>
      <c r="H87" s="218">
        <v>75990</v>
      </c>
      <c r="I87" s="219">
        <v>83640</v>
      </c>
      <c r="J87" s="179" t="s">
        <v>182</v>
      </c>
      <c r="K87" s="220">
        <v>910</v>
      </c>
      <c r="L87" s="221">
        <v>980</v>
      </c>
      <c r="M87" s="222" t="s">
        <v>795</v>
      </c>
      <c r="N87" s="220">
        <v>740</v>
      </c>
      <c r="O87" s="221">
        <v>810</v>
      </c>
      <c r="P87" s="222" t="s">
        <v>795</v>
      </c>
      <c r="Q87" s="160" t="s">
        <v>182</v>
      </c>
      <c r="R87" s="275">
        <v>7650</v>
      </c>
      <c r="S87" s="276">
        <v>70</v>
      </c>
      <c r="T87" s="247" t="s">
        <v>184</v>
      </c>
      <c r="V87" s="1578"/>
      <c r="W87" s="1579"/>
      <c r="X87" s="176"/>
      <c r="Y87" s="1579"/>
      <c r="Z87" s="1579"/>
      <c r="AA87" s="176"/>
      <c r="AB87" s="177"/>
      <c r="AC87" s="160" t="s">
        <v>182</v>
      </c>
      <c r="AD87" s="1546">
        <v>22700</v>
      </c>
      <c r="AE87" s="227"/>
      <c r="AF87" s="226" t="s">
        <v>182</v>
      </c>
      <c r="AG87" s="226">
        <v>150</v>
      </c>
      <c r="AH87" s="217" t="s">
        <v>184</v>
      </c>
      <c r="AJ87" s="187" t="s">
        <v>196</v>
      </c>
      <c r="AK87" s="185"/>
      <c r="AL87" s="176" t="s">
        <v>182</v>
      </c>
      <c r="AM87" s="176">
        <v>130</v>
      </c>
      <c r="AN87" s="177" t="s">
        <v>316</v>
      </c>
      <c r="AO87" s="160" t="s">
        <v>182</v>
      </c>
      <c r="AP87" s="1550">
        <v>5500</v>
      </c>
      <c r="AQ87" s="1553">
        <v>6000</v>
      </c>
      <c r="AR87" s="1550">
        <v>3800</v>
      </c>
      <c r="AS87" s="1553">
        <v>3800</v>
      </c>
      <c r="AT87" s="1544" t="s">
        <v>664</v>
      </c>
      <c r="AU87" s="230" t="s">
        <v>697</v>
      </c>
      <c r="AV87" s="231">
        <v>10900</v>
      </c>
      <c r="AW87" s="232">
        <v>12200</v>
      </c>
      <c r="AX87" s="267">
        <v>7600</v>
      </c>
      <c r="AY87" s="252">
        <v>7600</v>
      </c>
      <c r="BA87" s="268"/>
      <c r="BB87" s="160" t="s">
        <v>182</v>
      </c>
      <c r="BC87" s="1556">
        <v>4700</v>
      </c>
      <c r="BD87" s="160" t="s">
        <v>182</v>
      </c>
      <c r="BE87" s="187">
        <v>7280</v>
      </c>
      <c r="BF87" s="176" t="s">
        <v>182</v>
      </c>
      <c r="BG87" s="176">
        <v>70</v>
      </c>
      <c r="BH87" s="177" t="s">
        <v>184</v>
      </c>
      <c r="BJ87" s="253"/>
      <c r="BK87" s="160" t="s">
        <v>188</v>
      </c>
      <c r="BL87" s="193" t="s">
        <v>317</v>
      </c>
      <c r="BM87" s="194" t="s">
        <v>317</v>
      </c>
      <c r="BN87" s="194" t="s">
        <v>317</v>
      </c>
      <c r="BO87" s="195" t="s">
        <v>317</v>
      </c>
      <c r="BP87" s="160" t="s">
        <v>188</v>
      </c>
      <c r="BQ87" s="187"/>
      <c r="BR87" s="185"/>
      <c r="BS87" s="185"/>
      <c r="BT87" s="254"/>
      <c r="BU87" s="160" t="s">
        <v>188</v>
      </c>
      <c r="BV87" s="187"/>
      <c r="BW87" s="185"/>
      <c r="BX87" s="185"/>
      <c r="BY87" s="185"/>
      <c r="BZ87" s="254"/>
      <c r="CA87" s="160" t="s">
        <v>188</v>
      </c>
      <c r="CB87" s="187"/>
      <c r="CC87" s="185"/>
      <c r="CD87" s="185"/>
      <c r="CE87" s="185"/>
      <c r="CF87" s="254"/>
      <c r="CH87" s="253" t="s">
        <v>324</v>
      </c>
    </row>
    <row r="88" spans="1:86">
      <c r="A88" s="1563"/>
      <c r="B88" s="168"/>
      <c r="C88" s="241"/>
      <c r="D88" s="177" t="s">
        <v>318</v>
      </c>
      <c r="F88" s="242">
        <v>100800</v>
      </c>
      <c r="G88" s="243">
        <v>162640</v>
      </c>
      <c r="H88" s="242">
        <v>83640</v>
      </c>
      <c r="I88" s="243">
        <v>145480</v>
      </c>
      <c r="J88" s="179" t="s">
        <v>182</v>
      </c>
      <c r="K88" s="244">
        <v>980</v>
      </c>
      <c r="L88" s="245">
        <v>1510</v>
      </c>
      <c r="M88" s="246" t="s">
        <v>795</v>
      </c>
      <c r="N88" s="244">
        <v>810</v>
      </c>
      <c r="O88" s="245">
        <v>1340</v>
      </c>
      <c r="P88" s="246" t="s">
        <v>795</v>
      </c>
      <c r="Q88" s="160" t="s">
        <v>182</v>
      </c>
      <c r="R88" s="187">
        <v>7650</v>
      </c>
      <c r="S88" s="185">
        <v>70</v>
      </c>
      <c r="T88" s="247" t="s">
        <v>184</v>
      </c>
      <c r="V88" s="1578"/>
      <c r="W88" s="1579"/>
      <c r="X88" s="176"/>
      <c r="Y88" s="1579"/>
      <c r="Z88" s="1579"/>
      <c r="AA88" s="176"/>
      <c r="AB88" s="177"/>
      <c r="AD88" s="1547"/>
      <c r="AE88" s="248">
        <v>20970</v>
      </c>
      <c r="AF88" s="176"/>
      <c r="AG88" s="176"/>
      <c r="AH88" s="177"/>
      <c r="AJ88" s="187"/>
      <c r="AK88" s="185"/>
      <c r="AL88" s="176"/>
      <c r="AM88" s="176"/>
      <c r="AN88" s="177"/>
      <c r="AP88" s="1551"/>
      <c r="AQ88" s="1554"/>
      <c r="AR88" s="1551"/>
      <c r="AS88" s="1554"/>
      <c r="AT88" s="1544"/>
      <c r="AU88" s="172" t="s">
        <v>699</v>
      </c>
      <c r="AV88" s="249">
        <v>6000</v>
      </c>
      <c r="AW88" s="250">
        <v>6700</v>
      </c>
      <c r="AX88" s="267">
        <v>4200</v>
      </c>
      <c r="AY88" s="252">
        <v>4200</v>
      </c>
      <c r="BA88" s="1545" t="s">
        <v>702</v>
      </c>
      <c r="BC88" s="1557"/>
      <c r="BE88" s="187"/>
      <c r="BF88" s="176"/>
      <c r="BG88" s="176"/>
      <c r="BH88" s="177"/>
      <c r="BJ88" s="253"/>
      <c r="BL88" s="193"/>
      <c r="BM88" s="194"/>
      <c r="BN88" s="194"/>
      <c r="BO88" s="195"/>
      <c r="BQ88" s="187">
        <v>4240</v>
      </c>
      <c r="BR88" s="185" t="s">
        <v>189</v>
      </c>
      <c r="BS88" s="185">
        <v>40</v>
      </c>
      <c r="BT88" s="254" t="s">
        <v>184</v>
      </c>
      <c r="BV88" s="187">
        <v>15300</v>
      </c>
      <c r="BW88" s="185" t="s">
        <v>189</v>
      </c>
      <c r="BX88" s="185">
        <v>150</v>
      </c>
      <c r="BY88" s="185" t="s">
        <v>184</v>
      </c>
      <c r="BZ88" s="254" t="s">
        <v>190</v>
      </c>
      <c r="CB88" s="187">
        <v>9930</v>
      </c>
      <c r="CC88" s="185" t="s">
        <v>189</v>
      </c>
      <c r="CD88" s="185">
        <v>90</v>
      </c>
      <c r="CE88" s="185" t="s">
        <v>184</v>
      </c>
      <c r="CF88" s="254" t="s">
        <v>190</v>
      </c>
      <c r="CH88" s="253"/>
    </row>
    <row r="89" spans="1:86">
      <c r="A89" s="1563"/>
      <c r="B89" s="168"/>
      <c r="C89" s="241" t="s">
        <v>319</v>
      </c>
      <c r="D89" s="177" t="s">
        <v>320</v>
      </c>
      <c r="F89" s="242">
        <v>162640</v>
      </c>
      <c r="G89" s="243">
        <v>239170</v>
      </c>
      <c r="H89" s="242">
        <v>145480</v>
      </c>
      <c r="I89" s="243">
        <v>222010</v>
      </c>
      <c r="J89" s="179" t="s">
        <v>182</v>
      </c>
      <c r="K89" s="244">
        <v>1510</v>
      </c>
      <c r="L89" s="245">
        <v>2270</v>
      </c>
      <c r="M89" s="246" t="s">
        <v>795</v>
      </c>
      <c r="N89" s="244">
        <v>1340</v>
      </c>
      <c r="O89" s="245">
        <v>2100</v>
      </c>
      <c r="P89" s="246" t="s">
        <v>795</v>
      </c>
      <c r="R89" s="182"/>
      <c r="S89" s="176"/>
      <c r="T89" s="177"/>
      <c r="V89" s="1578"/>
      <c r="W89" s="1579"/>
      <c r="X89" s="176"/>
      <c r="Y89" s="1579"/>
      <c r="Z89" s="1579"/>
      <c r="AA89" s="176"/>
      <c r="AB89" s="177"/>
      <c r="AC89" s="160" t="s">
        <v>182</v>
      </c>
      <c r="AD89" s="1548">
        <v>20970</v>
      </c>
      <c r="AE89" s="255"/>
      <c r="AF89" s="176"/>
      <c r="AG89" s="176">
        <v>0</v>
      </c>
      <c r="AH89" s="177"/>
      <c r="AJ89" s="187">
        <v>13500</v>
      </c>
      <c r="AK89" s="185" t="s">
        <v>321</v>
      </c>
      <c r="AL89" s="176"/>
      <c r="AM89" s="176"/>
      <c r="AN89" s="177"/>
      <c r="AP89" s="1551"/>
      <c r="AQ89" s="1554"/>
      <c r="AR89" s="1551"/>
      <c r="AS89" s="1554"/>
      <c r="AT89" s="1544"/>
      <c r="AU89" s="172" t="s">
        <v>700</v>
      </c>
      <c r="AV89" s="249">
        <v>5200</v>
      </c>
      <c r="AW89" s="250">
        <v>5800</v>
      </c>
      <c r="AX89" s="267">
        <v>3600</v>
      </c>
      <c r="AY89" s="252">
        <v>3600</v>
      </c>
      <c r="BA89" s="1545"/>
      <c r="BC89" s="359"/>
      <c r="BE89" s="187"/>
      <c r="BF89" s="176"/>
      <c r="BG89" s="176"/>
      <c r="BH89" s="177"/>
      <c r="BJ89" s="253"/>
      <c r="BL89" s="193">
        <v>0.01</v>
      </c>
      <c r="BM89" s="194">
        <v>0.03</v>
      </c>
      <c r="BN89" s="194">
        <v>0.04</v>
      </c>
      <c r="BO89" s="195">
        <v>0.05</v>
      </c>
      <c r="BQ89" s="187"/>
      <c r="BR89" s="185"/>
      <c r="BS89" s="185"/>
      <c r="BT89" s="254"/>
      <c r="BV89" s="187"/>
      <c r="BW89" s="185"/>
      <c r="BX89" s="185"/>
      <c r="BY89" s="185"/>
      <c r="BZ89" s="254"/>
      <c r="CB89" s="187"/>
      <c r="CC89" s="185"/>
      <c r="CD89" s="185"/>
      <c r="CE89" s="185"/>
      <c r="CF89" s="254"/>
      <c r="CH89" s="253">
        <v>0.87</v>
      </c>
    </row>
    <row r="90" spans="1:86">
      <c r="A90" s="1563"/>
      <c r="B90" s="168"/>
      <c r="C90" s="241"/>
      <c r="D90" s="177" t="s">
        <v>322</v>
      </c>
      <c r="F90" s="256">
        <v>239170</v>
      </c>
      <c r="G90" s="257"/>
      <c r="H90" s="256">
        <v>222010</v>
      </c>
      <c r="I90" s="257"/>
      <c r="J90" s="179" t="s">
        <v>182</v>
      </c>
      <c r="K90" s="258">
        <v>2270</v>
      </c>
      <c r="L90" s="259"/>
      <c r="M90" s="260" t="s">
        <v>795</v>
      </c>
      <c r="N90" s="258">
        <v>2100</v>
      </c>
      <c r="O90" s="259"/>
      <c r="P90" s="260" t="s">
        <v>795</v>
      </c>
      <c r="R90" s="182"/>
      <c r="S90" s="176"/>
      <c r="T90" s="177"/>
      <c r="V90" s="1578"/>
      <c r="W90" s="1579"/>
      <c r="X90" s="176"/>
      <c r="Y90" s="1579"/>
      <c r="Z90" s="1579"/>
      <c r="AA90" s="176"/>
      <c r="AB90" s="177"/>
      <c r="AD90" s="1549"/>
      <c r="AE90" s="261"/>
      <c r="AF90" s="271"/>
      <c r="AG90" s="271"/>
      <c r="AH90" s="184"/>
      <c r="AJ90" s="187"/>
      <c r="AK90" s="185"/>
      <c r="AL90" s="176"/>
      <c r="AM90" s="176"/>
      <c r="AN90" s="177"/>
      <c r="AP90" s="1552"/>
      <c r="AQ90" s="1555"/>
      <c r="AR90" s="1552"/>
      <c r="AS90" s="1555"/>
      <c r="AT90" s="1544"/>
      <c r="AU90" s="262" t="s">
        <v>701</v>
      </c>
      <c r="AV90" s="263">
        <v>4700</v>
      </c>
      <c r="AW90" s="264">
        <v>5200</v>
      </c>
      <c r="AX90" s="265">
        <v>3300</v>
      </c>
      <c r="AY90" s="266">
        <v>3300</v>
      </c>
      <c r="BA90" s="1545"/>
      <c r="BC90" s="359"/>
      <c r="BE90" s="187"/>
      <c r="BF90" s="176"/>
      <c r="BG90" s="176"/>
      <c r="BH90" s="177"/>
      <c r="BJ90" s="253"/>
      <c r="BL90" s="193"/>
      <c r="BM90" s="194"/>
      <c r="BN90" s="194"/>
      <c r="BO90" s="195"/>
      <c r="BQ90" s="187"/>
      <c r="BR90" s="185"/>
      <c r="BS90" s="185"/>
      <c r="BT90" s="254"/>
      <c r="BV90" s="187"/>
      <c r="BW90" s="185"/>
      <c r="BX90" s="185"/>
      <c r="BY90" s="185"/>
      <c r="BZ90" s="254"/>
      <c r="CB90" s="187"/>
      <c r="CC90" s="185"/>
      <c r="CD90" s="185"/>
      <c r="CE90" s="185"/>
      <c r="CF90" s="254"/>
      <c r="CH90" s="253"/>
    </row>
    <row r="91" spans="1:86" ht="63">
      <c r="A91" s="1563"/>
      <c r="B91" s="215" t="s">
        <v>326</v>
      </c>
      <c r="C91" s="216" t="s">
        <v>313</v>
      </c>
      <c r="D91" s="217" t="s">
        <v>314</v>
      </c>
      <c r="F91" s="218">
        <v>75170</v>
      </c>
      <c r="G91" s="219">
        <v>82820</v>
      </c>
      <c r="H91" s="218">
        <v>62310</v>
      </c>
      <c r="I91" s="219">
        <v>69960</v>
      </c>
      <c r="J91" s="179" t="s">
        <v>182</v>
      </c>
      <c r="K91" s="220">
        <v>730</v>
      </c>
      <c r="L91" s="221">
        <v>800</v>
      </c>
      <c r="M91" s="222" t="s">
        <v>795</v>
      </c>
      <c r="N91" s="220">
        <v>600</v>
      </c>
      <c r="O91" s="221">
        <v>670</v>
      </c>
      <c r="P91" s="222" t="s">
        <v>795</v>
      </c>
      <c r="Q91" s="160" t="s">
        <v>182</v>
      </c>
      <c r="R91" s="223">
        <v>7650</v>
      </c>
      <c r="S91" s="224">
        <v>70</v>
      </c>
      <c r="T91" s="225" t="s">
        <v>184</v>
      </c>
      <c r="V91" s="1578"/>
      <c r="W91" s="1579"/>
      <c r="X91" s="176"/>
      <c r="Y91" s="1579"/>
      <c r="Z91" s="1579"/>
      <c r="AA91" s="176"/>
      <c r="AB91" s="177"/>
      <c r="AC91" s="160" t="s">
        <v>182</v>
      </c>
      <c r="AD91" s="1546">
        <v>18750</v>
      </c>
      <c r="AE91" s="227"/>
      <c r="AF91" s="176" t="s">
        <v>182</v>
      </c>
      <c r="AG91" s="176">
        <v>110</v>
      </c>
      <c r="AH91" s="177" t="s">
        <v>184</v>
      </c>
      <c r="AJ91" s="187" t="s">
        <v>198</v>
      </c>
      <c r="AK91" s="185"/>
      <c r="AL91" s="176" t="s">
        <v>182</v>
      </c>
      <c r="AM91" s="176">
        <v>100</v>
      </c>
      <c r="AN91" s="177" t="s">
        <v>316</v>
      </c>
      <c r="AO91" s="160" t="s">
        <v>182</v>
      </c>
      <c r="AP91" s="1550">
        <v>4800</v>
      </c>
      <c r="AQ91" s="1553">
        <v>5300</v>
      </c>
      <c r="AR91" s="1550">
        <v>3300</v>
      </c>
      <c r="AS91" s="1553">
        <v>3300</v>
      </c>
      <c r="AT91" s="1544" t="s">
        <v>664</v>
      </c>
      <c r="AU91" s="230" t="s">
        <v>697</v>
      </c>
      <c r="AV91" s="231">
        <v>9800</v>
      </c>
      <c r="AW91" s="232">
        <v>10900</v>
      </c>
      <c r="AX91" s="267">
        <v>6800</v>
      </c>
      <c r="AY91" s="252">
        <v>6800</v>
      </c>
      <c r="BA91" s="235" t="s">
        <v>662</v>
      </c>
      <c r="BB91" s="160" t="s">
        <v>182</v>
      </c>
      <c r="BC91" s="1556">
        <v>4700</v>
      </c>
      <c r="BD91" s="160" t="s">
        <v>182</v>
      </c>
      <c r="BE91" s="228">
        <v>5450</v>
      </c>
      <c r="BF91" s="226" t="s">
        <v>182</v>
      </c>
      <c r="BG91" s="226">
        <v>50</v>
      </c>
      <c r="BH91" s="217" t="s">
        <v>184</v>
      </c>
      <c r="BJ91" s="253"/>
      <c r="BK91" s="160" t="s">
        <v>188</v>
      </c>
      <c r="BL91" s="237" t="s">
        <v>317</v>
      </c>
      <c r="BM91" s="238" t="s">
        <v>317</v>
      </c>
      <c r="BN91" s="238" t="s">
        <v>317</v>
      </c>
      <c r="BO91" s="239" t="s">
        <v>317</v>
      </c>
      <c r="BP91" s="160" t="s">
        <v>188</v>
      </c>
      <c r="BQ91" s="228"/>
      <c r="BR91" s="229"/>
      <c r="BS91" s="229"/>
      <c r="BT91" s="240"/>
      <c r="BU91" s="160" t="s">
        <v>188</v>
      </c>
      <c r="BV91" s="228"/>
      <c r="BW91" s="229"/>
      <c r="BX91" s="229"/>
      <c r="BY91" s="229"/>
      <c r="BZ91" s="240"/>
      <c r="CA91" s="160" t="s">
        <v>188</v>
      </c>
      <c r="CB91" s="228"/>
      <c r="CC91" s="229"/>
      <c r="CD91" s="229"/>
      <c r="CE91" s="229"/>
      <c r="CF91" s="240"/>
      <c r="CH91" s="236" t="s">
        <v>324</v>
      </c>
    </row>
    <row r="92" spans="1:86">
      <c r="A92" s="1563"/>
      <c r="B92" s="168"/>
      <c r="C92" s="241"/>
      <c r="D92" s="177" t="s">
        <v>318</v>
      </c>
      <c r="F92" s="242">
        <v>82820</v>
      </c>
      <c r="G92" s="243">
        <v>144660</v>
      </c>
      <c r="H92" s="242">
        <v>69960</v>
      </c>
      <c r="I92" s="243">
        <v>131800</v>
      </c>
      <c r="J92" s="179" t="s">
        <v>182</v>
      </c>
      <c r="K92" s="244">
        <v>800</v>
      </c>
      <c r="L92" s="245">
        <v>1330</v>
      </c>
      <c r="M92" s="246" t="s">
        <v>795</v>
      </c>
      <c r="N92" s="244">
        <v>670</v>
      </c>
      <c r="O92" s="245">
        <v>1200</v>
      </c>
      <c r="P92" s="246" t="s">
        <v>795</v>
      </c>
      <c r="Q92" s="160" t="s">
        <v>182</v>
      </c>
      <c r="R92" s="187">
        <v>7650</v>
      </c>
      <c r="S92" s="185">
        <v>70</v>
      </c>
      <c r="T92" s="247" t="s">
        <v>184</v>
      </c>
      <c r="V92" s="182"/>
      <c r="W92" s="185"/>
      <c r="X92" s="176"/>
      <c r="Y92" s="185"/>
      <c r="Z92" s="176"/>
      <c r="AA92" s="176"/>
      <c r="AB92" s="177"/>
      <c r="AD92" s="1547"/>
      <c r="AE92" s="248">
        <v>17020</v>
      </c>
      <c r="AF92" s="176"/>
      <c r="AG92" s="176"/>
      <c r="AH92" s="177"/>
      <c r="AJ92" s="187"/>
      <c r="AK92" s="185"/>
      <c r="AL92" s="176"/>
      <c r="AM92" s="176"/>
      <c r="AN92" s="177"/>
      <c r="AP92" s="1551"/>
      <c r="AQ92" s="1554"/>
      <c r="AR92" s="1551"/>
      <c r="AS92" s="1554"/>
      <c r="AT92" s="1544"/>
      <c r="AU92" s="172" t="s">
        <v>699</v>
      </c>
      <c r="AV92" s="249">
        <v>5400</v>
      </c>
      <c r="AW92" s="250">
        <v>6000</v>
      </c>
      <c r="AX92" s="267">
        <v>3700</v>
      </c>
      <c r="AY92" s="252">
        <v>3700</v>
      </c>
      <c r="BA92" s="235">
        <v>27330</v>
      </c>
      <c r="BC92" s="1557"/>
      <c r="BE92" s="187"/>
      <c r="BF92" s="176"/>
      <c r="BG92" s="176"/>
      <c r="BH92" s="177"/>
      <c r="BJ92" s="253"/>
      <c r="BL92" s="193"/>
      <c r="BM92" s="194"/>
      <c r="BN92" s="194"/>
      <c r="BO92" s="195"/>
      <c r="BQ92" s="187">
        <v>3180</v>
      </c>
      <c r="BR92" s="185" t="s">
        <v>189</v>
      </c>
      <c r="BS92" s="185">
        <v>30</v>
      </c>
      <c r="BT92" s="254" t="s">
        <v>184</v>
      </c>
      <c r="BV92" s="187">
        <v>11480</v>
      </c>
      <c r="BW92" s="185" t="s">
        <v>189</v>
      </c>
      <c r="BX92" s="185">
        <v>110</v>
      </c>
      <c r="BY92" s="185" t="s">
        <v>184</v>
      </c>
      <c r="BZ92" s="254" t="s">
        <v>190</v>
      </c>
      <c r="CB92" s="187">
        <v>7440</v>
      </c>
      <c r="CC92" s="185" t="s">
        <v>189</v>
      </c>
      <c r="CD92" s="185">
        <v>70</v>
      </c>
      <c r="CE92" s="185" t="s">
        <v>184</v>
      </c>
      <c r="CF92" s="254" t="s">
        <v>190</v>
      </c>
      <c r="CH92" s="253"/>
    </row>
    <row r="93" spans="1:86">
      <c r="A93" s="1563"/>
      <c r="B93" s="168"/>
      <c r="C93" s="241" t="s">
        <v>319</v>
      </c>
      <c r="D93" s="177" t="s">
        <v>320</v>
      </c>
      <c r="F93" s="242">
        <v>144660</v>
      </c>
      <c r="G93" s="243">
        <v>221190</v>
      </c>
      <c r="H93" s="242">
        <v>131800</v>
      </c>
      <c r="I93" s="243">
        <v>208330</v>
      </c>
      <c r="J93" s="179" t="s">
        <v>182</v>
      </c>
      <c r="K93" s="244">
        <v>1330</v>
      </c>
      <c r="L93" s="245">
        <v>2090</v>
      </c>
      <c r="M93" s="246" t="s">
        <v>795</v>
      </c>
      <c r="N93" s="244">
        <v>1200</v>
      </c>
      <c r="O93" s="245">
        <v>1960</v>
      </c>
      <c r="P93" s="246" t="s">
        <v>795</v>
      </c>
      <c r="R93" s="182"/>
      <c r="S93" s="176"/>
      <c r="T93" s="177"/>
      <c r="V93" s="182"/>
      <c r="W93" s="185"/>
      <c r="X93" s="176"/>
      <c r="Y93" s="185"/>
      <c r="Z93" s="176"/>
      <c r="AA93" s="176"/>
      <c r="AB93" s="177"/>
      <c r="AC93" s="160" t="s">
        <v>182</v>
      </c>
      <c r="AD93" s="1548">
        <v>17020</v>
      </c>
      <c r="AE93" s="255"/>
      <c r="AF93" s="176"/>
      <c r="AG93" s="176">
        <v>0</v>
      </c>
      <c r="AH93" s="177"/>
      <c r="AJ93" s="187">
        <v>10500</v>
      </c>
      <c r="AK93" s="185" t="s">
        <v>321</v>
      </c>
      <c r="AL93" s="176"/>
      <c r="AM93" s="176"/>
      <c r="AN93" s="177"/>
      <c r="AP93" s="1551"/>
      <c r="AQ93" s="1554"/>
      <c r="AR93" s="1551"/>
      <c r="AS93" s="1554"/>
      <c r="AT93" s="1544"/>
      <c r="AU93" s="172" t="s">
        <v>700</v>
      </c>
      <c r="AV93" s="249">
        <v>4700</v>
      </c>
      <c r="AW93" s="250">
        <v>5200</v>
      </c>
      <c r="AX93" s="267">
        <v>3300</v>
      </c>
      <c r="AY93" s="252">
        <v>3300</v>
      </c>
      <c r="BA93" s="277"/>
      <c r="BC93" s="359"/>
      <c r="BE93" s="187"/>
      <c r="BF93" s="176"/>
      <c r="BG93" s="176"/>
      <c r="BH93" s="177"/>
      <c r="BJ93" s="253"/>
      <c r="BL93" s="193">
        <v>0.01</v>
      </c>
      <c r="BM93" s="194">
        <v>0.03</v>
      </c>
      <c r="BN93" s="194">
        <v>0.04</v>
      </c>
      <c r="BO93" s="195">
        <v>0.05</v>
      </c>
      <c r="BQ93" s="187"/>
      <c r="BR93" s="185"/>
      <c r="BS93" s="185"/>
      <c r="BT93" s="254"/>
      <c r="BV93" s="187"/>
      <c r="BW93" s="185"/>
      <c r="BX93" s="185"/>
      <c r="BY93" s="185"/>
      <c r="BZ93" s="254"/>
      <c r="CB93" s="187"/>
      <c r="CC93" s="185"/>
      <c r="CD93" s="185"/>
      <c r="CE93" s="185"/>
      <c r="CF93" s="254"/>
      <c r="CH93" s="253">
        <v>0.96</v>
      </c>
    </row>
    <row r="94" spans="1:86">
      <c r="A94" s="1563"/>
      <c r="B94" s="269"/>
      <c r="C94" s="270"/>
      <c r="D94" s="184" t="s">
        <v>322</v>
      </c>
      <c r="F94" s="256">
        <v>221190</v>
      </c>
      <c r="G94" s="257"/>
      <c r="H94" s="256">
        <v>208330</v>
      </c>
      <c r="I94" s="257"/>
      <c r="J94" s="179" t="s">
        <v>182</v>
      </c>
      <c r="K94" s="258">
        <v>2090</v>
      </c>
      <c r="L94" s="259"/>
      <c r="M94" s="260" t="s">
        <v>795</v>
      </c>
      <c r="N94" s="258">
        <v>1960</v>
      </c>
      <c r="O94" s="259"/>
      <c r="P94" s="260" t="s">
        <v>795</v>
      </c>
      <c r="R94" s="183"/>
      <c r="S94" s="271"/>
      <c r="T94" s="184"/>
      <c r="V94" s="280"/>
      <c r="W94" s="279" t="s">
        <v>703</v>
      </c>
      <c r="X94" s="176"/>
      <c r="Y94" s="279" t="s">
        <v>703</v>
      </c>
      <c r="Z94" s="279"/>
      <c r="AA94" s="176"/>
      <c r="AB94" s="177"/>
      <c r="AD94" s="1549"/>
      <c r="AE94" s="261"/>
      <c r="AF94" s="176"/>
      <c r="AG94" s="176"/>
      <c r="AH94" s="177"/>
      <c r="AJ94" s="187"/>
      <c r="AK94" s="185"/>
      <c r="AL94" s="176"/>
      <c r="AM94" s="176"/>
      <c r="AN94" s="177"/>
      <c r="AP94" s="1552"/>
      <c r="AQ94" s="1555"/>
      <c r="AR94" s="1552"/>
      <c r="AS94" s="1555"/>
      <c r="AT94" s="1544"/>
      <c r="AU94" s="262" t="s">
        <v>701</v>
      </c>
      <c r="AV94" s="263">
        <v>4200</v>
      </c>
      <c r="AW94" s="264">
        <v>4600</v>
      </c>
      <c r="AX94" s="265">
        <v>2900</v>
      </c>
      <c r="AY94" s="266">
        <v>2900</v>
      </c>
      <c r="BA94" s="235" t="s">
        <v>665</v>
      </c>
      <c r="BC94" s="359"/>
      <c r="BE94" s="186"/>
      <c r="BF94" s="271"/>
      <c r="BG94" s="271"/>
      <c r="BH94" s="184"/>
      <c r="BJ94" s="253"/>
      <c r="BL94" s="272"/>
      <c r="BM94" s="273"/>
      <c r="BN94" s="273"/>
      <c r="BO94" s="274"/>
      <c r="BQ94" s="186"/>
      <c r="BR94" s="196"/>
      <c r="BS94" s="196"/>
      <c r="BT94" s="197"/>
      <c r="BV94" s="186"/>
      <c r="BW94" s="196"/>
      <c r="BX94" s="196"/>
      <c r="BY94" s="196"/>
      <c r="BZ94" s="197"/>
      <c r="CB94" s="186"/>
      <c r="CC94" s="196"/>
      <c r="CD94" s="196"/>
      <c r="CE94" s="196"/>
      <c r="CF94" s="197"/>
      <c r="CH94" s="198"/>
    </row>
    <row r="95" spans="1:86" ht="63">
      <c r="A95" s="1563"/>
      <c r="B95" s="168" t="s">
        <v>327</v>
      </c>
      <c r="C95" s="241" t="s">
        <v>313</v>
      </c>
      <c r="D95" s="177" t="s">
        <v>314</v>
      </c>
      <c r="F95" s="218">
        <v>69930</v>
      </c>
      <c r="G95" s="219">
        <v>77580</v>
      </c>
      <c r="H95" s="218">
        <v>59630</v>
      </c>
      <c r="I95" s="219">
        <v>67280</v>
      </c>
      <c r="J95" s="179" t="s">
        <v>182</v>
      </c>
      <c r="K95" s="220">
        <v>680</v>
      </c>
      <c r="L95" s="221">
        <v>750</v>
      </c>
      <c r="M95" s="222" t="s">
        <v>795</v>
      </c>
      <c r="N95" s="220">
        <v>570</v>
      </c>
      <c r="O95" s="221">
        <v>640</v>
      </c>
      <c r="P95" s="222" t="s">
        <v>795</v>
      </c>
      <c r="Q95" s="160" t="s">
        <v>182</v>
      </c>
      <c r="R95" s="275">
        <v>7650</v>
      </c>
      <c r="S95" s="276">
        <v>70</v>
      </c>
      <c r="T95" s="247" t="s">
        <v>184</v>
      </c>
      <c r="V95" s="187"/>
      <c r="W95" s="185">
        <v>258500</v>
      </c>
      <c r="X95" s="176"/>
      <c r="Y95" s="185">
        <v>2580</v>
      </c>
      <c r="Z95" s="176" t="s">
        <v>184</v>
      </c>
      <c r="AA95" s="176"/>
      <c r="AB95" s="177"/>
      <c r="AC95" s="160" t="s">
        <v>182</v>
      </c>
      <c r="AD95" s="1546">
        <v>16380</v>
      </c>
      <c r="AE95" s="227"/>
      <c r="AF95" s="226" t="s">
        <v>182</v>
      </c>
      <c r="AG95" s="226">
        <v>90</v>
      </c>
      <c r="AH95" s="217" t="s">
        <v>184</v>
      </c>
      <c r="AJ95" s="187" t="s">
        <v>201</v>
      </c>
      <c r="AK95" s="185"/>
      <c r="AL95" s="176" t="s">
        <v>182</v>
      </c>
      <c r="AM95" s="176">
        <v>70</v>
      </c>
      <c r="AN95" s="177" t="s">
        <v>316</v>
      </c>
      <c r="AO95" s="160" t="s">
        <v>182</v>
      </c>
      <c r="AP95" s="1550">
        <v>4300</v>
      </c>
      <c r="AQ95" s="1553">
        <v>4800</v>
      </c>
      <c r="AR95" s="1550">
        <v>3000</v>
      </c>
      <c r="AS95" s="1553">
        <v>3000</v>
      </c>
      <c r="AT95" s="1544" t="s">
        <v>664</v>
      </c>
      <c r="AU95" s="230" t="s">
        <v>697</v>
      </c>
      <c r="AV95" s="231">
        <v>8800</v>
      </c>
      <c r="AW95" s="232">
        <v>9800</v>
      </c>
      <c r="AX95" s="267">
        <v>6100</v>
      </c>
      <c r="AY95" s="252">
        <v>6100</v>
      </c>
      <c r="BA95" s="235">
        <v>16800</v>
      </c>
      <c r="BB95" s="160" t="s">
        <v>182</v>
      </c>
      <c r="BC95" s="1556">
        <v>4700</v>
      </c>
      <c r="BD95" s="160" t="s">
        <v>182</v>
      </c>
      <c r="BE95" s="187">
        <v>4360</v>
      </c>
      <c r="BF95" s="176" t="s">
        <v>182</v>
      </c>
      <c r="BG95" s="176">
        <v>40</v>
      </c>
      <c r="BH95" s="177" t="s">
        <v>184</v>
      </c>
      <c r="BJ95" s="253"/>
      <c r="BK95" s="160" t="s">
        <v>188</v>
      </c>
      <c r="BL95" s="193" t="s">
        <v>317</v>
      </c>
      <c r="BM95" s="194" t="s">
        <v>317</v>
      </c>
      <c r="BN95" s="194" t="s">
        <v>317</v>
      </c>
      <c r="BO95" s="195" t="s">
        <v>317</v>
      </c>
      <c r="BP95" s="160" t="s">
        <v>188</v>
      </c>
      <c r="BQ95" s="187"/>
      <c r="BR95" s="185"/>
      <c r="BS95" s="185"/>
      <c r="BT95" s="254"/>
      <c r="BU95" s="160" t="s">
        <v>188</v>
      </c>
      <c r="BV95" s="187"/>
      <c r="BW95" s="185"/>
      <c r="BX95" s="185"/>
      <c r="BY95" s="185"/>
      <c r="BZ95" s="254"/>
      <c r="CA95" s="160" t="s">
        <v>188</v>
      </c>
      <c r="CB95" s="187"/>
      <c r="CC95" s="185"/>
      <c r="CD95" s="185"/>
      <c r="CE95" s="185"/>
      <c r="CF95" s="254"/>
      <c r="CH95" s="253" t="s">
        <v>324</v>
      </c>
    </row>
    <row r="96" spans="1:86">
      <c r="A96" s="1563"/>
      <c r="B96" s="168"/>
      <c r="C96" s="241"/>
      <c r="D96" s="177" t="s">
        <v>318</v>
      </c>
      <c r="F96" s="242">
        <v>77580</v>
      </c>
      <c r="G96" s="243">
        <v>139420</v>
      </c>
      <c r="H96" s="242">
        <v>67280</v>
      </c>
      <c r="I96" s="243">
        <v>129120</v>
      </c>
      <c r="J96" s="179" t="s">
        <v>182</v>
      </c>
      <c r="K96" s="244">
        <v>750</v>
      </c>
      <c r="L96" s="245">
        <v>1280</v>
      </c>
      <c r="M96" s="246" t="s">
        <v>795</v>
      </c>
      <c r="N96" s="244">
        <v>640</v>
      </c>
      <c r="O96" s="245">
        <v>1180</v>
      </c>
      <c r="P96" s="246" t="s">
        <v>795</v>
      </c>
      <c r="Q96" s="160" t="s">
        <v>182</v>
      </c>
      <c r="R96" s="187">
        <v>7650</v>
      </c>
      <c r="S96" s="185">
        <v>70</v>
      </c>
      <c r="T96" s="247" t="s">
        <v>184</v>
      </c>
      <c r="V96" s="187"/>
      <c r="W96" s="185"/>
      <c r="X96" s="176"/>
      <c r="Y96" s="185"/>
      <c r="Z96" s="176"/>
      <c r="AA96" s="176"/>
      <c r="AB96" s="177"/>
      <c r="AD96" s="1547"/>
      <c r="AE96" s="248">
        <v>14660</v>
      </c>
      <c r="AF96" s="176"/>
      <c r="AG96" s="176"/>
      <c r="AH96" s="177"/>
      <c r="AJ96" s="187"/>
      <c r="AK96" s="185"/>
      <c r="AL96" s="176"/>
      <c r="AM96" s="176"/>
      <c r="AN96" s="177"/>
      <c r="AP96" s="1551"/>
      <c r="AQ96" s="1554"/>
      <c r="AR96" s="1551"/>
      <c r="AS96" s="1554"/>
      <c r="AT96" s="1544"/>
      <c r="AU96" s="172" t="s">
        <v>699</v>
      </c>
      <c r="AV96" s="249">
        <v>4800</v>
      </c>
      <c r="AW96" s="250">
        <v>5400</v>
      </c>
      <c r="AX96" s="267">
        <v>3400</v>
      </c>
      <c r="AY96" s="252">
        <v>3400</v>
      </c>
      <c r="BA96" s="277"/>
      <c r="BC96" s="1557"/>
      <c r="BE96" s="187"/>
      <c r="BF96" s="176"/>
      <c r="BG96" s="176"/>
      <c r="BH96" s="177"/>
      <c r="BJ96" s="253"/>
      <c r="BL96" s="193"/>
      <c r="BM96" s="194"/>
      <c r="BN96" s="194"/>
      <c r="BO96" s="195"/>
      <c r="BQ96" s="187">
        <v>2540</v>
      </c>
      <c r="BR96" s="185" t="s">
        <v>189</v>
      </c>
      <c r="BS96" s="185">
        <v>20</v>
      </c>
      <c r="BT96" s="254" t="s">
        <v>184</v>
      </c>
      <c r="BV96" s="187">
        <v>9180</v>
      </c>
      <c r="BW96" s="185" t="s">
        <v>189</v>
      </c>
      <c r="BX96" s="185">
        <v>90</v>
      </c>
      <c r="BY96" s="185" t="s">
        <v>184</v>
      </c>
      <c r="BZ96" s="254" t="s">
        <v>190</v>
      </c>
      <c r="CB96" s="187">
        <v>5950</v>
      </c>
      <c r="CC96" s="185" t="s">
        <v>189</v>
      </c>
      <c r="CD96" s="185">
        <v>60</v>
      </c>
      <c r="CE96" s="185" t="s">
        <v>184</v>
      </c>
      <c r="CF96" s="254" t="s">
        <v>190</v>
      </c>
      <c r="CH96" s="253"/>
    </row>
    <row r="97" spans="1:86">
      <c r="A97" s="1563"/>
      <c r="B97" s="168"/>
      <c r="C97" s="241" t="s">
        <v>319</v>
      </c>
      <c r="D97" s="177" t="s">
        <v>320</v>
      </c>
      <c r="F97" s="242">
        <v>139420</v>
      </c>
      <c r="G97" s="243">
        <v>215950</v>
      </c>
      <c r="H97" s="242">
        <v>129120</v>
      </c>
      <c r="I97" s="243">
        <v>205650</v>
      </c>
      <c r="J97" s="179" t="s">
        <v>182</v>
      </c>
      <c r="K97" s="244">
        <v>1280</v>
      </c>
      <c r="L97" s="245">
        <v>2040</v>
      </c>
      <c r="M97" s="246" t="s">
        <v>795</v>
      </c>
      <c r="N97" s="244">
        <v>1180</v>
      </c>
      <c r="O97" s="245">
        <v>1940</v>
      </c>
      <c r="P97" s="246" t="s">
        <v>795</v>
      </c>
      <c r="R97" s="182"/>
      <c r="S97" s="176"/>
      <c r="T97" s="177"/>
      <c r="V97" s="280"/>
      <c r="W97" s="279" t="s">
        <v>704</v>
      </c>
      <c r="X97" s="176"/>
      <c r="Y97" s="279" t="s">
        <v>704</v>
      </c>
      <c r="Z97" s="279"/>
      <c r="AA97" s="176"/>
      <c r="AB97" s="177"/>
      <c r="AC97" s="160" t="s">
        <v>182</v>
      </c>
      <c r="AD97" s="1548">
        <v>14660</v>
      </c>
      <c r="AE97" s="255"/>
      <c r="AF97" s="176"/>
      <c r="AG97" s="176">
        <v>0</v>
      </c>
      <c r="AH97" s="177"/>
      <c r="AJ97" s="187">
        <v>7870</v>
      </c>
      <c r="AK97" s="185" t="s">
        <v>321</v>
      </c>
      <c r="AL97" s="176"/>
      <c r="AM97" s="176"/>
      <c r="AN97" s="177"/>
      <c r="AP97" s="1551"/>
      <c r="AQ97" s="1554"/>
      <c r="AR97" s="1551"/>
      <c r="AS97" s="1554"/>
      <c r="AT97" s="1544"/>
      <c r="AU97" s="172" t="s">
        <v>700</v>
      </c>
      <c r="AV97" s="249">
        <v>4200</v>
      </c>
      <c r="AW97" s="250">
        <v>4700</v>
      </c>
      <c r="AX97" s="267">
        <v>2900</v>
      </c>
      <c r="AY97" s="252">
        <v>2900</v>
      </c>
      <c r="BA97" s="235" t="s">
        <v>666</v>
      </c>
      <c r="BC97" s="358"/>
      <c r="BE97" s="187"/>
      <c r="BF97" s="176"/>
      <c r="BG97" s="176"/>
      <c r="BH97" s="177"/>
      <c r="BJ97" s="253"/>
      <c r="BL97" s="193">
        <v>0.01</v>
      </c>
      <c r="BM97" s="194">
        <v>0.03</v>
      </c>
      <c r="BN97" s="194">
        <v>0.04</v>
      </c>
      <c r="BO97" s="195">
        <v>0.05</v>
      </c>
      <c r="BQ97" s="187"/>
      <c r="BR97" s="185"/>
      <c r="BS97" s="185"/>
      <c r="BT97" s="254"/>
      <c r="BV97" s="187"/>
      <c r="BW97" s="185"/>
      <c r="BX97" s="185"/>
      <c r="BY97" s="185"/>
      <c r="BZ97" s="254"/>
      <c r="CB97" s="187"/>
      <c r="CC97" s="185"/>
      <c r="CD97" s="185"/>
      <c r="CE97" s="185"/>
      <c r="CF97" s="254"/>
      <c r="CH97" s="253">
        <v>0.92</v>
      </c>
    </row>
    <row r="98" spans="1:86">
      <c r="A98" s="1563"/>
      <c r="B98" s="168"/>
      <c r="C98" s="241"/>
      <c r="D98" s="177" t="s">
        <v>322</v>
      </c>
      <c r="F98" s="256">
        <v>215950</v>
      </c>
      <c r="G98" s="257"/>
      <c r="H98" s="256">
        <v>205650</v>
      </c>
      <c r="I98" s="257"/>
      <c r="J98" s="179" t="s">
        <v>182</v>
      </c>
      <c r="K98" s="258">
        <v>2040</v>
      </c>
      <c r="L98" s="259"/>
      <c r="M98" s="260" t="s">
        <v>795</v>
      </c>
      <c r="N98" s="258">
        <v>1940</v>
      </c>
      <c r="O98" s="259"/>
      <c r="P98" s="260" t="s">
        <v>795</v>
      </c>
      <c r="R98" s="182"/>
      <c r="S98" s="176"/>
      <c r="T98" s="177"/>
      <c r="V98" s="187"/>
      <c r="W98" s="185">
        <v>276800</v>
      </c>
      <c r="X98" s="176"/>
      <c r="Y98" s="185">
        <v>2760</v>
      </c>
      <c r="Z98" s="176" t="s">
        <v>184</v>
      </c>
      <c r="AA98" s="176"/>
      <c r="AB98" s="177"/>
      <c r="AD98" s="1549"/>
      <c r="AE98" s="261"/>
      <c r="AF98" s="271"/>
      <c r="AG98" s="271"/>
      <c r="AH98" s="184"/>
      <c r="AJ98" s="187"/>
      <c r="AK98" s="185"/>
      <c r="AL98" s="176"/>
      <c r="AM98" s="176"/>
      <c r="AN98" s="177"/>
      <c r="AP98" s="1552"/>
      <c r="AQ98" s="1555"/>
      <c r="AR98" s="1552"/>
      <c r="AS98" s="1555"/>
      <c r="AT98" s="1544"/>
      <c r="AU98" s="262" t="s">
        <v>701</v>
      </c>
      <c r="AV98" s="263">
        <v>3800</v>
      </c>
      <c r="AW98" s="264">
        <v>4200</v>
      </c>
      <c r="AX98" s="265">
        <v>2600</v>
      </c>
      <c r="AY98" s="266">
        <v>2600</v>
      </c>
      <c r="BA98" s="235">
        <v>12280</v>
      </c>
      <c r="BC98" s="359"/>
      <c r="BE98" s="187"/>
      <c r="BF98" s="176"/>
      <c r="BG98" s="176"/>
      <c r="BH98" s="177"/>
      <c r="BJ98" s="253"/>
      <c r="BL98" s="193"/>
      <c r="BM98" s="194"/>
      <c r="BN98" s="194"/>
      <c r="BO98" s="195"/>
      <c r="BQ98" s="187"/>
      <c r="BR98" s="185"/>
      <c r="BS98" s="185"/>
      <c r="BT98" s="254"/>
      <c r="BV98" s="187"/>
      <c r="BW98" s="185"/>
      <c r="BX98" s="185"/>
      <c r="BY98" s="185"/>
      <c r="BZ98" s="254"/>
      <c r="CB98" s="187"/>
      <c r="CC98" s="185"/>
      <c r="CD98" s="185"/>
      <c r="CE98" s="185"/>
      <c r="CF98" s="254"/>
      <c r="CH98" s="253"/>
    </row>
    <row r="99" spans="1:86" ht="63">
      <c r="A99" s="1563"/>
      <c r="B99" s="215" t="s">
        <v>328</v>
      </c>
      <c r="C99" s="216" t="s">
        <v>313</v>
      </c>
      <c r="D99" s="217" t="s">
        <v>314</v>
      </c>
      <c r="F99" s="218">
        <v>61160</v>
      </c>
      <c r="G99" s="219">
        <v>68810</v>
      </c>
      <c r="H99" s="218">
        <v>52580</v>
      </c>
      <c r="I99" s="219">
        <v>60230</v>
      </c>
      <c r="J99" s="179" t="s">
        <v>182</v>
      </c>
      <c r="K99" s="220">
        <v>590</v>
      </c>
      <c r="L99" s="221">
        <v>660</v>
      </c>
      <c r="M99" s="222" t="s">
        <v>795</v>
      </c>
      <c r="N99" s="220">
        <v>500</v>
      </c>
      <c r="O99" s="221">
        <v>570</v>
      </c>
      <c r="P99" s="222" t="s">
        <v>795</v>
      </c>
      <c r="Q99" s="160" t="s">
        <v>182</v>
      </c>
      <c r="R99" s="223">
        <v>7650</v>
      </c>
      <c r="S99" s="224">
        <v>70</v>
      </c>
      <c r="T99" s="225" t="s">
        <v>184</v>
      </c>
      <c r="V99" s="187"/>
      <c r="W99" s="185"/>
      <c r="X99" s="176"/>
      <c r="Y99" s="185"/>
      <c r="Z99" s="176"/>
      <c r="AA99" s="176"/>
      <c r="AB99" s="177"/>
      <c r="AC99" s="160" t="s">
        <v>182</v>
      </c>
      <c r="AD99" s="1546">
        <v>14800</v>
      </c>
      <c r="AE99" s="227"/>
      <c r="AF99" s="176" t="s">
        <v>182</v>
      </c>
      <c r="AG99" s="176">
        <v>70</v>
      </c>
      <c r="AH99" s="177" t="s">
        <v>184</v>
      </c>
      <c r="AJ99" s="187" t="s">
        <v>203</v>
      </c>
      <c r="AK99" s="185"/>
      <c r="AL99" s="176" t="s">
        <v>182</v>
      </c>
      <c r="AM99" s="176">
        <v>60</v>
      </c>
      <c r="AN99" s="177" t="s">
        <v>316</v>
      </c>
      <c r="AO99" s="160" t="s">
        <v>182</v>
      </c>
      <c r="AP99" s="1550">
        <v>3600</v>
      </c>
      <c r="AQ99" s="1553">
        <v>4000</v>
      </c>
      <c r="AR99" s="1550">
        <v>2500</v>
      </c>
      <c r="AS99" s="1553">
        <v>2500</v>
      </c>
      <c r="AT99" s="1544" t="s">
        <v>664</v>
      </c>
      <c r="AU99" s="230" t="s">
        <v>697</v>
      </c>
      <c r="AV99" s="231">
        <v>7200</v>
      </c>
      <c r="AW99" s="232">
        <v>8100</v>
      </c>
      <c r="AX99" s="267">
        <v>5100</v>
      </c>
      <c r="AY99" s="252">
        <v>5100</v>
      </c>
      <c r="BA99" s="277"/>
      <c r="BB99" s="160" t="s">
        <v>182</v>
      </c>
      <c r="BC99" s="1556">
        <v>4700</v>
      </c>
      <c r="BD99" s="160" t="s">
        <v>182</v>
      </c>
      <c r="BE99" s="228">
        <v>3640</v>
      </c>
      <c r="BF99" s="226" t="s">
        <v>182</v>
      </c>
      <c r="BG99" s="226">
        <v>30</v>
      </c>
      <c r="BH99" s="217" t="s">
        <v>184</v>
      </c>
      <c r="BJ99" s="253"/>
      <c r="BK99" s="160" t="s">
        <v>188</v>
      </c>
      <c r="BL99" s="237" t="s">
        <v>317</v>
      </c>
      <c r="BM99" s="238" t="s">
        <v>317</v>
      </c>
      <c r="BN99" s="238" t="s">
        <v>317</v>
      </c>
      <c r="BO99" s="239" t="s">
        <v>317</v>
      </c>
      <c r="BP99" s="160" t="s">
        <v>188</v>
      </c>
      <c r="BQ99" s="228"/>
      <c r="BR99" s="229"/>
      <c r="BS99" s="229"/>
      <c r="BT99" s="240"/>
      <c r="BU99" s="160" t="s">
        <v>188</v>
      </c>
      <c r="BV99" s="228"/>
      <c r="BW99" s="229"/>
      <c r="BX99" s="229"/>
      <c r="BY99" s="229"/>
      <c r="BZ99" s="240"/>
      <c r="CA99" s="160" t="s">
        <v>188</v>
      </c>
      <c r="CB99" s="228"/>
      <c r="CC99" s="229"/>
      <c r="CD99" s="229"/>
      <c r="CE99" s="229"/>
      <c r="CF99" s="240"/>
      <c r="CH99" s="236" t="s">
        <v>324</v>
      </c>
    </row>
    <row r="100" spans="1:86">
      <c r="A100" s="1563"/>
      <c r="B100" s="168"/>
      <c r="C100" s="241"/>
      <c r="D100" s="177" t="s">
        <v>318</v>
      </c>
      <c r="F100" s="242">
        <v>68810</v>
      </c>
      <c r="G100" s="243">
        <v>130650</v>
      </c>
      <c r="H100" s="242">
        <v>60230</v>
      </c>
      <c r="I100" s="243">
        <v>122070</v>
      </c>
      <c r="J100" s="179" t="s">
        <v>182</v>
      </c>
      <c r="K100" s="244">
        <v>660</v>
      </c>
      <c r="L100" s="245">
        <v>1190</v>
      </c>
      <c r="M100" s="246" t="s">
        <v>795</v>
      </c>
      <c r="N100" s="244">
        <v>570</v>
      </c>
      <c r="O100" s="245">
        <v>1110</v>
      </c>
      <c r="P100" s="246" t="s">
        <v>795</v>
      </c>
      <c r="Q100" s="160" t="s">
        <v>182</v>
      </c>
      <c r="R100" s="187">
        <v>7650</v>
      </c>
      <c r="S100" s="185">
        <v>70</v>
      </c>
      <c r="T100" s="247" t="s">
        <v>184</v>
      </c>
      <c r="V100" s="280"/>
      <c r="W100" s="279" t="s">
        <v>705</v>
      </c>
      <c r="X100" s="176"/>
      <c r="Y100" s="279" t="s">
        <v>705</v>
      </c>
      <c r="Z100" s="279"/>
      <c r="AA100" s="176"/>
      <c r="AB100" s="177"/>
      <c r="AD100" s="1547"/>
      <c r="AE100" s="248">
        <v>13080</v>
      </c>
      <c r="AF100" s="176"/>
      <c r="AG100" s="176"/>
      <c r="AH100" s="177"/>
      <c r="AJ100" s="187"/>
      <c r="AK100" s="185"/>
      <c r="AL100" s="176"/>
      <c r="AM100" s="176"/>
      <c r="AN100" s="177"/>
      <c r="AP100" s="1551"/>
      <c r="AQ100" s="1554"/>
      <c r="AR100" s="1551"/>
      <c r="AS100" s="1554"/>
      <c r="AT100" s="1544"/>
      <c r="AU100" s="172" t="s">
        <v>699</v>
      </c>
      <c r="AV100" s="249">
        <v>4000</v>
      </c>
      <c r="AW100" s="250">
        <v>4400</v>
      </c>
      <c r="AX100" s="267">
        <v>2800</v>
      </c>
      <c r="AY100" s="252">
        <v>2800</v>
      </c>
      <c r="BA100" s="235" t="s">
        <v>667</v>
      </c>
      <c r="BC100" s="1557"/>
      <c r="BE100" s="187"/>
      <c r="BF100" s="176"/>
      <c r="BG100" s="176"/>
      <c r="BH100" s="177"/>
      <c r="BJ100" s="253"/>
      <c r="BL100" s="193"/>
      <c r="BM100" s="194"/>
      <c r="BN100" s="194"/>
      <c r="BO100" s="195"/>
      <c r="BQ100" s="187">
        <v>2120</v>
      </c>
      <c r="BR100" s="185" t="s">
        <v>189</v>
      </c>
      <c r="BS100" s="185">
        <v>20</v>
      </c>
      <c r="BT100" s="254" t="s">
        <v>184</v>
      </c>
      <c r="BV100" s="187">
        <v>7650</v>
      </c>
      <c r="BW100" s="185" t="s">
        <v>189</v>
      </c>
      <c r="BX100" s="185">
        <v>70</v>
      </c>
      <c r="BY100" s="185" t="s">
        <v>184</v>
      </c>
      <c r="BZ100" s="254" t="s">
        <v>190</v>
      </c>
      <c r="CB100" s="187">
        <v>4960</v>
      </c>
      <c r="CC100" s="185" t="s">
        <v>189</v>
      </c>
      <c r="CD100" s="185">
        <v>50</v>
      </c>
      <c r="CE100" s="185" t="s">
        <v>184</v>
      </c>
      <c r="CF100" s="254" t="s">
        <v>190</v>
      </c>
      <c r="CH100" s="253"/>
    </row>
    <row r="101" spans="1:86">
      <c r="A101" s="1563"/>
      <c r="B101" s="168"/>
      <c r="C101" s="241" t="s">
        <v>319</v>
      </c>
      <c r="D101" s="177" t="s">
        <v>320</v>
      </c>
      <c r="F101" s="242">
        <v>130650</v>
      </c>
      <c r="G101" s="243">
        <v>207180</v>
      </c>
      <c r="H101" s="242">
        <v>122070</v>
      </c>
      <c r="I101" s="243">
        <v>198600</v>
      </c>
      <c r="J101" s="179" t="s">
        <v>182</v>
      </c>
      <c r="K101" s="244">
        <v>1190</v>
      </c>
      <c r="L101" s="245">
        <v>1950</v>
      </c>
      <c r="M101" s="246" t="s">
        <v>795</v>
      </c>
      <c r="N101" s="244">
        <v>1110</v>
      </c>
      <c r="O101" s="245">
        <v>1870</v>
      </c>
      <c r="P101" s="246" t="s">
        <v>795</v>
      </c>
      <c r="R101" s="182"/>
      <c r="S101" s="176"/>
      <c r="T101" s="177"/>
      <c r="V101" s="187"/>
      <c r="W101" s="185">
        <v>313600</v>
      </c>
      <c r="X101" s="176"/>
      <c r="Y101" s="185">
        <v>3130</v>
      </c>
      <c r="Z101" s="176" t="s">
        <v>184</v>
      </c>
      <c r="AA101" s="176"/>
      <c r="AB101" s="177"/>
      <c r="AC101" s="160" t="s">
        <v>182</v>
      </c>
      <c r="AD101" s="1548">
        <v>13080</v>
      </c>
      <c r="AE101" s="255"/>
      <c r="AF101" s="176"/>
      <c r="AG101" s="176">
        <v>0</v>
      </c>
      <c r="AH101" s="177"/>
      <c r="AJ101" s="187">
        <v>6300</v>
      </c>
      <c r="AK101" s="185" t="s">
        <v>321</v>
      </c>
      <c r="AL101" s="176"/>
      <c r="AM101" s="176"/>
      <c r="AN101" s="177"/>
      <c r="AP101" s="1551"/>
      <c r="AQ101" s="1554"/>
      <c r="AR101" s="1551"/>
      <c r="AS101" s="1554"/>
      <c r="AT101" s="1544"/>
      <c r="AU101" s="172" t="s">
        <v>700</v>
      </c>
      <c r="AV101" s="249">
        <v>3500</v>
      </c>
      <c r="AW101" s="250">
        <v>3800</v>
      </c>
      <c r="AX101" s="267">
        <v>2400</v>
      </c>
      <c r="AY101" s="252">
        <v>2400</v>
      </c>
      <c r="BA101" s="235">
        <v>9770</v>
      </c>
      <c r="BC101" s="359"/>
      <c r="BE101" s="187"/>
      <c r="BF101" s="176"/>
      <c r="BG101" s="176"/>
      <c r="BH101" s="177"/>
      <c r="BJ101" s="253"/>
      <c r="BL101" s="193">
        <v>0.01</v>
      </c>
      <c r="BM101" s="194">
        <v>0.03</v>
      </c>
      <c r="BN101" s="194">
        <v>0.04</v>
      </c>
      <c r="BO101" s="195">
        <v>0.06</v>
      </c>
      <c r="BQ101" s="187"/>
      <c r="BR101" s="185"/>
      <c r="BS101" s="185"/>
      <c r="BT101" s="254"/>
      <c r="BV101" s="187"/>
      <c r="BW101" s="185"/>
      <c r="BX101" s="185"/>
      <c r="BY101" s="185"/>
      <c r="BZ101" s="254"/>
      <c r="CB101" s="187"/>
      <c r="CC101" s="185"/>
      <c r="CD101" s="185"/>
      <c r="CE101" s="185"/>
      <c r="CF101" s="254"/>
      <c r="CH101" s="253">
        <v>0.9</v>
      </c>
    </row>
    <row r="102" spans="1:86">
      <c r="A102" s="1563"/>
      <c r="B102" s="269"/>
      <c r="C102" s="270"/>
      <c r="D102" s="184" t="s">
        <v>322</v>
      </c>
      <c r="F102" s="256">
        <v>207180</v>
      </c>
      <c r="G102" s="257"/>
      <c r="H102" s="256">
        <v>198600</v>
      </c>
      <c r="I102" s="257"/>
      <c r="J102" s="179" t="s">
        <v>182</v>
      </c>
      <c r="K102" s="258">
        <v>1950</v>
      </c>
      <c r="L102" s="259"/>
      <c r="M102" s="260" t="s">
        <v>795</v>
      </c>
      <c r="N102" s="258">
        <v>1870</v>
      </c>
      <c r="O102" s="259"/>
      <c r="P102" s="260" t="s">
        <v>795</v>
      </c>
      <c r="R102" s="183"/>
      <c r="S102" s="271"/>
      <c r="T102" s="184"/>
      <c r="V102" s="187"/>
      <c r="W102" s="185"/>
      <c r="X102" s="176"/>
      <c r="Y102" s="185"/>
      <c r="Z102" s="176"/>
      <c r="AA102" s="176"/>
      <c r="AB102" s="177"/>
      <c r="AD102" s="1549"/>
      <c r="AE102" s="261"/>
      <c r="AF102" s="176"/>
      <c r="AG102" s="176"/>
      <c r="AH102" s="177"/>
      <c r="AJ102" s="187"/>
      <c r="AK102" s="185"/>
      <c r="AL102" s="176"/>
      <c r="AM102" s="176"/>
      <c r="AN102" s="177"/>
      <c r="AP102" s="1552"/>
      <c r="AQ102" s="1555"/>
      <c r="AR102" s="1552"/>
      <c r="AS102" s="1555"/>
      <c r="AT102" s="1544"/>
      <c r="AU102" s="262" t="s">
        <v>701</v>
      </c>
      <c r="AV102" s="263">
        <v>3100</v>
      </c>
      <c r="AW102" s="264">
        <v>3400</v>
      </c>
      <c r="AX102" s="265">
        <v>2100</v>
      </c>
      <c r="AY102" s="266">
        <v>2100</v>
      </c>
      <c r="BA102" s="277"/>
      <c r="BC102" s="359"/>
      <c r="BE102" s="186"/>
      <c r="BF102" s="271"/>
      <c r="BG102" s="271"/>
      <c r="BH102" s="184"/>
      <c r="BJ102" s="253"/>
      <c r="BL102" s="272"/>
      <c r="BM102" s="273"/>
      <c r="BN102" s="273"/>
      <c r="BO102" s="274"/>
      <c r="BQ102" s="186"/>
      <c r="BR102" s="196"/>
      <c r="BS102" s="196"/>
      <c r="BT102" s="197"/>
      <c r="BV102" s="186"/>
      <c r="BW102" s="196"/>
      <c r="BX102" s="196"/>
      <c r="BY102" s="196"/>
      <c r="BZ102" s="197"/>
      <c r="CB102" s="186"/>
      <c r="CC102" s="196"/>
      <c r="CD102" s="196"/>
      <c r="CE102" s="196"/>
      <c r="CF102" s="197"/>
      <c r="CH102" s="198"/>
    </row>
    <row r="103" spans="1:86" ht="63">
      <c r="A103" s="1563"/>
      <c r="B103" s="168" t="s">
        <v>329</v>
      </c>
      <c r="C103" s="241" t="s">
        <v>313</v>
      </c>
      <c r="D103" s="177" t="s">
        <v>314</v>
      </c>
      <c r="F103" s="218">
        <v>54980</v>
      </c>
      <c r="G103" s="219">
        <v>62630</v>
      </c>
      <c r="H103" s="218">
        <v>47620</v>
      </c>
      <c r="I103" s="219">
        <v>55270</v>
      </c>
      <c r="J103" s="179" t="s">
        <v>182</v>
      </c>
      <c r="K103" s="220">
        <v>530</v>
      </c>
      <c r="L103" s="221">
        <v>600</v>
      </c>
      <c r="M103" s="222" t="s">
        <v>795</v>
      </c>
      <c r="N103" s="220">
        <v>450</v>
      </c>
      <c r="O103" s="221">
        <v>520</v>
      </c>
      <c r="P103" s="222" t="s">
        <v>795</v>
      </c>
      <c r="Q103" s="160" t="s">
        <v>182</v>
      </c>
      <c r="R103" s="275">
        <v>7650</v>
      </c>
      <c r="S103" s="276">
        <v>70</v>
      </c>
      <c r="T103" s="247" t="s">
        <v>184</v>
      </c>
      <c r="V103" s="280"/>
      <c r="W103" s="279" t="s">
        <v>706</v>
      </c>
      <c r="X103" s="176"/>
      <c r="Y103" s="279" t="s">
        <v>706</v>
      </c>
      <c r="Z103" s="279"/>
      <c r="AA103" s="176"/>
      <c r="AB103" s="177"/>
      <c r="AC103" s="160" t="s">
        <v>182</v>
      </c>
      <c r="AD103" s="1546">
        <v>13680</v>
      </c>
      <c r="AE103" s="227"/>
      <c r="AF103" s="226" t="s">
        <v>182</v>
      </c>
      <c r="AG103" s="226">
        <v>60</v>
      </c>
      <c r="AH103" s="217" t="s">
        <v>184</v>
      </c>
      <c r="AJ103" s="187" t="s">
        <v>205</v>
      </c>
      <c r="AK103" s="185"/>
      <c r="AL103" s="176" t="s">
        <v>182</v>
      </c>
      <c r="AM103" s="176">
        <v>50</v>
      </c>
      <c r="AN103" s="177" t="s">
        <v>316</v>
      </c>
      <c r="AO103" s="160" t="s">
        <v>182</v>
      </c>
      <c r="AP103" s="1550">
        <v>3100</v>
      </c>
      <c r="AQ103" s="1553">
        <v>3400</v>
      </c>
      <c r="AR103" s="1550">
        <v>2100</v>
      </c>
      <c r="AS103" s="1553">
        <v>2100</v>
      </c>
      <c r="AT103" s="1544" t="s">
        <v>664</v>
      </c>
      <c r="AU103" s="230" t="s">
        <v>697</v>
      </c>
      <c r="AV103" s="231">
        <v>6300</v>
      </c>
      <c r="AW103" s="232">
        <v>7100</v>
      </c>
      <c r="AX103" s="267">
        <v>4400</v>
      </c>
      <c r="AY103" s="252">
        <v>4400</v>
      </c>
      <c r="BA103" s="235" t="s">
        <v>668</v>
      </c>
      <c r="BB103" s="160" t="s">
        <v>182</v>
      </c>
      <c r="BC103" s="1556">
        <v>4700</v>
      </c>
      <c r="BD103" s="160" t="s">
        <v>182</v>
      </c>
      <c r="BE103" s="187">
        <v>3120</v>
      </c>
      <c r="BF103" s="176" t="s">
        <v>182</v>
      </c>
      <c r="BG103" s="176">
        <v>30</v>
      </c>
      <c r="BH103" s="177" t="s">
        <v>184</v>
      </c>
      <c r="BJ103" s="253"/>
      <c r="BK103" s="160" t="s">
        <v>188</v>
      </c>
      <c r="BL103" s="193" t="s">
        <v>317</v>
      </c>
      <c r="BM103" s="194" t="s">
        <v>317</v>
      </c>
      <c r="BN103" s="194" t="s">
        <v>317</v>
      </c>
      <c r="BO103" s="195" t="s">
        <v>317</v>
      </c>
      <c r="BP103" s="160" t="s">
        <v>188</v>
      </c>
      <c r="BQ103" s="187"/>
      <c r="BR103" s="185"/>
      <c r="BS103" s="185"/>
      <c r="BT103" s="254"/>
      <c r="BU103" s="160" t="s">
        <v>188</v>
      </c>
      <c r="BV103" s="187"/>
      <c r="BW103" s="185"/>
      <c r="BX103" s="185"/>
      <c r="BY103" s="185"/>
      <c r="BZ103" s="254"/>
      <c r="CA103" s="160" t="s">
        <v>188</v>
      </c>
      <c r="CB103" s="187"/>
      <c r="CC103" s="185"/>
      <c r="CD103" s="185"/>
      <c r="CE103" s="185"/>
      <c r="CF103" s="254"/>
      <c r="CH103" s="253" t="s">
        <v>324</v>
      </c>
    </row>
    <row r="104" spans="1:86">
      <c r="A104" s="1563"/>
      <c r="B104" s="168"/>
      <c r="C104" s="241"/>
      <c r="D104" s="177" t="s">
        <v>318</v>
      </c>
      <c r="F104" s="242">
        <v>62630</v>
      </c>
      <c r="G104" s="243">
        <v>124470</v>
      </c>
      <c r="H104" s="242">
        <v>55270</v>
      </c>
      <c r="I104" s="243">
        <v>117110</v>
      </c>
      <c r="J104" s="179" t="s">
        <v>182</v>
      </c>
      <c r="K104" s="244">
        <v>600</v>
      </c>
      <c r="L104" s="245">
        <v>1130</v>
      </c>
      <c r="M104" s="246" t="s">
        <v>795</v>
      </c>
      <c r="N104" s="244">
        <v>520</v>
      </c>
      <c r="O104" s="245">
        <v>1060</v>
      </c>
      <c r="P104" s="246" t="s">
        <v>795</v>
      </c>
      <c r="Q104" s="160" t="s">
        <v>182</v>
      </c>
      <c r="R104" s="187">
        <v>7650</v>
      </c>
      <c r="S104" s="185">
        <v>70</v>
      </c>
      <c r="T104" s="247" t="s">
        <v>184</v>
      </c>
      <c r="V104" s="187"/>
      <c r="W104" s="185">
        <v>350300</v>
      </c>
      <c r="X104" s="176"/>
      <c r="Y104" s="185">
        <v>3500</v>
      </c>
      <c r="Z104" s="176" t="s">
        <v>184</v>
      </c>
      <c r="AA104" s="176"/>
      <c r="AB104" s="177"/>
      <c r="AD104" s="1547"/>
      <c r="AE104" s="248">
        <v>11950</v>
      </c>
      <c r="AF104" s="176"/>
      <c r="AG104" s="176"/>
      <c r="AH104" s="177"/>
      <c r="AJ104" s="187"/>
      <c r="AK104" s="185"/>
      <c r="AL104" s="176"/>
      <c r="AM104" s="176"/>
      <c r="AN104" s="177"/>
      <c r="AP104" s="1551"/>
      <c r="AQ104" s="1554"/>
      <c r="AR104" s="1551"/>
      <c r="AS104" s="1554"/>
      <c r="AT104" s="1544"/>
      <c r="AU104" s="172" t="s">
        <v>699</v>
      </c>
      <c r="AV104" s="249">
        <v>3500</v>
      </c>
      <c r="AW104" s="250">
        <v>3900</v>
      </c>
      <c r="AX104" s="267">
        <v>2400</v>
      </c>
      <c r="AY104" s="252">
        <v>2400</v>
      </c>
      <c r="BA104" s="235">
        <v>7500</v>
      </c>
      <c r="BC104" s="1557"/>
      <c r="BE104" s="187"/>
      <c r="BF104" s="176"/>
      <c r="BG104" s="176"/>
      <c r="BH104" s="177"/>
      <c r="BJ104" s="253"/>
      <c r="BL104" s="193"/>
      <c r="BM104" s="194"/>
      <c r="BN104" s="194"/>
      <c r="BO104" s="195"/>
      <c r="BQ104" s="187">
        <v>1810</v>
      </c>
      <c r="BR104" s="185" t="s">
        <v>189</v>
      </c>
      <c r="BS104" s="185">
        <v>10</v>
      </c>
      <c r="BT104" s="254" t="s">
        <v>184</v>
      </c>
      <c r="BV104" s="187">
        <v>6560</v>
      </c>
      <c r="BW104" s="185" t="s">
        <v>189</v>
      </c>
      <c r="BX104" s="185">
        <v>60</v>
      </c>
      <c r="BY104" s="185" t="s">
        <v>184</v>
      </c>
      <c r="BZ104" s="254" t="s">
        <v>190</v>
      </c>
      <c r="CB104" s="187">
        <v>4250</v>
      </c>
      <c r="CC104" s="185" t="s">
        <v>189</v>
      </c>
      <c r="CD104" s="185">
        <v>40</v>
      </c>
      <c r="CE104" s="185" t="s">
        <v>184</v>
      </c>
      <c r="CF104" s="254" t="s">
        <v>190</v>
      </c>
      <c r="CH104" s="253"/>
    </row>
    <row r="105" spans="1:86">
      <c r="A105" s="1563"/>
      <c r="B105" s="168"/>
      <c r="C105" s="241" t="s">
        <v>319</v>
      </c>
      <c r="D105" s="177" t="s">
        <v>320</v>
      </c>
      <c r="F105" s="242">
        <v>124470</v>
      </c>
      <c r="G105" s="243">
        <v>201000</v>
      </c>
      <c r="H105" s="242">
        <v>117110</v>
      </c>
      <c r="I105" s="243">
        <v>193640</v>
      </c>
      <c r="J105" s="179" t="s">
        <v>182</v>
      </c>
      <c r="K105" s="244">
        <v>1130</v>
      </c>
      <c r="L105" s="245">
        <v>1890</v>
      </c>
      <c r="M105" s="246" t="s">
        <v>795</v>
      </c>
      <c r="N105" s="244">
        <v>1060</v>
      </c>
      <c r="O105" s="245">
        <v>1820</v>
      </c>
      <c r="P105" s="246" t="s">
        <v>795</v>
      </c>
      <c r="R105" s="182"/>
      <c r="S105" s="176"/>
      <c r="T105" s="177"/>
      <c r="V105" s="187"/>
      <c r="W105" s="185"/>
      <c r="X105" s="176"/>
      <c r="Y105" s="185"/>
      <c r="Z105" s="176"/>
      <c r="AA105" s="176"/>
      <c r="AB105" s="177"/>
      <c r="AC105" s="160" t="s">
        <v>182</v>
      </c>
      <c r="AD105" s="1548">
        <v>11950</v>
      </c>
      <c r="AE105" s="255"/>
      <c r="AF105" s="176"/>
      <c r="AG105" s="176">
        <v>0</v>
      </c>
      <c r="AH105" s="177"/>
      <c r="AJ105" s="187">
        <v>5250</v>
      </c>
      <c r="AK105" s="185" t="s">
        <v>321</v>
      </c>
      <c r="AL105" s="176"/>
      <c r="AM105" s="176"/>
      <c r="AN105" s="177"/>
      <c r="AP105" s="1551"/>
      <c r="AQ105" s="1554"/>
      <c r="AR105" s="1551"/>
      <c r="AS105" s="1554"/>
      <c r="AT105" s="1544"/>
      <c r="AU105" s="172" t="s">
        <v>700</v>
      </c>
      <c r="AV105" s="249">
        <v>3000</v>
      </c>
      <c r="AW105" s="250">
        <v>3400</v>
      </c>
      <c r="AX105" s="267">
        <v>2100</v>
      </c>
      <c r="AY105" s="252">
        <v>2100</v>
      </c>
      <c r="BA105" s="277"/>
      <c r="BC105" s="359"/>
      <c r="BE105" s="187"/>
      <c r="BF105" s="176"/>
      <c r="BG105" s="176"/>
      <c r="BH105" s="177"/>
      <c r="BJ105" s="253"/>
      <c r="BL105" s="193">
        <v>0.01</v>
      </c>
      <c r="BM105" s="194">
        <v>0.03</v>
      </c>
      <c r="BN105" s="194">
        <v>0.04</v>
      </c>
      <c r="BO105" s="195">
        <v>0.06</v>
      </c>
      <c r="BQ105" s="187"/>
      <c r="BR105" s="185"/>
      <c r="BS105" s="185"/>
      <c r="BT105" s="254"/>
      <c r="BV105" s="187"/>
      <c r="BW105" s="185"/>
      <c r="BX105" s="185"/>
      <c r="BY105" s="185"/>
      <c r="BZ105" s="254"/>
      <c r="CB105" s="187"/>
      <c r="CC105" s="185"/>
      <c r="CD105" s="185"/>
      <c r="CE105" s="185"/>
      <c r="CF105" s="254"/>
      <c r="CH105" s="253">
        <v>0.92</v>
      </c>
    </row>
    <row r="106" spans="1:86">
      <c r="A106" s="1563"/>
      <c r="B106" s="168"/>
      <c r="C106" s="241"/>
      <c r="D106" s="177" t="s">
        <v>322</v>
      </c>
      <c r="F106" s="256">
        <v>201000</v>
      </c>
      <c r="G106" s="257"/>
      <c r="H106" s="256">
        <v>193640</v>
      </c>
      <c r="I106" s="257"/>
      <c r="J106" s="179" t="s">
        <v>182</v>
      </c>
      <c r="K106" s="258">
        <v>1890</v>
      </c>
      <c r="L106" s="259"/>
      <c r="M106" s="260" t="s">
        <v>795</v>
      </c>
      <c r="N106" s="258">
        <v>1820</v>
      </c>
      <c r="O106" s="259"/>
      <c r="P106" s="260" t="s">
        <v>795</v>
      </c>
      <c r="R106" s="182"/>
      <c r="S106" s="176"/>
      <c r="T106" s="177"/>
      <c r="V106" s="280"/>
      <c r="W106" s="279" t="s">
        <v>707</v>
      </c>
      <c r="X106" s="176"/>
      <c r="Y106" s="279" t="s">
        <v>707</v>
      </c>
      <c r="Z106" s="279"/>
      <c r="AA106" s="176"/>
      <c r="AB106" s="177"/>
      <c r="AD106" s="1549"/>
      <c r="AE106" s="261"/>
      <c r="AF106" s="271"/>
      <c r="AG106" s="271"/>
      <c r="AH106" s="184"/>
      <c r="AJ106" s="187"/>
      <c r="AK106" s="185"/>
      <c r="AL106" s="176"/>
      <c r="AM106" s="176"/>
      <c r="AN106" s="177"/>
      <c r="AP106" s="1552"/>
      <c r="AQ106" s="1555"/>
      <c r="AR106" s="1552"/>
      <c r="AS106" s="1555"/>
      <c r="AT106" s="1544"/>
      <c r="AU106" s="262" t="s">
        <v>701</v>
      </c>
      <c r="AV106" s="263">
        <v>2700</v>
      </c>
      <c r="AW106" s="264">
        <v>3000</v>
      </c>
      <c r="AX106" s="265">
        <v>1900</v>
      </c>
      <c r="AY106" s="266">
        <v>1900</v>
      </c>
      <c r="BA106" s="235" t="s">
        <v>669</v>
      </c>
      <c r="BC106" s="359"/>
      <c r="BE106" s="187"/>
      <c r="BF106" s="176"/>
      <c r="BG106" s="176"/>
      <c r="BH106" s="177"/>
      <c r="BJ106" s="253"/>
      <c r="BL106" s="193"/>
      <c r="BM106" s="194"/>
      <c r="BN106" s="194"/>
      <c r="BO106" s="195"/>
      <c r="BQ106" s="187"/>
      <c r="BR106" s="185"/>
      <c r="BS106" s="185"/>
      <c r="BT106" s="254"/>
      <c r="BV106" s="187"/>
      <c r="BW106" s="185"/>
      <c r="BX106" s="185"/>
      <c r="BY106" s="185"/>
      <c r="BZ106" s="254"/>
      <c r="CB106" s="187"/>
      <c r="CC106" s="185"/>
      <c r="CD106" s="185"/>
      <c r="CE106" s="185"/>
      <c r="CF106" s="254"/>
      <c r="CH106" s="253"/>
    </row>
    <row r="107" spans="1:86" ht="63">
      <c r="A107" s="1563"/>
      <c r="B107" s="215" t="s">
        <v>330</v>
      </c>
      <c r="C107" s="216" t="s">
        <v>313</v>
      </c>
      <c r="D107" s="217" t="s">
        <v>314</v>
      </c>
      <c r="F107" s="218">
        <v>50390</v>
      </c>
      <c r="G107" s="219">
        <v>58040</v>
      </c>
      <c r="H107" s="218">
        <v>43960</v>
      </c>
      <c r="I107" s="219">
        <v>51610</v>
      </c>
      <c r="J107" s="179" t="s">
        <v>182</v>
      </c>
      <c r="K107" s="220">
        <v>480</v>
      </c>
      <c r="L107" s="221">
        <v>550</v>
      </c>
      <c r="M107" s="222" t="s">
        <v>795</v>
      </c>
      <c r="N107" s="220">
        <v>420</v>
      </c>
      <c r="O107" s="221">
        <v>490</v>
      </c>
      <c r="P107" s="222" t="s">
        <v>795</v>
      </c>
      <c r="Q107" s="160" t="s">
        <v>182</v>
      </c>
      <c r="R107" s="223">
        <v>7650</v>
      </c>
      <c r="S107" s="224">
        <v>70</v>
      </c>
      <c r="T107" s="225" t="s">
        <v>184</v>
      </c>
      <c r="V107" s="187"/>
      <c r="W107" s="185">
        <v>387100</v>
      </c>
      <c r="X107" s="176"/>
      <c r="Y107" s="185">
        <v>3870</v>
      </c>
      <c r="Z107" s="176" t="s">
        <v>184</v>
      </c>
      <c r="AA107" s="176"/>
      <c r="AB107" s="177"/>
      <c r="AC107" s="160" t="s">
        <v>182</v>
      </c>
      <c r="AD107" s="1546">
        <v>12830</v>
      </c>
      <c r="AE107" s="227"/>
      <c r="AF107" s="176" t="s">
        <v>182</v>
      </c>
      <c r="AG107" s="176">
        <v>50</v>
      </c>
      <c r="AH107" s="177" t="s">
        <v>184</v>
      </c>
      <c r="AJ107" s="187" t="s">
        <v>207</v>
      </c>
      <c r="AK107" s="185"/>
      <c r="AL107" s="176" t="s">
        <v>182</v>
      </c>
      <c r="AM107" s="176">
        <v>40</v>
      </c>
      <c r="AN107" s="177" t="s">
        <v>316</v>
      </c>
      <c r="AO107" s="160" t="s">
        <v>182</v>
      </c>
      <c r="AP107" s="1550">
        <v>3500</v>
      </c>
      <c r="AQ107" s="1553">
        <v>3900</v>
      </c>
      <c r="AR107" s="1550">
        <v>2500</v>
      </c>
      <c r="AS107" s="1553">
        <v>2500</v>
      </c>
      <c r="AT107" s="1544" t="s">
        <v>664</v>
      </c>
      <c r="AU107" s="230" t="s">
        <v>697</v>
      </c>
      <c r="AV107" s="231">
        <v>7100</v>
      </c>
      <c r="AW107" s="232">
        <v>7900</v>
      </c>
      <c r="AX107" s="267">
        <v>4900</v>
      </c>
      <c r="AY107" s="252">
        <v>4900</v>
      </c>
      <c r="BA107" s="235">
        <v>6130</v>
      </c>
      <c r="BB107" s="160" t="s">
        <v>182</v>
      </c>
      <c r="BC107" s="1556">
        <v>4700</v>
      </c>
      <c r="BD107" s="160" t="s">
        <v>182</v>
      </c>
      <c r="BE107" s="228">
        <v>2730</v>
      </c>
      <c r="BF107" s="226" t="s">
        <v>182</v>
      </c>
      <c r="BG107" s="226">
        <v>20</v>
      </c>
      <c r="BH107" s="217" t="s">
        <v>184</v>
      </c>
      <c r="BJ107" s="253"/>
      <c r="BK107" s="160" t="s">
        <v>188</v>
      </c>
      <c r="BL107" s="237" t="s">
        <v>317</v>
      </c>
      <c r="BM107" s="238" t="s">
        <v>317</v>
      </c>
      <c r="BN107" s="238" t="s">
        <v>317</v>
      </c>
      <c r="BO107" s="239" t="s">
        <v>317</v>
      </c>
      <c r="BP107" s="160" t="s">
        <v>188</v>
      </c>
      <c r="BQ107" s="228"/>
      <c r="BR107" s="229"/>
      <c r="BS107" s="229"/>
      <c r="BT107" s="240"/>
      <c r="BU107" s="160" t="s">
        <v>188</v>
      </c>
      <c r="BV107" s="228"/>
      <c r="BW107" s="229"/>
      <c r="BX107" s="229"/>
      <c r="BY107" s="229"/>
      <c r="BZ107" s="240"/>
      <c r="CA107" s="160" t="s">
        <v>188</v>
      </c>
      <c r="CB107" s="228"/>
      <c r="CC107" s="229"/>
      <c r="CD107" s="229"/>
      <c r="CE107" s="229"/>
      <c r="CF107" s="240"/>
      <c r="CH107" s="236" t="s">
        <v>324</v>
      </c>
    </row>
    <row r="108" spans="1:86">
      <c r="A108" s="1563"/>
      <c r="B108" s="168"/>
      <c r="C108" s="241"/>
      <c r="D108" s="177" t="s">
        <v>318</v>
      </c>
      <c r="F108" s="242">
        <v>58040</v>
      </c>
      <c r="G108" s="243">
        <v>119880</v>
      </c>
      <c r="H108" s="242">
        <v>51610</v>
      </c>
      <c r="I108" s="243">
        <v>113450</v>
      </c>
      <c r="J108" s="179" t="s">
        <v>182</v>
      </c>
      <c r="K108" s="244">
        <v>550</v>
      </c>
      <c r="L108" s="245">
        <v>1080</v>
      </c>
      <c r="M108" s="246" t="s">
        <v>795</v>
      </c>
      <c r="N108" s="244">
        <v>490</v>
      </c>
      <c r="O108" s="245">
        <v>1020</v>
      </c>
      <c r="P108" s="246" t="s">
        <v>795</v>
      </c>
      <c r="Q108" s="160" t="s">
        <v>182</v>
      </c>
      <c r="R108" s="187">
        <v>7650</v>
      </c>
      <c r="S108" s="185">
        <v>70</v>
      </c>
      <c r="T108" s="247" t="s">
        <v>184</v>
      </c>
      <c r="V108" s="187"/>
      <c r="W108" s="185"/>
      <c r="X108" s="176"/>
      <c r="Y108" s="185"/>
      <c r="Z108" s="176"/>
      <c r="AA108" s="176"/>
      <c r="AB108" s="177"/>
      <c r="AD108" s="1547"/>
      <c r="AE108" s="248">
        <v>11100</v>
      </c>
      <c r="AF108" s="176"/>
      <c r="AG108" s="176"/>
      <c r="AH108" s="177"/>
      <c r="AJ108" s="187"/>
      <c r="AK108" s="185"/>
      <c r="AL108" s="176"/>
      <c r="AM108" s="176"/>
      <c r="AN108" s="177"/>
      <c r="AP108" s="1551"/>
      <c r="AQ108" s="1554"/>
      <c r="AR108" s="1551"/>
      <c r="AS108" s="1554"/>
      <c r="AT108" s="1544"/>
      <c r="AU108" s="172" t="s">
        <v>699</v>
      </c>
      <c r="AV108" s="249">
        <v>3900</v>
      </c>
      <c r="AW108" s="250">
        <v>4300</v>
      </c>
      <c r="AX108" s="267">
        <v>2700</v>
      </c>
      <c r="AY108" s="252">
        <v>2700</v>
      </c>
      <c r="BA108" s="277"/>
      <c r="BC108" s="1557"/>
      <c r="BE108" s="187"/>
      <c r="BF108" s="176"/>
      <c r="BG108" s="176"/>
      <c r="BH108" s="177"/>
      <c r="BJ108" s="253"/>
      <c r="BL108" s="193"/>
      <c r="BM108" s="194"/>
      <c r="BN108" s="194"/>
      <c r="BO108" s="195"/>
      <c r="BQ108" s="187">
        <v>1590</v>
      </c>
      <c r="BR108" s="185" t="s">
        <v>189</v>
      </c>
      <c r="BS108" s="185">
        <v>10</v>
      </c>
      <c r="BT108" s="254" t="s">
        <v>184</v>
      </c>
      <c r="BV108" s="187">
        <v>5740</v>
      </c>
      <c r="BW108" s="185" t="s">
        <v>189</v>
      </c>
      <c r="BX108" s="185">
        <v>50</v>
      </c>
      <c r="BY108" s="185" t="s">
        <v>184</v>
      </c>
      <c r="BZ108" s="254" t="s">
        <v>190</v>
      </c>
      <c r="CB108" s="187">
        <v>3720</v>
      </c>
      <c r="CC108" s="185" t="s">
        <v>189</v>
      </c>
      <c r="CD108" s="185">
        <v>30</v>
      </c>
      <c r="CE108" s="185" t="s">
        <v>184</v>
      </c>
      <c r="CF108" s="254" t="s">
        <v>190</v>
      </c>
      <c r="CH108" s="253"/>
    </row>
    <row r="109" spans="1:86">
      <c r="A109" s="1563"/>
      <c r="B109" s="168"/>
      <c r="C109" s="241" t="s">
        <v>319</v>
      </c>
      <c r="D109" s="177" t="s">
        <v>320</v>
      </c>
      <c r="F109" s="242">
        <v>119880</v>
      </c>
      <c r="G109" s="243">
        <v>196410</v>
      </c>
      <c r="H109" s="242">
        <v>113450</v>
      </c>
      <c r="I109" s="243">
        <v>189980</v>
      </c>
      <c r="J109" s="179" t="s">
        <v>182</v>
      </c>
      <c r="K109" s="244">
        <v>1080</v>
      </c>
      <c r="L109" s="245">
        <v>1840</v>
      </c>
      <c r="M109" s="246" t="s">
        <v>795</v>
      </c>
      <c r="N109" s="244">
        <v>1020</v>
      </c>
      <c r="O109" s="245">
        <v>1780</v>
      </c>
      <c r="P109" s="246" t="s">
        <v>795</v>
      </c>
      <c r="R109" s="182"/>
      <c r="S109" s="176"/>
      <c r="T109" s="177"/>
      <c r="V109" s="280"/>
      <c r="W109" s="279" t="s">
        <v>708</v>
      </c>
      <c r="X109" s="176"/>
      <c r="Y109" s="279" t="s">
        <v>708</v>
      </c>
      <c r="Z109" s="279"/>
      <c r="AA109" s="176"/>
      <c r="AB109" s="177"/>
      <c r="AC109" s="160" t="s">
        <v>182</v>
      </c>
      <c r="AD109" s="1548">
        <v>11100</v>
      </c>
      <c r="AE109" s="255"/>
      <c r="AF109" s="176"/>
      <c r="AG109" s="176">
        <v>0</v>
      </c>
      <c r="AH109" s="177"/>
      <c r="AJ109" s="187">
        <v>4500</v>
      </c>
      <c r="AK109" s="185" t="s">
        <v>321</v>
      </c>
      <c r="AL109" s="176"/>
      <c r="AM109" s="176"/>
      <c r="AN109" s="177"/>
      <c r="AP109" s="1551"/>
      <c r="AQ109" s="1554"/>
      <c r="AR109" s="1551"/>
      <c r="AS109" s="1554"/>
      <c r="AT109" s="1544"/>
      <c r="AU109" s="172" t="s">
        <v>700</v>
      </c>
      <c r="AV109" s="249">
        <v>3400</v>
      </c>
      <c r="AW109" s="250">
        <v>3800</v>
      </c>
      <c r="AX109" s="267">
        <v>2300</v>
      </c>
      <c r="AY109" s="252">
        <v>2300</v>
      </c>
      <c r="BA109" s="235" t="s">
        <v>670</v>
      </c>
      <c r="BC109" s="359"/>
      <c r="BE109" s="187"/>
      <c r="BF109" s="176"/>
      <c r="BG109" s="176"/>
      <c r="BH109" s="177"/>
      <c r="BJ109" s="253"/>
      <c r="BL109" s="193">
        <v>0.01</v>
      </c>
      <c r="BM109" s="194">
        <v>0.03</v>
      </c>
      <c r="BN109" s="194">
        <v>0.04</v>
      </c>
      <c r="BO109" s="195">
        <v>0.06</v>
      </c>
      <c r="BQ109" s="187"/>
      <c r="BR109" s="185"/>
      <c r="BS109" s="185"/>
      <c r="BT109" s="254"/>
      <c r="BV109" s="187"/>
      <c r="BW109" s="185"/>
      <c r="BX109" s="185"/>
      <c r="BY109" s="185"/>
      <c r="BZ109" s="254"/>
      <c r="CB109" s="187"/>
      <c r="CC109" s="185"/>
      <c r="CD109" s="185"/>
      <c r="CE109" s="185"/>
      <c r="CF109" s="254"/>
      <c r="CH109" s="253">
        <v>0.89</v>
      </c>
    </row>
    <row r="110" spans="1:86">
      <c r="A110" s="1563"/>
      <c r="B110" s="269"/>
      <c r="C110" s="270"/>
      <c r="D110" s="184" t="s">
        <v>322</v>
      </c>
      <c r="F110" s="256">
        <v>196410</v>
      </c>
      <c r="G110" s="257"/>
      <c r="H110" s="256">
        <v>189980</v>
      </c>
      <c r="I110" s="257"/>
      <c r="J110" s="179" t="s">
        <v>182</v>
      </c>
      <c r="K110" s="258">
        <v>1840</v>
      </c>
      <c r="L110" s="259"/>
      <c r="M110" s="260" t="s">
        <v>795</v>
      </c>
      <c r="N110" s="258">
        <v>1780</v>
      </c>
      <c r="O110" s="259"/>
      <c r="P110" s="260" t="s">
        <v>795</v>
      </c>
      <c r="R110" s="183"/>
      <c r="S110" s="271"/>
      <c r="T110" s="184"/>
      <c r="V110" s="187"/>
      <c r="W110" s="185">
        <v>423800</v>
      </c>
      <c r="X110" s="176"/>
      <c r="Y110" s="185">
        <v>4230</v>
      </c>
      <c r="Z110" s="176" t="s">
        <v>184</v>
      </c>
      <c r="AA110" s="176"/>
      <c r="AB110" s="177"/>
      <c r="AD110" s="1549"/>
      <c r="AE110" s="261"/>
      <c r="AF110" s="176"/>
      <c r="AG110" s="176"/>
      <c r="AH110" s="177"/>
      <c r="AJ110" s="187"/>
      <c r="AK110" s="185"/>
      <c r="AL110" s="176"/>
      <c r="AM110" s="176"/>
      <c r="AN110" s="177"/>
      <c r="AP110" s="1552"/>
      <c r="AQ110" s="1555"/>
      <c r="AR110" s="1552"/>
      <c r="AS110" s="1555"/>
      <c r="AT110" s="1544"/>
      <c r="AU110" s="262" t="s">
        <v>701</v>
      </c>
      <c r="AV110" s="263">
        <v>3000</v>
      </c>
      <c r="AW110" s="264">
        <v>3400</v>
      </c>
      <c r="AX110" s="265">
        <v>2100</v>
      </c>
      <c r="AY110" s="266">
        <v>2100</v>
      </c>
      <c r="BA110" s="235">
        <v>5220</v>
      </c>
      <c r="BC110" s="359"/>
      <c r="BE110" s="186"/>
      <c r="BF110" s="271"/>
      <c r="BG110" s="271"/>
      <c r="BH110" s="184"/>
      <c r="BJ110" s="253"/>
      <c r="BL110" s="272"/>
      <c r="BM110" s="273"/>
      <c r="BN110" s="273"/>
      <c r="BO110" s="274"/>
      <c r="BQ110" s="186"/>
      <c r="BR110" s="196"/>
      <c r="BS110" s="196"/>
      <c r="BT110" s="197"/>
      <c r="BV110" s="186"/>
      <c r="BW110" s="196"/>
      <c r="BX110" s="196"/>
      <c r="BY110" s="196"/>
      <c r="BZ110" s="197"/>
      <c r="CB110" s="186"/>
      <c r="CC110" s="196"/>
      <c r="CD110" s="196"/>
      <c r="CE110" s="196"/>
      <c r="CF110" s="197"/>
      <c r="CH110" s="198"/>
    </row>
    <row r="111" spans="1:86" ht="63">
      <c r="A111" s="1563"/>
      <c r="B111" s="168" t="s">
        <v>331</v>
      </c>
      <c r="C111" s="241" t="s">
        <v>313</v>
      </c>
      <c r="D111" s="177" t="s">
        <v>314</v>
      </c>
      <c r="F111" s="218">
        <v>46780</v>
      </c>
      <c r="G111" s="219">
        <v>54430</v>
      </c>
      <c r="H111" s="218">
        <v>41060</v>
      </c>
      <c r="I111" s="219">
        <v>48710</v>
      </c>
      <c r="J111" s="179" t="s">
        <v>182</v>
      </c>
      <c r="K111" s="220">
        <v>440</v>
      </c>
      <c r="L111" s="221">
        <v>510</v>
      </c>
      <c r="M111" s="222" t="s">
        <v>795</v>
      </c>
      <c r="N111" s="220">
        <v>390</v>
      </c>
      <c r="O111" s="221">
        <v>460</v>
      </c>
      <c r="P111" s="222" t="s">
        <v>795</v>
      </c>
      <c r="Q111" s="160" t="s">
        <v>182</v>
      </c>
      <c r="R111" s="275">
        <v>7650</v>
      </c>
      <c r="S111" s="276">
        <v>70</v>
      </c>
      <c r="T111" s="247" t="s">
        <v>184</v>
      </c>
      <c r="V111" s="187"/>
      <c r="W111" s="185"/>
      <c r="X111" s="176"/>
      <c r="Y111" s="185"/>
      <c r="Z111" s="176"/>
      <c r="AA111" s="176"/>
      <c r="AB111" s="177"/>
      <c r="AC111" s="160" t="s">
        <v>182</v>
      </c>
      <c r="AD111" s="1546">
        <v>12170</v>
      </c>
      <c r="AE111" s="227"/>
      <c r="AF111" s="226" t="s">
        <v>182</v>
      </c>
      <c r="AG111" s="226">
        <v>50</v>
      </c>
      <c r="AH111" s="217" t="s">
        <v>184</v>
      </c>
      <c r="AJ111" s="187" t="s">
        <v>209</v>
      </c>
      <c r="AK111" s="185"/>
      <c r="AL111" s="176" t="s">
        <v>182</v>
      </c>
      <c r="AM111" s="176">
        <v>30</v>
      </c>
      <c r="AN111" s="177" t="s">
        <v>316</v>
      </c>
      <c r="AO111" s="160" t="s">
        <v>182</v>
      </c>
      <c r="AP111" s="1550">
        <v>3100</v>
      </c>
      <c r="AQ111" s="1553">
        <v>3400</v>
      </c>
      <c r="AR111" s="1550">
        <v>2200</v>
      </c>
      <c r="AS111" s="1553">
        <v>2200</v>
      </c>
      <c r="AT111" s="1544" t="s">
        <v>664</v>
      </c>
      <c r="AU111" s="230" t="s">
        <v>697</v>
      </c>
      <c r="AV111" s="231">
        <v>6300</v>
      </c>
      <c r="AW111" s="232">
        <v>7100</v>
      </c>
      <c r="AX111" s="267">
        <v>4400</v>
      </c>
      <c r="AY111" s="252">
        <v>4400</v>
      </c>
      <c r="BA111" s="277"/>
      <c r="BB111" s="160" t="s">
        <v>182</v>
      </c>
      <c r="BC111" s="1556">
        <v>4700</v>
      </c>
      <c r="BD111" s="160" t="s">
        <v>182</v>
      </c>
      <c r="BE111" s="187">
        <v>2430</v>
      </c>
      <c r="BF111" s="176" t="s">
        <v>182</v>
      </c>
      <c r="BG111" s="176">
        <v>20</v>
      </c>
      <c r="BH111" s="177" t="s">
        <v>184</v>
      </c>
      <c r="BJ111" s="253"/>
      <c r="BK111" s="160" t="s">
        <v>188</v>
      </c>
      <c r="BL111" s="193" t="s">
        <v>317</v>
      </c>
      <c r="BM111" s="194" t="s">
        <v>317</v>
      </c>
      <c r="BN111" s="194" t="s">
        <v>317</v>
      </c>
      <c r="BO111" s="195" t="s">
        <v>317</v>
      </c>
      <c r="BP111" s="160" t="s">
        <v>188</v>
      </c>
      <c r="BQ111" s="187"/>
      <c r="BR111" s="185"/>
      <c r="BS111" s="185"/>
      <c r="BT111" s="254"/>
      <c r="BU111" s="160" t="s">
        <v>188</v>
      </c>
      <c r="BV111" s="187"/>
      <c r="BW111" s="185"/>
      <c r="BX111" s="185"/>
      <c r="BY111" s="185"/>
      <c r="BZ111" s="254"/>
      <c r="CA111" s="160" t="s">
        <v>188</v>
      </c>
      <c r="CB111" s="187"/>
      <c r="CC111" s="185"/>
      <c r="CD111" s="185"/>
      <c r="CE111" s="185"/>
      <c r="CF111" s="254"/>
      <c r="CH111" s="253" t="s">
        <v>324</v>
      </c>
    </row>
    <row r="112" spans="1:86">
      <c r="A112" s="1563"/>
      <c r="B112" s="168"/>
      <c r="C112" s="241"/>
      <c r="D112" s="177" t="s">
        <v>318</v>
      </c>
      <c r="F112" s="242">
        <v>54430</v>
      </c>
      <c r="G112" s="243">
        <v>116270</v>
      </c>
      <c r="H112" s="242">
        <v>48710</v>
      </c>
      <c r="I112" s="243">
        <v>110550</v>
      </c>
      <c r="J112" s="179" t="s">
        <v>182</v>
      </c>
      <c r="K112" s="244">
        <v>510</v>
      </c>
      <c r="L112" s="245">
        <v>1050</v>
      </c>
      <c r="M112" s="246" t="s">
        <v>795</v>
      </c>
      <c r="N112" s="244">
        <v>460</v>
      </c>
      <c r="O112" s="245">
        <v>990</v>
      </c>
      <c r="P112" s="246" t="s">
        <v>795</v>
      </c>
      <c r="Q112" s="160" t="s">
        <v>182</v>
      </c>
      <c r="R112" s="187">
        <v>7650</v>
      </c>
      <c r="S112" s="185">
        <v>70</v>
      </c>
      <c r="T112" s="247" t="s">
        <v>184</v>
      </c>
      <c r="V112" s="280"/>
      <c r="W112" s="279" t="s">
        <v>709</v>
      </c>
      <c r="X112" s="176"/>
      <c r="Y112" s="279" t="s">
        <v>709</v>
      </c>
      <c r="Z112" s="279"/>
      <c r="AA112" s="176" t="s">
        <v>332</v>
      </c>
      <c r="AB112" s="177" t="s">
        <v>333</v>
      </c>
      <c r="AD112" s="1547"/>
      <c r="AE112" s="248">
        <v>10440</v>
      </c>
      <c r="AF112" s="176"/>
      <c r="AG112" s="176"/>
      <c r="AH112" s="177"/>
      <c r="AJ112" s="187"/>
      <c r="AK112" s="185"/>
      <c r="AL112" s="176"/>
      <c r="AM112" s="176"/>
      <c r="AN112" s="177"/>
      <c r="AP112" s="1551"/>
      <c r="AQ112" s="1554"/>
      <c r="AR112" s="1551"/>
      <c r="AS112" s="1554"/>
      <c r="AT112" s="1544"/>
      <c r="AU112" s="172" t="s">
        <v>699</v>
      </c>
      <c r="AV112" s="249">
        <v>3500</v>
      </c>
      <c r="AW112" s="250">
        <v>3900</v>
      </c>
      <c r="AX112" s="267">
        <v>2400</v>
      </c>
      <c r="AY112" s="252">
        <v>2400</v>
      </c>
      <c r="BA112" s="235" t="s">
        <v>671</v>
      </c>
      <c r="BC112" s="1557"/>
      <c r="BE112" s="187"/>
      <c r="BF112" s="176"/>
      <c r="BG112" s="176"/>
      <c r="BH112" s="177"/>
      <c r="BJ112" s="253"/>
      <c r="BL112" s="193"/>
      <c r="BM112" s="194"/>
      <c r="BN112" s="194"/>
      <c r="BO112" s="195"/>
      <c r="BQ112" s="187">
        <v>1410</v>
      </c>
      <c r="BR112" s="185" t="s">
        <v>189</v>
      </c>
      <c r="BS112" s="185">
        <v>10</v>
      </c>
      <c r="BT112" s="254" t="s">
        <v>184</v>
      </c>
      <c r="BV112" s="187">
        <v>5100</v>
      </c>
      <c r="BW112" s="185" t="s">
        <v>189</v>
      </c>
      <c r="BX112" s="185">
        <v>50</v>
      </c>
      <c r="BY112" s="185" t="s">
        <v>184</v>
      </c>
      <c r="BZ112" s="254" t="s">
        <v>190</v>
      </c>
      <c r="CB112" s="187">
        <v>3310</v>
      </c>
      <c r="CC112" s="185" t="s">
        <v>189</v>
      </c>
      <c r="CD112" s="185">
        <v>30</v>
      </c>
      <c r="CE112" s="185" t="s">
        <v>184</v>
      </c>
      <c r="CF112" s="254" t="s">
        <v>190</v>
      </c>
      <c r="CH112" s="253"/>
    </row>
    <row r="113" spans="1:86">
      <c r="A113" s="1563"/>
      <c r="B113" s="168"/>
      <c r="C113" s="241" t="s">
        <v>319</v>
      </c>
      <c r="D113" s="177" t="s">
        <v>320</v>
      </c>
      <c r="F113" s="242">
        <v>116270</v>
      </c>
      <c r="G113" s="243">
        <v>192800</v>
      </c>
      <c r="H113" s="242">
        <v>110550</v>
      </c>
      <c r="I113" s="243">
        <v>187080</v>
      </c>
      <c r="J113" s="179" t="s">
        <v>182</v>
      </c>
      <c r="K113" s="244">
        <v>1050</v>
      </c>
      <c r="L113" s="245">
        <v>1810</v>
      </c>
      <c r="M113" s="246" t="s">
        <v>795</v>
      </c>
      <c r="N113" s="244">
        <v>990</v>
      </c>
      <c r="O113" s="245">
        <v>1750</v>
      </c>
      <c r="P113" s="246" t="s">
        <v>795</v>
      </c>
      <c r="R113" s="182"/>
      <c r="S113" s="176"/>
      <c r="T113" s="177"/>
      <c r="V113" s="187"/>
      <c r="W113" s="185">
        <v>460600</v>
      </c>
      <c r="X113" s="176"/>
      <c r="Y113" s="185">
        <v>4600</v>
      </c>
      <c r="Z113" s="176" t="s">
        <v>184</v>
      </c>
      <c r="AA113" s="176"/>
      <c r="AB113" s="177" t="s">
        <v>334</v>
      </c>
      <c r="AC113" s="160" t="s">
        <v>182</v>
      </c>
      <c r="AD113" s="1548">
        <v>10440</v>
      </c>
      <c r="AE113" s="255"/>
      <c r="AF113" s="176"/>
      <c r="AG113" s="176">
        <v>0</v>
      </c>
      <c r="AH113" s="177"/>
      <c r="AJ113" s="187">
        <v>3930</v>
      </c>
      <c r="AK113" s="185" t="s">
        <v>321</v>
      </c>
      <c r="AL113" s="176"/>
      <c r="AM113" s="176"/>
      <c r="AN113" s="177"/>
      <c r="AP113" s="1551"/>
      <c r="AQ113" s="1554"/>
      <c r="AR113" s="1551"/>
      <c r="AS113" s="1554"/>
      <c r="AT113" s="1544"/>
      <c r="AU113" s="172" t="s">
        <v>700</v>
      </c>
      <c r="AV113" s="249">
        <v>3000</v>
      </c>
      <c r="AW113" s="250">
        <v>3400</v>
      </c>
      <c r="AX113" s="267">
        <v>2100</v>
      </c>
      <c r="AY113" s="252">
        <v>2100</v>
      </c>
      <c r="BA113" s="235">
        <v>4660</v>
      </c>
      <c r="BC113" s="358"/>
      <c r="BE113" s="187"/>
      <c r="BF113" s="176"/>
      <c r="BG113" s="176"/>
      <c r="BH113" s="177"/>
      <c r="BJ113" s="253" t="s">
        <v>335</v>
      </c>
      <c r="BL113" s="193">
        <v>0.01</v>
      </c>
      <c r="BM113" s="194">
        <v>0.03</v>
      </c>
      <c r="BN113" s="194">
        <v>0.04</v>
      </c>
      <c r="BO113" s="195">
        <v>0.06</v>
      </c>
      <c r="BQ113" s="187"/>
      <c r="BR113" s="185"/>
      <c r="BS113" s="185"/>
      <c r="BT113" s="254"/>
      <c r="BV113" s="187"/>
      <c r="BW113" s="185"/>
      <c r="BX113" s="185"/>
      <c r="BY113" s="185"/>
      <c r="BZ113" s="254"/>
      <c r="CB113" s="187"/>
      <c r="CC113" s="185"/>
      <c r="CD113" s="185"/>
      <c r="CE113" s="185"/>
      <c r="CF113" s="254"/>
      <c r="CH113" s="253">
        <v>0.91</v>
      </c>
    </row>
    <row r="114" spans="1:86">
      <c r="A114" s="1563"/>
      <c r="B114" s="168"/>
      <c r="C114" s="241"/>
      <c r="D114" s="177" t="s">
        <v>322</v>
      </c>
      <c r="F114" s="256">
        <v>192800</v>
      </c>
      <c r="G114" s="257"/>
      <c r="H114" s="256">
        <v>187080</v>
      </c>
      <c r="I114" s="257"/>
      <c r="J114" s="179" t="s">
        <v>182</v>
      </c>
      <c r="K114" s="258">
        <v>1810</v>
      </c>
      <c r="L114" s="259"/>
      <c r="M114" s="260" t="s">
        <v>795</v>
      </c>
      <c r="N114" s="258">
        <v>1750</v>
      </c>
      <c r="O114" s="259"/>
      <c r="P114" s="260" t="s">
        <v>795</v>
      </c>
      <c r="R114" s="182"/>
      <c r="S114" s="176"/>
      <c r="T114" s="177"/>
      <c r="V114" s="187"/>
      <c r="W114" s="185"/>
      <c r="X114" s="176"/>
      <c r="Y114" s="185"/>
      <c r="Z114" s="176"/>
      <c r="AA114" s="176"/>
      <c r="AB114" s="177"/>
      <c r="AD114" s="1549"/>
      <c r="AE114" s="261"/>
      <c r="AF114" s="271"/>
      <c r="AG114" s="271"/>
      <c r="AH114" s="184"/>
      <c r="AJ114" s="187"/>
      <c r="AK114" s="185"/>
      <c r="AL114" s="176"/>
      <c r="AM114" s="176"/>
      <c r="AN114" s="177"/>
      <c r="AP114" s="1552"/>
      <c r="AQ114" s="1555"/>
      <c r="AR114" s="1552"/>
      <c r="AS114" s="1555"/>
      <c r="AT114" s="1544"/>
      <c r="AU114" s="262" t="s">
        <v>701</v>
      </c>
      <c r="AV114" s="263">
        <v>2700</v>
      </c>
      <c r="AW114" s="264">
        <v>3000</v>
      </c>
      <c r="AX114" s="265">
        <v>1900</v>
      </c>
      <c r="AY114" s="266">
        <v>1900</v>
      </c>
      <c r="BA114" s="277"/>
      <c r="BC114" s="359"/>
      <c r="BE114" s="187"/>
      <c r="BF114" s="176"/>
      <c r="BG114" s="176"/>
      <c r="BH114" s="177"/>
      <c r="BJ114" s="253"/>
      <c r="BL114" s="193"/>
      <c r="BM114" s="194"/>
      <c r="BN114" s="194"/>
      <c r="BO114" s="195"/>
      <c r="BQ114" s="187"/>
      <c r="BR114" s="185"/>
      <c r="BS114" s="185"/>
      <c r="BT114" s="254"/>
      <c r="BV114" s="187"/>
      <c r="BW114" s="185"/>
      <c r="BX114" s="185"/>
      <c r="BY114" s="185"/>
      <c r="BZ114" s="254"/>
      <c r="CB114" s="187"/>
      <c r="CC114" s="185"/>
      <c r="CD114" s="185"/>
      <c r="CE114" s="185"/>
      <c r="CF114" s="254"/>
      <c r="CH114" s="253"/>
    </row>
    <row r="115" spans="1:86" ht="63">
      <c r="A115" s="1563"/>
      <c r="B115" s="215" t="s">
        <v>336</v>
      </c>
      <c r="C115" s="216" t="s">
        <v>313</v>
      </c>
      <c r="D115" s="217" t="s">
        <v>314</v>
      </c>
      <c r="F115" s="218">
        <v>40480</v>
      </c>
      <c r="G115" s="219">
        <v>48130</v>
      </c>
      <c r="H115" s="218">
        <v>35330</v>
      </c>
      <c r="I115" s="219">
        <v>42980</v>
      </c>
      <c r="J115" s="179" t="s">
        <v>182</v>
      </c>
      <c r="K115" s="220">
        <v>380</v>
      </c>
      <c r="L115" s="221">
        <v>450</v>
      </c>
      <c r="M115" s="222" t="s">
        <v>795</v>
      </c>
      <c r="N115" s="220">
        <v>330</v>
      </c>
      <c r="O115" s="221">
        <v>400</v>
      </c>
      <c r="P115" s="222" t="s">
        <v>795</v>
      </c>
      <c r="Q115" s="160" t="s">
        <v>182</v>
      </c>
      <c r="R115" s="223">
        <v>7650</v>
      </c>
      <c r="S115" s="224">
        <v>70</v>
      </c>
      <c r="T115" s="225" t="s">
        <v>184</v>
      </c>
      <c r="V115" s="280"/>
      <c r="W115" s="279" t="s">
        <v>710</v>
      </c>
      <c r="X115" s="176"/>
      <c r="Y115" s="279" t="s">
        <v>710</v>
      </c>
      <c r="Z115" s="279"/>
      <c r="AA115" s="176"/>
      <c r="AB115" s="177"/>
      <c r="AD115" s="281"/>
      <c r="AE115" s="281"/>
      <c r="AF115" s="176"/>
      <c r="AG115" s="176"/>
      <c r="AH115" s="177"/>
      <c r="AJ115" s="187" t="s">
        <v>211</v>
      </c>
      <c r="AK115" s="185"/>
      <c r="AL115" s="176" t="s">
        <v>182</v>
      </c>
      <c r="AM115" s="176">
        <v>30</v>
      </c>
      <c r="AN115" s="177" t="s">
        <v>316</v>
      </c>
      <c r="AO115" s="160" t="s">
        <v>182</v>
      </c>
      <c r="AP115" s="1550">
        <v>2800</v>
      </c>
      <c r="AQ115" s="1553">
        <v>3100</v>
      </c>
      <c r="AR115" s="1550">
        <v>2000</v>
      </c>
      <c r="AS115" s="1553">
        <v>2000</v>
      </c>
      <c r="AT115" s="1544" t="s">
        <v>664</v>
      </c>
      <c r="AU115" s="230" t="s">
        <v>697</v>
      </c>
      <c r="AV115" s="231">
        <v>5500</v>
      </c>
      <c r="AW115" s="232">
        <v>6200</v>
      </c>
      <c r="AX115" s="267">
        <v>3900</v>
      </c>
      <c r="AY115" s="252">
        <v>3900</v>
      </c>
      <c r="BA115" s="235" t="s">
        <v>672</v>
      </c>
      <c r="BB115" s="160" t="s">
        <v>182</v>
      </c>
      <c r="BC115" s="1556">
        <v>4700</v>
      </c>
      <c r="BD115" s="160" t="s">
        <v>182</v>
      </c>
      <c r="BE115" s="228">
        <v>2180</v>
      </c>
      <c r="BF115" s="226" t="s">
        <v>182</v>
      </c>
      <c r="BG115" s="226">
        <v>20</v>
      </c>
      <c r="BH115" s="217" t="s">
        <v>184</v>
      </c>
      <c r="BJ115" s="253">
        <v>0.1</v>
      </c>
      <c r="BK115" s="160" t="s">
        <v>188</v>
      </c>
      <c r="BL115" s="237" t="s">
        <v>317</v>
      </c>
      <c r="BM115" s="238" t="s">
        <v>317</v>
      </c>
      <c r="BN115" s="238" t="s">
        <v>317</v>
      </c>
      <c r="BO115" s="239" t="s">
        <v>317</v>
      </c>
      <c r="BP115" s="160" t="s">
        <v>188</v>
      </c>
      <c r="BQ115" s="228"/>
      <c r="BR115" s="229"/>
      <c r="BS115" s="229"/>
      <c r="BT115" s="240"/>
      <c r="BU115" s="160" t="s">
        <v>188</v>
      </c>
      <c r="BV115" s="228"/>
      <c r="BW115" s="229"/>
      <c r="BX115" s="229"/>
      <c r="BY115" s="229"/>
      <c r="BZ115" s="240"/>
      <c r="CA115" s="160" t="s">
        <v>188</v>
      </c>
      <c r="CB115" s="228"/>
      <c r="CC115" s="229"/>
      <c r="CD115" s="229"/>
      <c r="CE115" s="229"/>
      <c r="CF115" s="240"/>
      <c r="CH115" s="236" t="s">
        <v>324</v>
      </c>
    </row>
    <row r="116" spans="1:86">
      <c r="A116" s="1563"/>
      <c r="B116" s="168"/>
      <c r="C116" s="241"/>
      <c r="D116" s="177" t="s">
        <v>318</v>
      </c>
      <c r="F116" s="242">
        <v>48130</v>
      </c>
      <c r="G116" s="243">
        <v>109970</v>
      </c>
      <c r="H116" s="242">
        <v>42980</v>
      </c>
      <c r="I116" s="243">
        <v>104820</v>
      </c>
      <c r="J116" s="179" t="s">
        <v>182</v>
      </c>
      <c r="K116" s="244">
        <v>450</v>
      </c>
      <c r="L116" s="245">
        <v>980</v>
      </c>
      <c r="M116" s="246" t="s">
        <v>795</v>
      </c>
      <c r="N116" s="244">
        <v>400</v>
      </c>
      <c r="O116" s="245">
        <v>930</v>
      </c>
      <c r="P116" s="246" t="s">
        <v>795</v>
      </c>
      <c r="Q116" s="160" t="s">
        <v>182</v>
      </c>
      <c r="R116" s="187">
        <v>7650</v>
      </c>
      <c r="S116" s="185">
        <v>70</v>
      </c>
      <c r="T116" s="247" t="s">
        <v>184</v>
      </c>
      <c r="V116" s="187"/>
      <c r="W116" s="185">
        <v>497300</v>
      </c>
      <c r="X116" s="176"/>
      <c r="Y116" s="185">
        <v>4970</v>
      </c>
      <c r="Z116" s="176" t="s">
        <v>184</v>
      </c>
      <c r="AA116" s="176"/>
      <c r="AB116" s="177"/>
      <c r="AD116" s="281"/>
      <c r="AE116" s="281"/>
      <c r="AF116" s="176"/>
      <c r="AG116" s="176"/>
      <c r="AH116" s="177"/>
      <c r="AJ116" s="187"/>
      <c r="AK116" s="185"/>
      <c r="AL116" s="176"/>
      <c r="AM116" s="176"/>
      <c r="AN116" s="177"/>
      <c r="AP116" s="1551"/>
      <c r="AQ116" s="1554"/>
      <c r="AR116" s="1551"/>
      <c r="AS116" s="1554"/>
      <c r="AT116" s="1544"/>
      <c r="AU116" s="172" t="s">
        <v>699</v>
      </c>
      <c r="AV116" s="249">
        <v>3000</v>
      </c>
      <c r="AW116" s="250">
        <v>3400</v>
      </c>
      <c r="AX116" s="267">
        <v>2100</v>
      </c>
      <c r="AY116" s="252">
        <v>2100</v>
      </c>
      <c r="BA116" s="235">
        <v>4250</v>
      </c>
      <c r="BC116" s="1557"/>
      <c r="BE116" s="187"/>
      <c r="BF116" s="176"/>
      <c r="BG116" s="176"/>
      <c r="BH116" s="177"/>
      <c r="BJ116" s="253"/>
      <c r="BL116" s="193"/>
      <c r="BM116" s="194"/>
      <c r="BN116" s="194"/>
      <c r="BO116" s="195"/>
      <c r="BQ116" s="187">
        <v>1270</v>
      </c>
      <c r="BR116" s="185" t="s">
        <v>189</v>
      </c>
      <c r="BS116" s="185">
        <v>10</v>
      </c>
      <c r="BT116" s="254" t="s">
        <v>184</v>
      </c>
      <c r="BV116" s="187">
        <v>4590</v>
      </c>
      <c r="BW116" s="185" t="s">
        <v>189</v>
      </c>
      <c r="BX116" s="185">
        <v>40</v>
      </c>
      <c r="BY116" s="185" t="s">
        <v>184</v>
      </c>
      <c r="BZ116" s="254" t="s">
        <v>190</v>
      </c>
      <c r="CB116" s="187">
        <v>2970</v>
      </c>
      <c r="CC116" s="185" t="s">
        <v>189</v>
      </c>
      <c r="CD116" s="185">
        <v>30</v>
      </c>
      <c r="CE116" s="185" t="s">
        <v>184</v>
      </c>
      <c r="CF116" s="254" t="s">
        <v>190</v>
      </c>
      <c r="CH116" s="253"/>
    </row>
    <row r="117" spans="1:86">
      <c r="A117" s="1563"/>
      <c r="B117" s="168"/>
      <c r="C117" s="241" t="s">
        <v>319</v>
      </c>
      <c r="D117" s="177" t="s">
        <v>320</v>
      </c>
      <c r="F117" s="242">
        <v>109970</v>
      </c>
      <c r="G117" s="243">
        <v>186500</v>
      </c>
      <c r="H117" s="242">
        <v>104820</v>
      </c>
      <c r="I117" s="243">
        <v>181350</v>
      </c>
      <c r="J117" s="179" t="s">
        <v>182</v>
      </c>
      <c r="K117" s="244">
        <v>980</v>
      </c>
      <c r="L117" s="245">
        <v>1740</v>
      </c>
      <c r="M117" s="246" t="s">
        <v>795</v>
      </c>
      <c r="N117" s="244">
        <v>930</v>
      </c>
      <c r="O117" s="245">
        <v>1690</v>
      </c>
      <c r="P117" s="246" t="s">
        <v>795</v>
      </c>
      <c r="R117" s="182"/>
      <c r="S117" s="176"/>
      <c r="T117" s="177"/>
      <c r="V117" s="187"/>
      <c r="W117" s="185"/>
      <c r="X117" s="176"/>
      <c r="Y117" s="185"/>
      <c r="Z117" s="176"/>
      <c r="AA117" s="176"/>
      <c r="AB117" s="177"/>
      <c r="AD117" s="281"/>
      <c r="AE117" s="281"/>
      <c r="AF117" s="176"/>
      <c r="AG117" s="176"/>
      <c r="AH117" s="177"/>
      <c r="AJ117" s="187">
        <v>3500</v>
      </c>
      <c r="AK117" s="185" t="s">
        <v>321</v>
      </c>
      <c r="AL117" s="176"/>
      <c r="AM117" s="176"/>
      <c r="AN117" s="177"/>
      <c r="AP117" s="1551"/>
      <c r="AQ117" s="1554"/>
      <c r="AR117" s="1551"/>
      <c r="AS117" s="1554"/>
      <c r="AT117" s="1544"/>
      <c r="AU117" s="172" t="s">
        <v>700</v>
      </c>
      <c r="AV117" s="249">
        <v>2600</v>
      </c>
      <c r="AW117" s="250">
        <v>2900</v>
      </c>
      <c r="AX117" s="267">
        <v>1800</v>
      </c>
      <c r="AY117" s="252">
        <v>1800</v>
      </c>
      <c r="BA117" s="277"/>
      <c r="BC117" s="359"/>
      <c r="BE117" s="187"/>
      <c r="BF117" s="176"/>
      <c r="BG117" s="176"/>
      <c r="BH117" s="177"/>
      <c r="BJ117" s="253"/>
      <c r="BL117" s="193">
        <v>0.01</v>
      </c>
      <c r="BM117" s="194">
        <v>0.03</v>
      </c>
      <c r="BN117" s="194">
        <v>0.04</v>
      </c>
      <c r="BO117" s="195">
        <v>0.06</v>
      </c>
      <c r="BQ117" s="187"/>
      <c r="BR117" s="185"/>
      <c r="BS117" s="185"/>
      <c r="BT117" s="254"/>
      <c r="BV117" s="187"/>
      <c r="BW117" s="185"/>
      <c r="BX117" s="185"/>
      <c r="BY117" s="185"/>
      <c r="BZ117" s="254"/>
      <c r="CB117" s="187"/>
      <c r="CC117" s="185"/>
      <c r="CD117" s="185"/>
      <c r="CE117" s="185"/>
      <c r="CF117" s="254"/>
      <c r="CH117" s="253">
        <v>0.96</v>
      </c>
    </row>
    <row r="118" spans="1:86">
      <c r="A118" s="1563"/>
      <c r="B118" s="269"/>
      <c r="C118" s="270"/>
      <c r="D118" s="184" t="s">
        <v>322</v>
      </c>
      <c r="F118" s="256">
        <v>186500</v>
      </c>
      <c r="G118" s="257"/>
      <c r="H118" s="256">
        <v>181350</v>
      </c>
      <c r="I118" s="257"/>
      <c r="J118" s="179" t="s">
        <v>182</v>
      </c>
      <c r="K118" s="258">
        <v>1740</v>
      </c>
      <c r="L118" s="259"/>
      <c r="M118" s="260" t="s">
        <v>795</v>
      </c>
      <c r="N118" s="258">
        <v>1690</v>
      </c>
      <c r="O118" s="259"/>
      <c r="P118" s="260" t="s">
        <v>795</v>
      </c>
      <c r="R118" s="183"/>
      <c r="S118" s="271"/>
      <c r="T118" s="184"/>
      <c r="V118" s="280"/>
      <c r="W118" s="279" t="s">
        <v>711</v>
      </c>
      <c r="X118" s="176"/>
      <c r="Y118" s="279" t="s">
        <v>711</v>
      </c>
      <c r="Z118" s="279"/>
      <c r="AA118" s="176"/>
      <c r="AB118" s="177"/>
      <c r="AD118" s="281"/>
      <c r="AE118" s="281"/>
      <c r="AF118" s="176"/>
      <c r="AG118" s="176"/>
      <c r="AH118" s="177"/>
      <c r="AJ118" s="187"/>
      <c r="AK118" s="185"/>
      <c r="AL118" s="176"/>
      <c r="AM118" s="176"/>
      <c r="AN118" s="177"/>
      <c r="AP118" s="1552"/>
      <c r="AQ118" s="1555"/>
      <c r="AR118" s="1552"/>
      <c r="AS118" s="1555"/>
      <c r="AT118" s="1544"/>
      <c r="AU118" s="262" t="s">
        <v>701</v>
      </c>
      <c r="AV118" s="263">
        <v>2400</v>
      </c>
      <c r="AW118" s="264">
        <v>2600</v>
      </c>
      <c r="AX118" s="265">
        <v>1600</v>
      </c>
      <c r="AY118" s="266">
        <v>1600</v>
      </c>
      <c r="BA118" s="235" t="s">
        <v>673</v>
      </c>
      <c r="BC118" s="359"/>
      <c r="BE118" s="186"/>
      <c r="BF118" s="271"/>
      <c r="BG118" s="271"/>
      <c r="BH118" s="184"/>
      <c r="BJ118" s="253"/>
      <c r="BL118" s="272"/>
      <c r="BM118" s="273"/>
      <c r="BN118" s="273"/>
      <c r="BO118" s="274"/>
      <c r="BQ118" s="186"/>
      <c r="BR118" s="196"/>
      <c r="BS118" s="196"/>
      <c r="BT118" s="197"/>
      <c r="BV118" s="186"/>
      <c r="BW118" s="196"/>
      <c r="BX118" s="196"/>
      <c r="BY118" s="196"/>
      <c r="BZ118" s="197"/>
      <c r="CB118" s="186"/>
      <c r="CC118" s="196"/>
      <c r="CD118" s="196"/>
      <c r="CE118" s="196"/>
      <c r="CF118" s="197"/>
      <c r="CH118" s="198"/>
    </row>
    <row r="119" spans="1:86" ht="63">
      <c r="A119" s="1563"/>
      <c r="B119" s="168" t="s">
        <v>337</v>
      </c>
      <c r="C119" s="241" t="s">
        <v>313</v>
      </c>
      <c r="D119" s="177" t="s">
        <v>314</v>
      </c>
      <c r="F119" s="218">
        <v>38460</v>
      </c>
      <c r="G119" s="219">
        <v>46110</v>
      </c>
      <c r="H119" s="218">
        <v>33780</v>
      </c>
      <c r="I119" s="219">
        <v>41430</v>
      </c>
      <c r="J119" s="179" t="s">
        <v>182</v>
      </c>
      <c r="K119" s="220">
        <v>360</v>
      </c>
      <c r="L119" s="221">
        <v>430</v>
      </c>
      <c r="M119" s="222" t="s">
        <v>795</v>
      </c>
      <c r="N119" s="220">
        <v>310</v>
      </c>
      <c r="O119" s="221">
        <v>380</v>
      </c>
      <c r="P119" s="222" t="s">
        <v>795</v>
      </c>
      <c r="Q119" s="160" t="s">
        <v>182</v>
      </c>
      <c r="R119" s="275">
        <v>7650</v>
      </c>
      <c r="S119" s="276">
        <v>70</v>
      </c>
      <c r="T119" s="247" t="s">
        <v>184</v>
      </c>
      <c r="V119" s="187"/>
      <c r="W119" s="185">
        <v>534100</v>
      </c>
      <c r="X119" s="176"/>
      <c r="Y119" s="185">
        <v>5340</v>
      </c>
      <c r="Z119" s="176" t="s">
        <v>184</v>
      </c>
      <c r="AA119" s="176"/>
      <c r="AB119" s="177"/>
      <c r="AD119" s="281"/>
      <c r="AE119" s="281"/>
      <c r="AF119" s="176"/>
      <c r="AG119" s="176"/>
      <c r="AH119" s="177"/>
      <c r="AJ119" s="187" t="s">
        <v>213</v>
      </c>
      <c r="AK119" s="185"/>
      <c r="AL119" s="176" t="s">
        <v>182</v>
      </c>
      <c r="AM119" s="176">
        <v>30</v>
      </c>
      <c r="AN119" s="177" t="s">
        <v>316</v>
      </c>
      <c r="AO119" s="160" t="s">
        <v>182</v>
      </c>
      <c r="AP119" s="1550">
        <v>3100</v>
      </c>
      <c r="AQ119" s="1553">
        <v>3400</v>
      </c>
      <c r="AR119" s="1550">
        <v>2100</v>
      </c>
      <c r="AS119" s="1553">
        <v>2100</v>
      </c>
      <c r="AT119" s="1544" t="s">
        <v>664</v>
      </c>
      <c r="AU119" s="230" t="s">
        <v>697</v>
      </c>
      <c r="AV119" s="231">
        <v>6100</v>
      </c>
      <c r="AW119" s="232">
        <v>6800</v>
      </c>
      <c r="AX119" s="267">
        <v>4200</v>
      </c>
      <c r="AY119" s="252">
        <v>4200</v>
      </c>
      <c r="BA119" s="235">
        <v>3920</v>
      </c>
      <c r="BB119" s="160" t="s">
        <v>182</v>
      </c>
      <c r="BC119" s="1556">
        <v>4700</v>
      </c>
      <c r="BD119" s="160" t="s">
        <v>182</v>
      </c>
      <c r="BE119" s="187">
        <v>1990</v>
      </c>
      <c r="BF119" s="176" t="s">
        <v>182</v>
      </c>
      <c r="BG119" s="176">
        <v>10</v>
      </c>
      <c r="BH119" s="177" t="s">
        <v>184</v>
      </c>
      <c r="BJ119" s="253"/>
      <c r="BK119" s="160" t="s">
        <v>188</v>
      </c>
      <c r="BL119" s="193" t="s">
        <v>317</v>
      </c>
      <c r="BM119" s="194" t="s">
        <v>317</v>
      </c>
      <c r="BN119" s="194" t="s">
        <v>317</v>
      </c>
      <c r="BO119" s="195" t="s">
        <v>317</v>
      </c>
      <c r="BP119" s="160" t="s">
        <v>188</v>
      </c>
      <c r="BQ119" s="187"/>
      <c r="BR119" s="185"/>
      <c r="BS119" s="185"/>
      <c r="BT119" s="254"/>
      <c r="BU119" s="160" t="s">
        <v>188</v>
      </c>
      <c r="BV119" s="187"/>
      <c r="BW119" s="185"/>
      <c r="BX119" s="185"/>
      <c r="BY119" s="185"/>
      <c r="BZ119" s="254"/>
      <c r="CA119" s="160" t="s">
        <v>188</v>
      </c>
      <c r="CB119" s="187"/>
      <c r="CC119" s="185"/>
      <c r="CD119" s="185"/>
      <c r="CE119" s="185"/>
      <c r="CF119" s="254"/>
      <c r="CH119" s="253" t="s">
        <v>324</v>
      </c>
    </row>
    <row r="120" spans="1:86">
      <c r="A120" s="1563"/>
      <c r="B120" s="168"/>
      <c r="C120" s="241"/>
      <c r="D120" s="177" t="s">
        <v>318</v>
      </c>
      <c r="F120" s="242">
        <v>46110</v>
      </c>
      <c r="G120" s="243">
        <v>107950</v>
      </c>
      <c r="H120" s="242">
        <v>41430</v>
      </c>
      <c r="I120" s="243">
        <v>103270</v>
      </c>
      <c r="J120" s="179" t="s">
        <v>182</v>
      </c>
      <c r="K120" s="244">
        <v>430</v>
      </c>
      <c r="L120" s="245">
        <v>960</v>
      </c>
      <c r="M120" s="246" t="s">
        <v>795</v>
      </c>
      <c r="N120" s="244">
        <v>380</v>
      </c>
      <c r="O120" s="245">
        <v>920</v>
      </c>
      <c r="P120" s="246" t="s">
        <v>795</v>
      </c>
      <c r="Q120" s="160" t="s">
        <v>182</v>
      </c>
      <c r="R120" s="187">
        <v>7650</v>
      </c>
      <c r="S120" s="185">
        <v>70</v>
      </c>
      <c r="T120" s="247" t="s">
        <v>184</v>
      </c>
      <c r="V120" s="187"/>
      <c r="W120" s="185"/>
      <c r="X120" s="176"/>
      <c r="Y120" s="185"/>
      <c r="Z120" s="176"/>
      <c r="AA120" s="176"/>
      <c r="AB120" s="177"/>
      <c r="AD120" s="281"/>
      <c r="AE120" s="281"/>
      <c r="AF120" s="176"/>
      <c r="AG120" s="176"/>
      <c r="AH120" s="177"/>
      <c r="AJ120" s="187"/>
      <c r="AK120" s="185"/>
      <c r="AL120" s="176"/>
      <c r="AM120" s="176"/>
      <c r="AN120" s="177"/>
      <c r="AP120" s="1551"/>
      <c r="AQ120" s="1554"/>
      <c r="AR120" s="1551"/>
      <c r="AS120" s="1554"/>
      <c r="AT120" s="1544"/>
      <c r="AU120" s="172" t="s">
        <v>699</v>
      </c>
      <c r="AV120" s="249">
        <v>3300</v>
      </c>
      <c r="AW120" s="250">
        <v>3700</v>
      </c>
      <c r="AX120" s="267">
        <v>2300</v>
      </c>
      <c r="AY120" s="252">
        <v>2300</v>
      </c>
      <c r="BA120" s="277"/>
      <c r="BC120" s="1557"/>
      <c r="BE120" s="187"/>
      <c r="BF120" s="176"/>
      <c r="BG120" s="176"/>
      <c r="BH120" s="177"/>
      <c r="BJ120" s="253"/>
      <c r="BL120" s="193"/>
      <c r="BM120" s="194"/>
      <c r="BN120" s="194"/>
      <c r="BO120" s="195"/>
      <c r="BQ120" s="187">
        <v>1150</v>
      </c>
      <c r="BR120" s="185" t="s">
        <v>189</v>
      </c>
      <c r="BS120" s="185">
        <v>10</v>
      </c>
      <c r="BT120" s="254" t="s">
        <v>184</v>
      </c>
      <c r="BV120" s="187">
        <v>4170</v>
      </c>
      <c r="BW120" s="185" t="s">
        <v>189</v>
      </c>
      <c r="BX120" s="185">
        <v>40</v>
      </c>
      <c r="BY120" s="185" t="s">
        <v>184</v>
      </c>
      <c r="BZ120" s="254" t="s">
        <v>190</v>
      </c>
      <c r="CB120" s="187">
        <v>2700</v>
      </c>
      <c r="CC120" s="185" t="s">
        <v>189</v>
      </c>
      <c r="CD120" s="185">
        <v>20</v>
      </c>
      <c r="CE120" s="185" t="s">
        <v>184</v>
      </c>
      <c r="CF120" s="254" t="s">
        <v>190</v>
      </c>
      <c r="CH120" s="253"/>
    </row>
    <row r="121" spans="1:86">
      <c r="A121" s="1563"/>
      <c r="B121" s="168"/>
      <c r="C121" s="241" t="s">
        <v>319</v>
      </c>
      <c r="D121" s="177" t="s">
        <v>320</v>
      </c>
      <c r="F121" s="242">
        <v>107950</v>
      </c>
      <c r="G121" s="243">
        <v>184480</v>
      </c>
      <c r="H121" s="242">
        <v>103270</v>
      </c>
      <c r="I121" s="243">
        <v>179800</v>
      </c>
      <c r="J121" s="179" t="s">
        <v>182</v>
      </c>
      <c r="K121" s="244">
        <v>960</v>
      </c>
      <c r="L121" s="245">
        <v>1720</v>
      </c>
      <c r="M121" s="246" t="s">
        <v>795</v>
      </c>
      <c r="N121" s="244">
        <v>920</v>
      </c>
      <c r="O121" s="245">
        <v>1680</v>
      </c>
      <c r="P121" s="246" t="s">
        <v>795</v>
      </c>
      <c r="R121" s="182"/>
      <c r="S121" s="176"/>
      <c r="T121" s="177"/>
      <c r="V121" s="280"/>
      <c r="W121" s="279" t="s">
        <v>712</v>
      </c>
      <c r="X121" s="176"/>
      <c r="Y121" s="279" t="s">
        <v>712</v>
      </c>
      <c r="Z121" s="279"/>
      <c r="AA121" s="176"/>
      <c r="AB121" s="177"/>
      <c r="AD121" s="281"/>
      <c r="AE121" s="281"/>
      <c r="AF121" s="176"/>
      <c r="AG121" s="176"/>
      <c r="AH121" s="177"/>
      <c r="AJ121" s="187">
        <v>3150</v>
      </c>
      <c r="AK121" s="185" t="s">
        <v>321</v>
      </c>
      <c r="AL121" s="176"/>
      <c r="AM121" s="176"/>
      <c r="AN121" s="177"/>
      <c r="AP121" s="1551"/>
      <c r="AQ121" s="1554"/>
      <c r="AR121" s="1551"/>
      <c r="AS121" s="1554"/>
      <c r="AT121" s="1544"/>
      <c r="AU121" s="172" t="s">
        <v>700</v>
      </c>
      <c r="AV121" s="249">
        <v>2900</v>
      </c>
      <c r="AW121" s="250">
        <v>3200</v>
      </c>
      <c r="AX121" s="267">
        <v>2000</v>
      </c>
      <c r="AY121" s="252">
        <v>2000</v>
      </c>
      <c r="BA121" s="235" t="s">
        <v>674</v>
      </c>
      <c r="BC121" s="359"/>
      <c r="BE121" s="187"/>
      <c r="BF121" s="176"/>
      <c r="BG121" s="176"/>
      <c r="BH121" s="177"/>
      <c r="BJ121" s="253"/>
      <c r="BL121" s="193">
        <v>0.01</v>
      </c>
      <c r="BM121" s="194">
        <v>0.03</v>
      </c>
      <c r="BN121" s="194">
        <v>0.04</v>
      </c>
      <c r="BO121" s="195">
        <v>0.06</v>
      </c>
      <c r="BQ121" s="187"/>
      <c r="BR121" s="185"/>
      <c r="BS121" s="185"/>
      <c r="BT121" s="254"/>
      <c r="BV121" s="187"/>
      <c r="BW121" s="185"/>
      <c r="BX121" s="185"/>
      <c r="BY121" s="185"/>
      <c r="BZ121" s="254"/>
      <c r="CB121" s="187"/>
      <c r="CC121" s="185"/>
      <c r="CD121" s="185"/>
      <c r="CE121" s="185"/>
      <c r="CF121" s="254"/>
      <c r="CH121" s="253">
        <v>0.95</v>
      </c>
    </row>
    <row r="122" spans="1:86">
      <c r="A122" s="1563"/>
      <c r="B122" s="168"/>
      <c r="C122" s="241"/>
      <c r="D122" s="177" t="s">
        <v>322</v>
      </c>
      <c r="F122" s="256">
        <v>184480</v>
      </c>
      <c r="G122" s="257"/>
      <c r="H122" s="256">
        <v>179800</v>
      </c>
      <c r="I122" s="257"/>
      <c r="J122" s="179" t="s">
        <v>182</v>
      </c>
      <c r="K122" s="258">
        <v>1720</v>
      </c>
      <c r="L122" s="259"/>
      <c r="M122" s="260" t="s">
        <v>795</v>
      </c>
      <c r="N122" s="258">
        <v>1680</v>
      </c>
      <c r="O122" s="259"/>
      <c r="P122" s="260" t="s">
        <v>795</v>
      </c>
      <c r="R122" s="182"/>
      <c r="S122" s="176"/>
      <c r="T122" s="177"/>
      <c r="V122" s="187"/>
      <c r="W122" s="185">
        <v>570800</v>
      </c>
      <c r="X122" s="176"/>
      <c r="Y122" s="185">
        <v>5700</v>
      </c>
      <c r="Z122" s="176" t="s">
        <v>184</v>
      </c>
      <c r="AA122" s="176"/>
      <c r="AB122" s="177"/>
      <c r="AD122" s="281"/>
      <c r="AE122" s="281"/>
      <c r="AF122" s="176"/>
      <c r="AG122" s="176"/>
      <c r="AH122" s="177"/>
      <c r="AJ122" s="187"/>
      <c r="AK122" s="185"/>
      <c r="AL122" s="176"/>
      <c r="AM122" s="176"/>
      <c r="AN122" s="177"/>
      <c r="AP122" s="1552"/>
      <c r="AQ122" s="1555"/>
      <c r="AR122" s="1552"/>
      <c r="AS122" s="1555"/>
      <c r="AT122" s="1544"/>
      <c r="AU122" s="262" t="s">
        <v>701</v>
      </c>
      <c r="AV122" s="263">
        <v>2600</v>
      </c>
      <c r="AW122" s="264">
        <v>2900</v>
      </c>
      <c r="AX122" s="265">
        <v>1800</v>
      </c>
      <c r="AY122" s="266">
        <v>1800</v>
      </c>
      <c r="BA122" s="235">
        <v>3660</v>
      </c>
      <c r="BC122" s="359"/>
      <c r="BE122" s="187"/>
      <c r="BF122" s="176"/>
      <c r="BG122" s="176"/>
      <c r="BH122" s="177"/>
      <c r="BJ122" s="253"/>
      <c r="BL122" s="193"/>
      <c r="BM122" s="194"/>
      <c r="BN122" s="194"/>
      <c r="BO122" s="195"/>
      <c r="BQ122" s="187"/>
      <c r="BR122" s="185"/>
      <c r="BS122" s="185"/>
      <c r="BT122" s="254"/>
      <c r="BV122" s="187"/>
      <c r="BW122" s="185"/>
      <c r="BX122" s="185"/>
      <c r="BY122" s="185"/>
      <c r="BZ122" s="254"/>
      <c r="CB122" s="187"/>
      <c r="CC122" s="185"/>
      <c r="CD122" s="185"/>
      <c r="CE122" s="185"/>
      <c r="CF122" s="254"/>
      <c r="CH122" s="253"/>
    </row>
    <row r="123" spans="1:86" ht="63">
      <c r="A123" s="1563"/>
      <c r="B123" s="215" t="s">
        <v>338</v>
      </c>
      <c r="C123" s="216" t="s">
        <v>313</v>
      </c>
      <c r="D123" s="217" t="s">
        <v>314</v>
      </c>
      <c r="F123" s="218">
        <v>36750</v>
      </c>
      <c r="G123" s="219">
        <v>44400</v>
      </c>
      <c r="H123" s="218">
        <v>32460</v>
      </c>
      <c r="I123" s="219">
        <v>40110</v>
      </c>
      <c r="J123" s="179" t="s">
        <v>182</v>
      </c>
      <c r="K123" s="220">
        <v>340</v>
      </c>
      <c r="L123" s="221">
        <v>410</v>
      </c>
      <c r="M123" s="222" t="s">
        <v>795</v>
      </c>
      <c r="N123" s="220">
        <v>300</v>
      </c>
      <c r="O123" s="221">
        <v>370</v>
      </c>
      <c r="P123" s="222" t="s">
        <v>795</v>
      </c>
      <c r="Q123" s="160" t="s">
        <v>182</v>
      </c>
      <c r="R123" s="223">
        <v>7650</v>
      </c>
      <c r="S123" s="224">
        <v>70</v>
      </c>
      <c r="T123" s="225" t="s">
        <v>184</v>
      </c>
      <c r="V123" s="187"/>
      <c r="W123" s="185"/>
      <c r="X123" s="176"/>
      <c r="Y123" s="185"/>
      <c r="Z123" s="176"/>
      <c r="AA123" s="176"/>
      <c r="AB123" s="177"/>
      <c r="AD123" s="281"/>
      <c r="AE123" s="281"/>
      <c r="AF123" s="176"/>
      <c r="AG123" s="176"/>
      <c r="AH123" s="177"/>
      <c r="AJ123" s="187" t="s">
        <v>215</v>
      </c>
      <c r="AK123" s="185"/>
      <c r="AL123" s="176" t="s">
        <v>182</v>
      </c>
      <c r="AM123" s="176">
        <v>20</v>
      </c>
      <c r="AN123" s="177" t="s">
        <v>316</v>
      </c>
      <c r="AO123" s="160" t="s">
        <v>182</v>
      </c>
      <c r="AP123" s="1550">
        <v>2800</v>
      </c>
      <c r="AQ123" s="1553">
        <v>3100</v>
      </c>
      <c r="AR123" s="1550">
        <v>2000</v>
      </c>
      <c r="AS123" s="1553">
        <v>2000</v>
      </c>
      <c r="AT123" s="1544" t="s">
        <v>664</v>
      </c>
      <c r="AU123" s="230" t="s">
        <v>697</v>
      </c>
      <c r="AV123" s="231">
        <v>5500</v>
      </c>
      <c r="AW123" s="232">
        <v>6200</v>
      </c>
      <c r="AX123" s="267">
        <v>3900</v>
      </c>
      <c r="AY123" s="252">
        <v>3900</v>
      </c>
      <c r="BA123" s="277"/>
      <c r="BB123" s="160" t="s">
        <v>182</v>
      </c>
      <c r="BC123" s="1556">
        <v>4700</v>
      </c>
      <c r="BD123" s="160" t="s">
        <v>182</v>
      </c>
      <c r="BE123" s="228">
        <v>1820</v>
      </c>
      <c r="BF123" s="226" t="s">
        <v>182</v>
      </c>
      <c r="BG123" s="226">
        <v>10</v>
      </c>
      <c r="BH123" s="217" t="s">
        <v>184</v>
      </c>
      <c r="BJ123" s="253"/>
      <c r="BK123" s="160" t="s">
        <v>188</v>
      </c>
      <c r="BL123" s="237" t="s">
        <v>317</v>
      </c>
      <c r="BM123" s="238" t="s">
        <v>317</v>
      </c>
      <c r="BN123" s="238" t="s">
        <v>317</v>
      </c>
      <c r="BO123" s="239" t="s">
        <v>317</v>
      </c>
      <c r="BP123" s="160" t="s">
        <v>188</v>
      </c>
      <c r="BQ123" s="228"/>
      <c r="BR123" s="229"/>
      <c r="BS123" s="229"/>
      <c r="BT123" s="240"/>
      <c r="BU123" s="160" t="s">
        <v>188</v>
      </c>
      <c r="BV123" s="228"/>
      <c r="BW123" s="229"/>
      <c r="BX123" s="229"/>
      <c r="BY123" s="229"/>
      <c r="BZ123" s="240"/>
      <c r="CA123" s="160" t="s">
        <v>188</v>
      </c>
      <c r="CB123" s="228"/>
      <c r="CC123" s="229"/>
      <c r="CD123" s="229"/>
      <c r="CE123" s="229"/>
      <c r="CF123" s="240"/>
      <c r="CH123" s="236" t="s">
        <v>324</v>
      </c>
    </row>
    <row r="124" spans="1:86">
      <c r="A124" s="1563"/>
      <c r="B124" s="168"/>
      <c r="C124" s="241"/>
      <c r="D124" s="177" t="s">
        <v>318</v>
      </c>
      <c r="F124" s="242">
        <v>44400</v>
      </c>
      <c r="G124" s="243">
        <v>106240</v>
      </c>
      <c r="H124" s="242">
        <v>40110</v>
      </c>
      <c r="I124" s="243">
        <v>101950</v>
      </c>
      <c r="J124" s="179" t="s">
        <v>182</v>
      </c>
      <c r="K124" s="244">
        <v>410</v>
      </c>
      <c r="L124" s="245">
        <v>950</v>
      </c>
      <c r="M124" s="246" t="s">
        <v>795</v>
      </c>
      <c r="N124" s="244">
        <v>370</v>
      </c>
      <c r="O124" s="245">
        <v>900</v>
      </c>
      <c r="P124" s="246" t="s">
        <v>795</v>
      </c>
      <c r="Q124" s="160" t="s">
        <v>182</v>
      </c>
      <c r="R124" s="187">
        <v>7650</v>
      </c>
      <c r="S124" s="185">
        <v>70</v>
      </c>
      <c r="T124" s="247" t="s">
        <v>184</v>
      </c>
      <c r="V124" s="280"/>
      <c r="W124" s="279" t="s">
        <v>713</v>
      </c>
      <c r="X124" s="176"/>
      <c r="Y124" s="279" t="s">
        <v>713</v>
      </c>
      <c r="Z124" s="279"/>
      <c r="AA124" s="176"/>
      <c r="AB124" s="177"/>
      <c r="AD124" s="281"/>
      <c r="AE124" s="281"/>
      <c r="AF124" s="176"/>
      <c r="AG124" s="176"/>
      <c r="AH124" s="177"/>
      <c r="AJ124" s="187"/>
      <c r="AK124" s="185"/>
      <c r="AL124" s="176"/>
      <c r="AM124" s="176"/>
      <c r="AN124" s="177"/>
      <c r="AP124" s="1551"/>
      <c r="AQ124" s="1554"/>
      <c r="AR124" s="1551"/>
      <c r="AS124" s="1554"/>
      <c r="AT124" s="1544"/>
      <c r="AU124" s="172" t="s">
        <v>699</v>
      </c>
      <c r="AV124" s="249">
        <v>3000</v>
      </c>
      <c r="AW124" s="250">
        <v>3400</v>
      </c>
      <c r="AX124" s="267">
        <v>2100</v>
      </c>
      <c r="AY124" s="252">
        <v>2100</v>
      </c>
      <c r="BA124" s="235" t="s">
        <v>675</v>
      </c>
      <c r="BC124" s="1557"/>
      <c r="BE124" s="187"/>
      <c r="BF124" s="176"/>
      <c r="BG124" s="176"/>
      <c r="BH124" s="177"/>
      <c r="BJ124" s="253"/>
      <c r="BL124" s="193"/>
      <c r="BM124" s="194"/>
      <c r="BN124" s="194"/>
      <c r="BO124" s="195"/>
      <c r="BQ124" s="187">
        <v>1060</v>
      </c>
      <c r="BR124" s="185" t="s">
        <v>189</v>
      </c>
      <c r="BS124" s="185">
        <v>10</v>
      </c>
      <c r="BT124" s="254" t="s">
        <v>184</v>
      </c>
      <c r="BV124" s="187">
        <v>3820</v>
      </c>
      <c r="BW124" s="185" t="s">
        <v>189</v>
      </c>
      <c r="BX124" s="185">
        <v>30</v>
      </c>
      <c r="BY124" s="185" t="s">
        <v>184</v>
      </c>
      <c r="BZ124" s="254" t="s">
        <v>190</v>
      </c>
      <c r="CB124" s="187">
        <v>2480</v>
      </c>
      <c r="CC124" s="185" t="s">
        <v>189</v>
      </c>
      <c r="CD124" s="185">
        <v>20</v>
      </c>
      <c r="CE124" s="185" t="s">
        <v>184</v>
      </c>
      <c r="CF124" s="254" t="s">
        <v>190</v>
      </c>
      <c r="CH124" s="253"/>
    </row>
    <row r="125" spans="1:86">
      <c r="A125" s="1563"/>
      <c r="B125" s="168"/>
      <c r="C125" s="241" t="s">
        <v>319</v>
      </c>
      <c r="D125" s="177" t="s">
        <v>320</v>
      </c>
      <c r="F125" s="242">
        <v>106240</v>
      </c>
      <c r="G125" s="243">
        <v>182770</v>
      </c>
      <c r="H125" s="242">
        <v>101950</v>
      </c>
      <c r="I125" s="243">
        <v>178480</v>
      </c>
      <c r="J125" s="179" t="s">
        <v>182</v>
      </c>
      <c r="K125" s="244">
        <v>950</v>
      </c>
      <c r="L125" s="245">
        <v>1710</v>
      </c>
      <c r="M125" s="246" t="s">
        <v>795</v>
      </c>
      <c r="N125" s="244">
        <v>900</v>
      </c>
      <c r="O125" s="245">
        <v>1660</v>
      </c>
      <c r="P125" s="246" t="s">
        <v>795</v>
      </c>
      <c r="R125" s="182"/>
      <c r="S125" s="176"/>
      <c r="T125" s="177"/>
      <c r="V125" s="187"/>
      <c r="W125" s="185">
        <v>607600</v>
      </c>
      <c r="X125" s="176"/>
      <c r="Y125" s="185">
        <v>6070</v>
      </c>
      <c r="Z125" s="176" t="s">
        <v>184</v>
      </c>
      <c r="AA125" s="176"/>
      <c r="AB125" s="177"/>
      <c r="AD125" s="281"/>
      <c r="AE125" s="281"/>
      <c r="AF125" s="176"/>
      <c r="AG125" s="176"/>
      <c r="AH125" s="177"/>
      <c r="AJ125" s="187">
        <v>2620</v>
      </c>
      <c r="AK125" s="185" t="s">
        <v>321</v>
      </c>
      <c r="AL125" s="176"/>
      <c r="AM125" s="176"/>
      <c r="AN125" s="177"/>
      <c r="AP125" s="1551"/>
      <c r="AQ125" s="1554"/>
      <c r="AR125" s="1551"/>
      <c r="AS125" s="1554"/>
      <c r="AT125" s="1544"/>
      <c r="AU125" s="172" t="s">
        <v>700</v>
      </c>
      <c r="AV125" s="249">
        <v>2600</v>
      </c>
      <c r="AW125" s="250">
        <v>2900</v>
      </c>
      <c r="AX125" s="267">
        <v>1800</v>
      </c>
      <c r="AY125" s="252">
        <v>1800</v>
      </c>
      <c r="BA125" s="235">
        <v>3160</v>
      </c>
      <c r="BC125" s="359"/>
      <c r="BE125" s="187"/>
      <c r="BF125" s="176"/>
      <c r="BG125" s="176"/>
      <c r="BH125" s="177"/>
      <c r="BJ125" s="253"/>
      <c r="BL125" s="193">
        <v>0.01</v>
      </c>
      <c r="BM125" s="194">
        <v>0.03</v>
      </c>
      <c r="BN125" s="194">
        <v>0.04</v>
      </c>
      <c r="BO125" s="195">
        <v>0.06</v>
      </c>
      <c r="BQ125" s="187"/>
      <c r="BR125" s="185"/>
      <c r="BS125" s="185"/>
      <c r="BT125" s="254"/>
      <c r="BV125" s="187"/>
      <c r="BW125" s="185"/>
      <c r="BX125" s="185"/>
      <c r="BY125" s="185"/>
      <c r="BZ125" s="254"/>
      <c r="CB125" s="187"/>
      <c r="CC125" s="185"/>
      <c r="CD125" s="185"/>
      <c r="CE125" s="185"/>
      <c r="CF125" s="254"/>
      <c r="CH125" s="253">
        <v>0.95</v>
      </c>
    </row>
    <row r="126" spans="1:86">
      <c r="A126" s="1563"/>
      <c r="B126" s="269"/>
      <c r="C126" s="270"/>
      <c r="D126" s="184" t="s">
        <v>322</v>
      </c>
      <c r="F126" s="256">
        <v>182770</v>
      </c>
      <c r="G126" s="257"/>
      <c r="H126" s="256">
        <v>178480</v>
      </c>
      <c r="I126" s="257"/>
      <c r="J126" s="179" t="s">
        <v>182</v>
      </c>
      <c r="K126" s="258">
        <v>1710</v>
      </c>
      <c r="L126" s="259"/>
      <c r="M126" s="260" t="s">
        <v>795</v>
      </c>
      <c r="N126" s="258">
        <v>1660</v>
      </c>
      <c r="O126" s="259"/>
      <c r="P126" s="260" t="s">
        <v>795</v>
      </c>
      <c r="R126" s="183"/>
      <c r="S126" s="271"/>
      <c r="T126" s="184"/>
      <c r="V126" s="187"/>
      <c r="W126" s="185"/>
      <c r="X126" s="176"/>
      <c r="Y126" s="185"/>
      <c r="Z126" s="176"/>
      <c r="AA126" s="176"/>
      <c r="AB126" s="177"/>
      <c r="AD126" s="281"/>
      <c r="AE126" s="281"/>
      <c r="AF126" s="176"/>
      <c r="AG126" s="176"/>
      <c r="AH126" s="177"/>
      <c r="AJ126" s="187"/>
      <c r="AK126" s="185"/>
      <c r="AL126" s="176"/>
      <c r="AM126" s="176"/>
      <c r="AN126" s="177"/>
      <c r="AP126" s="1552"/>
      <c r="AQ126" s="1555"/>
      <c r="AR126" s="1552"/>
      <c r="AS126" s="1555"/>
      <c r="AT126" s="1544"/>
      <c r="AU126" s="262" t="s">
        <v>701</v>
      </c>
      <c r="AV126" s="263">
        <v>2400</v>
      </c>
      <c r="AW126" s="264">
        <v>2600</v>
      </c>
      <c r="AX126" s="265">
        <v>1600</v>
      </c>
      <c r="AY126" s="266">
        <v>1600</v>
      </c>
      <c r="BA126" s="277"/>
      <c r="BC126" s="359"/>
      <c r="BE126" s="186"/>
      <c r="BF126" s="271"/>
      <c r="BG126" s="271"/>
      <c r="BH126" s="184"/>
      <c r="BJ126" s="253"/>
      <c r="BL126" s="272"/>
      <c r="BM126" s="273"/>
      <c r="BN126" s="273"/>
      <c r="BO126" s="274"/>
      <c r="BQ126" s="186"/>
      <c r="BR126" s="196"/>
      <c r="BS126" s="196"/>
      <c r="BT126" s="197"/>
      <c r="BV126" s="186"/>
      <c r="BW126" s="196"/>
      <c r="BX126" s="196"/>
      <c r="BY126" s="196"/>
      <c r="BZ126" s="197"/>
      <c r="CB126" s="186"/>
      <c r="CC126" s="196"/>
      <c r="CD126" s="196"/>
      <c r="CE126" s="196"/>
      <c r="CF126" s="197"/>
      <c r="CH126" s="198"/>
    </row>
    <row r="127" spans="1:86" ht="63">
      <c r="A127" s="1563"/>
      <c r="B127" s="168" t="s">
        <v>339</v>
      </c>
      <c r="C127" s="241" t="s">
        <v>313</v>
      </c>
      <c r="D127" s="177" t="s">
        <v>314</v>
      </c>
      <c r="F127" s="218">
        <v>35290</v>
      </c>
      <c r="G127" s="219">
        <v>42940</v>
      </c>
      <c r="H127" s="218">
        <v>31330</v>
      </c>
      <c r="I127" s="219">
        <v>38980</v>
      </c>
      <c r="J127" s="179" t="s">
        <v>182</v>
      </c>
      <c r="K127" s="220">
        <v>330</v>
      </c>
      <c r="L127" s="221">
        <v>400</v>
      </c>
      <c r="M127" s="222" t="s">
        <v>795</v>
      </c>
      <c r="N127" s="220">
        <v>290</v>
      </c>
      <c r="O127" s="221">
        <v>360</v>
      </c>
      <c r="P127" s="222" t="s">
        <v>795</v>
      </c>
      <c r="Q127" s="160" t="s">
        <v>182</v>
      </c>
      <c r="R127" s="275">
        <v>7650</v>
      </c>
      <c r="S127" s="276">
        <v>70</v>
      </c>
      <c r="T127" s="247" t="s">
        <v>184</v>
      </c>
      <c r="V127" s="280"/>
      <c r="W127" s="279" t="s">
        <v>714</v>
      </c>
      <c r="X127" s="176"/>
      <c r="Y127" s="279" t="s">
        <v>714</v>
      </c>
      <c r="Z127" s="279"/>
      <c r="AA127" s="176"/>
      <c r="AB127" s="177"/>
      <c r="AD127" s="281"/>
      <c r="AE127" s="281"/>
      <c r="AF127" s="176"/>
      <c r="AG127" s="176"/>
      <c r="AH127" s="177"/>
      <c r="AJ127" s="187" t="s">
        <v>217</v>
      </c>
      <c r="AK127" s="185"/>
      <c r="AL127" s="176" t="s">
        <v>182</v>
      </c>
      <c r="AM127" s="176">
        <v>20</v>
      </c>
      <c r="AN127" s="177" t="s">
        <v>316</v>
      </c>
      <c r="AO127" s="160" t="s">
        <v>182</v>
      </c>
      <c r="AP127" s="1550">
        <v>2600</v>
      </c>
      <c r="AQ127" s="1553">
        <v>2900</v>
      </c>
      <c r="AR127" s="1550">
        <v>1800</v>
      </c>
      <c r="AS127" s="1553">
        <v>1800</v>
      </c>
      <c r="AT127" s="1544" t="s">
        <v>664</v>
      </c>
      <c r="AU127" s="230" t="s">
        <v>697</v>
      </c>
      <c r="AV127" s="231">
        <v>5100</v>
      </c>
      <c r="AW127" s="232">
        <v>5700</v>
      </c>
      <c r="AX127" s="267">
        <v>3500</v>
      </c>
      <c r="AY127" s="252">
        <v>3500</v>
      </c>
      <c r="BA127" s="235" t="s">
        <v>676</v>
      </c>
      <c r="BB127" s="160" t="s">
        <v>182</v>
      </c>
      <c r="BC127" s="1556">
        <v>4700</v>
      </c>
      <c r="BD127" s="160" t="s">
        <v>182</v>
      </c>
      <c r="BE127" s="187">
        <v>1680</v>
      </c>
      <c r="BF127" s="176" t="s">
        <v>182</v>
      </c>
      <c r="BG127" s="176">
        <v>10</v>
      </c>
      <c r="BH127" s="177" t="s">
        <v>184</v>
      </c>
      <c r="BJ127" s="253"/>
      <c r="BK127" s="160" t="s">
        <v>188</v>
      </c>
      <c r="BL127" s="193" t="s">
        <v>317</v>
      </c>
      <c r="BM127" s="194" t="s">
        <v>317</v>
      </c>
      <c r="BN127" s="194" t="s">
        <v>317</v>
      </c>
      <c r="BO127" s="195" t="s">
        <v>317</v>
      </c>
      <c r="BP127" s="160" t="s">
        <v>188</v>
      </c>
      <c r="BQ127" s="187"/>
      <c r="BR127" s="185"/>
      <c r="BS127" s="185"/>
      <c r="BT127" s="254"/>
      <c r="BU127" s="160" t="s">
        <v>188</v>
      </c>
      <c r="BV127" s="187"/>
      <c r="BW127" s="185"/>
      <c r="BX127" s="185"/>
      <c r="BY127" s="185"/>
      <c r="BZ127" s="254"/>
      <c r="CA127" s="160" t="s">
        <v>188</v>
      </c>
      <c r="CB127" s="187"/>
      <c r="CC127" s="185"/>
      <c r="CD127" s="185"/>
      <c r="CE127" s="185"/>
      <c r="CF127" s="254"/>
      <c r="CH127" s="253" t="s">
        <v>324</v>
      </c>
    </row>
    <row r="128" spans="1:86">
      <c r="A128" s="1563"/>
      <c r="B128" s="168"/>
      <c r="C128" s="241"/>
      <c r="D128" s="177" t="s">
        <v>318</v>
      </c>
      <c r="F128" s="242">
        <v>42940</v>
      </c>
      <c r="G128" s="243">
        <v>104780</v>
      </c>
      <c r="H128" s="242">
        <v>38980</v>
      </c>
      <c r="I128" s="243">
        <v>100820</v>
      </c>
      <c r="J128" s="179" t="s">
        <v>182</v>
      </c>
      <c r="K128" s="244">
        <v>400</v>
      </c>
      <c r="L128" s="245">
        <v>930</v>
      </c>
      <c r="M128" s="246" t="s">
        <v>795</v>
      </c>
      <c r="N128" s="244">
        <v>360</v>
      </c>
      <c r="O128" s="245">
        <v>890</v>
      </c>
      <c r="P128" s="246" t="s">
        <v>795</v>
      </c>
      <c r="Q128" s="160" t="s">
        <v>182</v>
      </c>
      <c r="R128" s="187">
        <v>7650</v>
      </c>
      <c r="S128" s="185">
        <v>70</v>
      </c>
      <c r="T128" s="247" t="s">
        <v>184</v>
      </c>
      <c r="V128" s="187"/>
      <c r="W128" s="185">
        <v>644300</v>
      </c>
      <c r="X128" s="176"/>
      <c r="Y128" s="185">
        <v>6440</v>
      </c>
      <c r="Z128" s="176" t="s">
        <v>184</v>
      </c>
      <c r="AA128" s="176"/>
      <c r="AB128" s="177"/>
      <c r="AD128" s="281"/>
      <c r="AE128" s="281"/>
      <c r="AF128" s="176"/>
      <c r="AG128" s="176"/>
      <c r="AH128" s="177"/>
      <c r="AJ128" s="187"/>
      <c r="AK128" s="185"/>
      <c r="AL128" s="176"/>
      <c r="AM128" s="176"/>
      <c r="AN128" s="177"/>
      <c r="AP128" s="1551"/>
      <c r="AQ128" s="1554"/>
      <c r="AR128" s="1551"/>
      <c r="AS128" s="1554"/>
      <c r="AT128" s="1544"/>
      <c r="AU128" s="172" t="s">
        <v>699</v>
      </c>
      <c r="AV128" s="249">
        <v>2800</v>
      </c>
      <c r="AW128" s="250">
        <v>3100</v>
      </c>
      <c r="AX128" s="267">
        <v>1900</v>
      </c>
      <c r="AY128" s="252">
        <v>1900</v>
      </c>
      <c r="BA128" s="235">
        <v>2810</v>
      </c>
      <c r="BC128" s="1557"/>
      <c r="BE128" s="187"/>
      <c r="BF128" s="176"/>
      <c r="BG128" s="176"/>
      <c r="BH128" s="177"/>
      <c r="BJ128" s="253"/>
      <c r="BL128" s="193"/>
      <c r="BM128" s="194"/>
      <c r="BN128" s="194"/>
      <c r="BO128" s="195"/>
      <c r="BQ128" s="187">
        <v>970</v>
      </c>
      <c r="BR128" s="185" t="s">
        <v>189</v>
      </c>
      <c r="BS128" s="185">
        <v>10</v>
      </c>
      <c r="BT128" s="254" t="s">
        <v>184</v>
      </c>
      <c r="BV128" s="187">
        <v>3530</v>
      </c>
      <c r="BW128" s="185" t="s">
        <v>189</v>
      </c>
      <c r="BX128" s="185">
        <v>30</v>
      </c>
      <c r="BY128" s="185" t="s">
        <v>184</v>
      </c>
      <c r="BZ128" s="254" t="s">
        <v>190</v>
      </c>
      <c r="CB128" s="187">
        <v>2290</v>
      </c>
      <c r="CC128" s="185" t="s">
        <v>189</v>
      </c>
      <c r="CD128" s="185">
        <v>20</v>
      </c>
      <c r="CE128" s="185" t="s">
        <v>184</v>
      </c>
      <c r="CF128" s="254" t="s">
        <v>190</v>
      </c>
      <c r="CH128" s="253"/>
    </row>
    <row r="129" spans="1:86">
      <c r="A129" s="1563"/>
      <c r="B129" s="168"/>
      <c r="C129" s="241" t="s">
        <v>319</v>
      </c>
      <c r="D129" s="177" t="s">
        <v>320</v>
      </c>
      <c r="F129" s="242">
        <v>104780</v>
      </c>
      <c r="G129" s="243">
        <v>181310</v>
      </c>
      <c r="H129" s="242">
        <v>100820</v>
      </c>
      <c r="I129" s="243">
        <v>177350</v>
      </c>
      <c r="J129" s="179" t="s">
        <v>182</v>
      </c>
      <c r="K129" s="244">
        <v>930</v>
      </c>
      <c r="L129" s="245">
        <v>1690</v>
      </c>
      <c r="M129" s="246" t="s">
        <v>795</v>
      </c>
      <c r="N129" s="244">
        <v>890</v>
      </c>
      <c r="O129" s="245">
        <v>1650</v>
      </c>
      <c r="P129" s="246" t="s">
        <v>795</v>
      </c>
      <c r="R129" s="182"/>
      <c r="S129" s="176"/>
      <c r="T129" s="177"/>
      <c r="V129" s="187"/>
      <c r="W129" s="185"/>
      <c r="X129" s="176"/>
      <c r="Y129" s="185"/>
      <c r="Z129" s="176"/>
      <c r="AA129" s="176"/>
      <c r="AB129" s="177"/>
      <c r="AD129" s="281"/>
      <c r="AE129" s="281"/>
      <c r="AF129" s="176"/>
      <c r="AG129" s="176"/>
      <c r="AH129" s="177"/>
      <c r="AJ129" s="187">
        <v>2250</v>
      </c>
      <c r="AK129" s="185" t="s">
        <v>321</v>
      </c>
      <c r="AL129" s="176"/>
      <c r="AM129" s="176"/>
      <c r="AN129" s="177"/>
      <c r="AP129" s="1551"/>
      <c r="AQ129" s="1554"/>
      <c r="AR129" s="1551"/>
      <c r="AS129" s="1554"/>
      <c r="AT129" s="1544"/>
      <c r="AU129" s="172" t="s">
        <v>700</v>
      </c>
      <c r="AV129" s="249">
        <v>2400</v>
      </c>
      <c r="AW129" s="250">
        <v>2700</v>
      </c>
      <c r="AX129" s="267">
        <v>1700</v>
      </c>
      <c r="AY129" s="252">
        <v>1700</v>
      </c>
      <c r="BA129" s="277"/>
      <c r="BC129" s="358"/>
      <c r="BE129" s="187"/>
      <c r="BF129" s="176"/>
      <c r="BG129" s="176"/>
      <c r="BH129" s="177"/>
      <c r="BJ129" s="253"/>
      <c r="BL129" s="193">
        <v>0.01</v>
      </c>
      <c r="BM129" s="194">
        <v>0.03</v>
      </c>
      <c r="BN129" s="194">
        <v>0.04</v>
      </c>
      <c r="BO129" s="195">
        <v>0.06</v>
      </c>
      <c r="BQ129" s="187"/>
      <c r="BR129" s="185"/>
      <c r="BS129" s="185"/>
      <c r="BT129" s="254"/>
      <c r="BV129" s="187"/>
      <c r="BW129" s="185"/>
      <c r="BX129" s="185"/>
      <c r="BY129" s="185"/>
      <c r="BZ129" s="254"/>
      <c r="CB129" s="187"/>
      <c r="CC129" s="185"/>
      <c r="CD129" s="185"/>
      <c r="CE129" s="185"/>
      <c r="CF129" s="254"/>
      <c r="CH129" s="253">
        <v>0.97</v>
      </c>
    </row>
    <row r="130" spans="1:86">
      <c r="A130" s="1563"/>
      <c r="B130" s="168"/>
      <c r="C130" s="241"/>
      <c r="D130" s="177" t="s">
        <v>322</v>
      </c>
      <c r="F130" s="256">
        <v>181310</v>
      </c>
      <c r="G130" s="257"/>
      <c r="H130" s="256">
        <v>177350</v>
      </c>
      <c r="I130" s="257"/>
      <c r="J130" s="179" t="s">
        <v>182</v>
      </c>
      <c r="K130" s="258">
        <v>1690</v>
      </c>
      <c r="L130" s="259"/>
      <c r="M130" s="260" t="s">
        <v>795</v>
      </c>
      <c r="N130" s="258">
        <v>1650</v>
      </c>
      <c r="O130" s="259"/>
      <c r="P130" s="260" t="s">
        <v>795</v>
      </c>
      <c r="R130" s="182"/>
      <c r="S130" s="176"/>
      <c r="T130" s="177"/>
      <c r="V130" s="280"/>
      <c r="W130" s="279" t="s">
        <v>715</v>
      </c>
      <c r="X130" s="176"/>
      <c r="Y130" s="279" t="s">
        <v>715</v>
      </c>
      <c r="Z130" s="279"/>
      <c r="AA130" s="176"/>
      <c r="AB130" s="177"/>
      <c r="AD130" s="281"/>
      <c r="AE130" s="281"/>
      <c r="AF130" s="176"/>
      <c r="AG130" s="176"/>
      <c r="AH130" s="177"/>
      <c r="AJ130" s="187"/>
      <c r="AK130" s="185"/>
      <c r="AL130" s="176"/>
      <c r="AM130" s="176"/>
      <c r="AN130" s="177"/>
      <c r="AP130" s="1552"/>
      <c r="AQ130" s="1555"/>
      <c r="AR130" s="1552"/>
      <c r="AS130" s="1555"/>
      <c r="AT130" s="1544"/>
      <c r="AU130" s="262" t="s">
        <v>701</v>
      </c>
      <c r="AV130" s="263">
        <v>2200</v>
      </c>
      <c r="AW130" s="264">
        <v>2400</v>
      </c>
      <c r="AX130" s="265">
        <v>1500</v>
      </c>
      <c r="AY130" s="266">
        <v>1500</v>
      </c>
      <c r="BA130" s="235" t="s">
        <v>677</v>
      </c>
      <c r="BC130" s="359"/>
      <c r="BE130" s="187"/>
      <c r="BF130" s="176"/>
      <c r="BG130" s="176"/>
      <c r="BH130" s="177"/>
      <c r="BJ130" s="253"/>
      <c r="BL130" s="193"/>
      <c r="BM130" s="194"/>
      <c r="BN130" s="194"/>
      <c r="BO130" s="195"/>
      <c r="BQ130" s="187"/>
      <c r="BR130" s="185"/>
      <c r="BS130" s="185"/>
      <c r="BT130" s="254"/>
      <c r="BV130" s="187"/>
      <c r="BW130" s="185"/>
      <c r="BX130" s="185"/>
      <c r="BY130" s="185"/>
      <c r="BZ130" s="254"/>
      <c r="CB130" s="187"/>
      <c r="CC130" s="185"/>
      <c r="CD130" s="185"/>
      <c r="CE130" s="185"/>
      <c r="CF130" s="254"/>
      <c r="CH130" s="253"/>
    </row>
    <row r="131" spans="1:86" ht="63">
      <c r="A131" s="1563"/>
      <c r="B131" s="215" t="s">
        <v>340</v>
      </c>
      <c r="C131" s="216" t="s">
        <v>313</v>
      </c>
      <c r="D131" s="217" t="s">
        <v>314</v>
      </c>
      <c r="F131" s="218">
        <v>34080</v>
      </c>
      <c r="G131" s="219">
        <v>41730</v>
      </c>
      <c r="H131" s="218">
        <v>30400</v>
      </c>
      <c r="I131" s="219">
        <v>38050</v>
      </c>
      <c r="J131" s="179" t="s">
        <v>182</v>
      </c>
      <c r="K131" s="220">
        <v>320</v>
      </c>
      <c r="L131" s="221">
        <v>390</v>
      </c>
      <c r="M131" s="222" t="s">
        <v>795</v>
      </c>
      <c r="N131" s="220">
        <v>280</v>
      </c>
      <c r="O131" s="221">
        <v>350</v>
      </c>
      <c r="P131" s="222" t="s">
        <v>795</v>
      </c>
      <c r="Q131" s="160" t="s">
        <v>182</v>
      </c>
      <c r="R131" s="223">
        <v>7650</v>
      </c>
      <c r="S131" s="224">
        <v>70</v>
      </c>
      <c r="T131" s="225" t="s">
        <v>184</v>
      </c>
      <c r="V131" s="187"/>
      <c r="W131" s="185">
        <v>681100</v>
      </c>
      <c r="X131" s="176"/>
      <c r="Y131" s="185">
        <v>6810</v>
      </c>
      <c r="Z131" s="176" t="s">
        <v>184</v>
      </c>
      <c r="AA131" s="176"/>
      <c r="AB131" s="177"/>
      <c r="AD131" s="281"/>
      <c r="AE131" s="281"/>
      <c r="AF131" s="176"/>
      <c r="AG131" s="176"/>
      <c r="AH131" s="177"/>
      <c r="AJ131" s="187" t="s">
        <v>219</v>
      </c>
      <c r="AK131" s="185"/>
      <c r="AL131" s="176" t="s">
        <v>182</v>
      </c>
      <c r="AM131" s="176">
        <v>10</v>
      </c>
      <c r="AN131" s="177" t="s">
        <v>316</v>
      </c>
      <c r="AO131" s="160" t="s">
        <v>182</v>
      </c>
      <c r="AP131" s="1550">
        <v>2800</v>
      </c>
      <c r="AQ131" s="1553">
        <v>3100</v>
      </c>
      <c r="AR131" s="1550">
        <v>1900</v>
      </c>
      <c r="AS131" s="1553">
        <v>1900</v>
      </c>
      <c r="AT131" s="1544" t="s">
        <v>664</v>
      </c>
      <c r="AU131" s="230" t="s">
        <v>697</v>
      </c>
      <c r="AV131" s="231">
        <v>5500</v>
      </c>
      <c r="AW131" s="232">
        <v>6200</v>
      </c>
      <c r="AX131" s="267">
        <v>3900</v>
      </c>
      <c r="AY131" s="252">
        <v>3900</v>
      </c>
      <c r="BA131" s="235">
        <v>2540</v>
      </c>
      <c r="BB131" s="160" t="s">
        <v>182</v>
      </c>
      <c r="BC131" s="1556">
        <v>4700</v>
      </c>
      <c r="BD131" s="160" t="s">
        <v>182</v>
      </c>
      <c r="BE131" s="228">
        <v>1560</v>
      </c>
      <c r="BF131" s="226" t="s">
        <v>182</v>
      </c>
      <c r="BG131" s="226">
        <v>10</v>
      </c>
      <c r="BH131" s="217" t="s">
        <v>184</v>
      </c>
      <c r="BJ131" s="253"/>
      <c r="BK131" s="160" t="s">
        <v>188</v>
      </c>
      <c r="BL131" s="237" t="s">
        <v>317</v>
      </c>
      <c r="BM131" s="238" t="s">
        <v>317</v>
      </c>
      <c r="BN131" s="238" t="s">
        <v>317</v>
      </c>
      <c r="BO131" s="239" t="s">
        <v>317</v>
      </c>
      <c r="BP131" s="160" t="s">
        <v>188</v>
      </c>
      <c r="BQ131" s="228"/>
      <c r="BR131" s="229"/>
      <c r="BS131" s="229"/>
      <c r="BT131" s="240"/>
      <c r="BU131" s="160" t="s">
        <v>188</v>
      </c>
      <c r="BV131" s="228"/>
      <c r="BW131" s="229"/>
      <c r="BX131" s="229"/>
      <c r="BY131" s="229"/>
      <c r="BZ131" s="240"/>
      <c r="CA131" s="160" t="s">
        <v>188</v>
      </c>
      <c r="CB131" s="228"/>
      <c r="CC131" s="229"/>
      <c r="CD131" s="229"/>
      <c r="CE131" s="229"/>
      <c r="CF131" s="240"/>
      <c r="CH131" s="236" t="s">
        <v>324</v>
      </c>
    </row>
    <row r="132" spans="1:86">
      <c r="A132" s="1563"/>
      <c r="B132" s="168"/>
      <c r="C132" s="241"/>
      <c r="D132" s="177" t="s">
        <v>318</v>
      </c>
      <c r="F132" s="242">
        <v>41730</v>
      </c>
      <c r="G132" s="243">
        <v>103570</v>
      </c>
      <c r="H132" s="242">
        <v>38050</v>
      </c>
      <c r="I132" s="243">
        <v>99890</v>
      </c>
      <c r="J132" s="179" t="s">
        <v>182</v>
      </c>
      <c r="K132" s="244">
        <v>390</v>
      </c>
      <c r="L132" s="245">
        <v>920</v>
      </c>
      <c r="M132" s="246" t="s">
        <v>795</v>
      </c>
      <c r="N132" s="244">
        <v>350</v>
      </c>
      <c r="O132" s="245">
        <v>880</v>
      </c>
      <c r="P132" s="246" t="s">
        <v>795</v>
      </c>
      <c r="Q132" s="160" t="s">
        <v>182</v>
      </c>
      <c r="R132" s="187">
        <v>7650</v>
      </c>
      <c r="S132" s="185">
        <v>70</v>
      </c>
      <c r="T132" s="247" t="s">
        <v>184</v>
      </c>
      <c r="V132" s="187"/>
      <c r="W132" s="185"/>
      <c r="X132" s="176"/>
      <c r="Y132" s="185"/>
      <c r="Z132" s="176"/>
      <c r="AA132" s="176"/>
      <c r="AB132" s="177"/>
      <c r="AD132" s="281"/>
      <c r="AE132" s="281"/>
      <c r="AF132" s="176"/>
      <c r="AG132" s="176"/>
      <c r="AH132" s="177"/>
      <c r="AJ132" s="187"/>
      <c r="AK132" s="185"/>
      <c r="AL132" s="176"/>
      <c r="AM132" s="176"/>
      <c r="AN132" s="177"/>
      <c r="AP132" s="1551"/>
      <c r="AQ132" s="1554"/>
      <c r="AR132" s="1551"/>
      <c r="AS132" s="1554"/>
      <c r="AT132" s="1544"/>
      <c r="AU132" s="172" t="s">
        <v>699</v>
      </c>
      <c r="AV132" s="249">
        <v>3000</v>
      </c>
      <c r="AW132" s="250">
        <v>3400</v>
      </c>
      <c r="AX132" s="267">
        <v>2100</v>
      </c>
      <c r="AY132" s="252">
        <v>2100</v>
      </c>
      <c r="BA132" s="277"/>
      <c r="BC132" s="1557"/>
      <c r="BE132" s="187"/>
      <c r="BF132" s="176"/>
      <c r="BG132" s="176"/>
      <c r="BH132" s="177"/>
      <c r="BJ132" s="253"/>
      <c r="BL132" s="193"/>
      <c r="BM132" s="194"/>
      <c r="BN132" s="194"/>
      <c r="BO132" s="195"/>
      <c r="BQ132" s="187">
        <v>900</v>
      </c>
      <c r="BR132" s="185" t="s">
        <v>189</v>
      </c>
      <c r="BS132" s="185">
        <v>9</v>
      </c>
      <c r="BT132" s="254" t="s">
        <v>184</v>
      </c>
      <c r="BV132" s="187">
        <v>3280</v>
      </c>
      <c r="BW132" s="185" t="s">
        <v>189</v>
      </c>
      <c r="BX132" s="185">
        <v>30</v>
      </c>
      <c r="BY132" s="185" t="s">
        <v>184</v>
      </c>
      <c r="BZ132" s="254" t="s">
        <v>190</v>
      </c>
      <c r="CB132" s="187">
        <v>2120</v>
      </c>
      <c r="CC132" s="185" t="s">
        <v>189</v>
      </c>
      <c r="CD132" s="185">
        <v>20</v>
      </c>
      <c r="CE132" s="185" t="s">
        <v>184</v>
      </c>
      <c r="CF132" s="254" t="s">
        <v>190</v>
      </c>
      <c r="CH132" s="253"/>
    </row>
    <row r="133" spans="1:86">
      <c r="A133" s="1563"/>
      <c r="B133" s="168"/>
      <c r="C133" s="241" t="s">
        <v>319</v>
      </c>
      <c r="D133" s="177" t="s">
        <v>320</v>
      </c>
      <c r="F133" s="242">
        <v>103570</v>
      </c>
      <c r="G133" s="243">
        <v>180100</v>
      </c>
      <c r="H133" s="242">
        <v>99890</v>
      </c>
      <c r="I133" s="243">
        <v>176420</v>
      </c>
      <c r="J133" s="179" t="s">
        <v>182</v>
      </c>
      <c r="K133" s="244">
        <v>920</v>
      </c>
      <c r="L133" s="245">
        <v>1680</v>
      </c>
      <c r="M133" s="246" t="s">
        <v>795</v>
      </c>
      <c r="N133" s="244">
        <v>880</v>
      </c>
      <c r="O133" s="245">
        <v>1640</v>
      </c>
      <c r="P133" s="246" t="s">
        <v>795</v>
      </c>
      <c r="R133" s="182"/>
      <c r="S133" s="176"/>
      <c r="T133" s="177"/>
      <c r="V133" s="280"/>
      <c r="W133" s="279" t="s">
        <v>716</v>
      </c>
      <c r="X133" s="176"/>
      <c r="Y133" s="279" t="s">
        <v>716</v>
      </c>
      <c r="Z133" s="279"/>
      <c r="AA133" s="176"/>
      <c r="AB133" s="177"/>
      <c r="AD133" s="281"/>
      <c r="AE133" s="281"/>
      <c r="AF133" s="176"/>
      <c r="AG133" s="176"/>
      <c r="AH133" s="177"/>
      <c r="AJ133" s="187">
        <v>1960</v>
      </c>
      <c r="AK133" s="185" t="s">
        <v>321</v>
      </c>
      <c r="AL133" s="176"/>
      <c r="AM133" s="176"/>
      <c r="AN133" s="177"/>
      <c r="AP133" s="1551"/>
      <c r="AQ133" s="1554"/>
      <c r="AR133" s="1551"/>
      <c r="AS133" s="1554"/>
      <c r="AT133" s="1544"/>
      <c r="AU133" s="172" t="s">
        <v>700</v>
      </c>
      <c r="AV133" s="249">
        <v>2600</v>
      </c>
      <c r="AW133" s="250">
        <v>2900</v>
      </c>
      <c r="AX133" s="267">
        <v>1800</v>
      </c>
      <c r="AY133" s="252">
        <v>1800</v>
      </c>
      <c r="BA133" s="235" t="s">
        <v>678</v>
      </c>
      <c r="BC133" s="359"/>
      <c r="BE133" s="187"/>
      <c r="BF133" s="176"/>
      <c r="BG133" s="176"/>
      <c r="BH133" s="177"/>
      <c r="BJ133" s="253"/>
      <c r="BL133" s="193">
        <v>0.01</v>
      </c>
      <c r="BM133" s="194">
        <v>0.03</v>
      </c>
      <c r="BN133" s="194">
        <v>0.04</v>
      </c>
      <c r="BO133" s="195">
        <v>0.06</v>
      </c>
      <c r="BQ133" s="187"/>
      <c r="BR133" s="185"/>
      <c r="BS133" s="185"/>
      <c r="BT133" s="254"/>
      <c r="BV133" s="187"/>
      <c r="BW133" s="185"/>
      <c r="BX133" s="185"/>
      <c r="BY133" s="185"/>
      <c r="BZ133" s="254"/>
      <c r="CB133" s="187"/>
      <c r="CC133" s="185"/>
      <c r="CD133" s="185"/>
      <c r="CE133" s="185"/>
      <c r="CF133" s="254"/>
      <c r="CH133" s="253">
        <v>0.97</v>
      </c>
    </row>
    <row r="134" spans="1:86">
      <c r="A134" s="1563"/>
      <c r="B134" s="269"/>
      <c r="C134" s="270"/>
      <c r="D134" s="184" t="s">
        <v>322</v>
      </c>
      <c r="F134" s="256">
        <v>180100</v>
      </c>
      <c r="G134" s="257"/>
      <c r="H134" s="256">
        <v>176420</v>
      </c>
      <c r="I134" s="257"/>
      <c r="J134" s="179" t="s">
        <v>182</v>
      </c>
      <c r="K134" s="258">
        <v>1680</v>
      </c>
      <c r="L134" s="259"/>
      <c r="M134" s="260" t="s">
        <v>795</v>
      </c>
      <c r="N134" s="258">
        <v>1640</v>
      </c>
      <c r="O134" s="259"/>
      <c r="P134" s="260" t="s">
        <v>795</v>
      </c>
      <c r="R134" s="183"/>
      <c r="S134" s="271"/>
      <c r="T134" s="184"/>
      <c r="V134" s="187"/>
      <c r="W134" s="185">
        <v>717800</v>
      </c>
      <c r="X134" s="176"/>
      <c r="Y134" s="185">
        <v>7170</v>
      </c>
      <c r="Z134" s="176" t="s">
        <v>184</v>
      </c>
      <c r="AA134" s="176"/>
      <c r="AB134" s="177"/>
      <c r="AD134" s="281"/>
      <c r="AE134" s="281"/>
      <c r="AF134" s="176"/>
      <c r="AG134" s="176"/>
      <c r="AH134" s="177"/>
      <c r="AJ134" s="187"/>
      <c r="AK134" s="185"/>
      <c r="AL134" s="176"/>
      <c r="AM134" s="176"/>
      <c r="AN134" s="177"/>
      <c r="AP134" s="1552"/>
      <c r="AQ134" s="1555"/>
      <c r="AR134" s="1552"/>
      <c r="AS134" s="1555"/>
      <c r="AT134" s="1544"/>
      <c r="AU134" s="262" t="s">
        <v>701</v>
      </c>
      <c r="AV134" s="263">
        <v>2400</v>
      </c>
      <c r="AW134" s="264">
        <v>2600</v>
      </c>
      <c r="AX134" s="265">
        <v>1600</v>
      </c>
      <c r="AY134" s="266">
        <v>1600</v>
      </c>
      <c r="BA134" s="235">
        <v>2440</v>
      </c>
      <c r="BC134" s="359"/>
      <c r="BE134" s="186"/>
      <c r="BF134" s="271"/>
      <c r="BG134" s="271"/>
      <c r="BH134" s="184"/>
      <c r="BJ134" s="253"/>
      <c r="BL134" s="272"/>
      <c r="BM134" s="273"/>
      <c r="BN134" s="273"/>
      <c r="BO134" s="274"/>
      <c r="BQ134" s="186"/>
      <c r="BR134" s="196"/>
      <c r="BS134" s="196"/>
      <c r="BT134" s="197"/>
      <c r="BV134" s="186"/>
      <c r="BW134" s="196"/>
      <c r="BX134" s="196"/>
      <c r="BY134" s="196"/>
      <c r="BZ134" s="197"/>
      <c r="CB134" s="186"/>
      <c r="CC134" s="196"/>
      <c r="CD134" s="196"/>
      <c r="CE134" s="196"/>
      <c r="CF134" s="197"/>
      <c r="CH134" s="198"/>
    </row>
    <row r="135" spans="1:86" ht="63">
      <c r="A135" s="1563"/>
      <c r="B135" s="168" t="s">
        <v>341</v>
      </c>
      <c r="C135" s="241" t="s">
        <v>313</v>
      </c>
      <c r="D135" s="177" t="s">
        <v>314</v>
      </c>
      <c r="F135" s="218">
        <v>33010</v>
      </c>
      <c r="G135" s="219">
        <v>40660</v>
      </c>
      <c r="H135" s="218">
        <v>29580</v>
      </c>
      <c r="I135" s="219">
        <v>37230</v>
      </c>
      <c r="J135" s="179" t="s">
        <v>182</v>
      </c>
      <c r="K135" s="220">
        <v>310</v>
      </c>
      <c r="L135" s="221">
        <v>380</v>
      </c>
      <c r="M135" s="222" t="s">
        <v>795</v>
      </c>
      <c r="N135" s="220">
        <v>270</v>
      </c>
      <c r="O135" s="221">
        <v>340</v>
      </c>
      <c r="P135" s="222" t="s">
        <v>795</v>
      </c>
      <c r="Q135" s="160" t="s">
        <v>182</v>
      </c>
      <c r="R135" s="275">
        <v>7650</v>
      </c>
      <c r="S135" s="276">
        <v>70</v>
      </c>
      <c r="T135" s="247" t="s">
        <v>184</v>
      </c>
      <c r="V135" s="182"/>
      <c r="W135" s="185"/>
      <c r="X135" s="176"/>
      <c r="Y135" s="185"/>
      <c r="Z135" s="176"/>
      <c r="AA135" s="176"/>
      <c r="AB135" s="177"/>
      <c r="AD135" s="281"/>
      <c r="AE135" s="281"/>
      <c r="AF135" s="176"/>
      <c r="AG135" s="176"/>
      <c r="AH135" s="177"/>
      <c r="AJ135" s="187" t="s">
        <v>221</v>
      </c>
      <c r="AK135" s="185"/>
      <c r="AL135" s="176" t="s">
        <v>182</v>
      </c>
      <c r="AM135" s="176">
        <v>10</v>
      </c>
      <c r="AN135" s="177" t="s">
        <v>316</v>
      </c>
      <c r="AO135" s="160" t="s">
        <v>182</v>
      </c>
      <c r="AP135" s="1550">
        <v>2600</v>
      </c>
      <c r="AQ135" s="1553">
        <v>2900</v>
      </c>
      <c r="AR135" s="1550">
        <v>1800</v>
      </c>
      <c r="AS135" s="1553">
        <v>1800</v>
      </c>
      <c r="AT135" s="1544" t="s">
        <v>664</v>
      </c>
      <c r="AU135" s="230" t="s">
        <v>697</v>
      </c>
      <c r="AV135" s="231">
        <v>5400</v>
      </c>
      <c r="AW135" s="232">
        <v>6000</v>
      </c>
      <c r="AX135" s="267">
        <v>3700</v>
      </c>
      <c r="AY135" s="252">
        <v>3700</v>
      </c>
      <c r="BA135" s="235"/>
      <c r="BB135" s="160" t="s">
        <v>182</v>
      </c>
      <c r="BC135" s="1556">
        <v>4700</v>
      </c>
      <c r="BD135" s="160" t="s">
        <v>182</v>
      </c>
      <c r="BE135" s="187">
        <v>1450</v>
      </c>
      <c r="BF135" s="176" t="s">
        <v>182</v>
      </c>
      <c r="BG135" s="176">
        <v>10</v>
      </c>
      <c r="BH135" s="177" t="s">
        <v>184</v>
      </c>
      <c r="BJ135" s="253"/>
      <c r="BK135" s="160" t="s">
        <v>188</v>
      </c>
      <c r="BL135" s="193" t="s">
        <v>317</v>
      </c>
      <c r="BM135" s="194" t="s">
        <v>317</v>
      </c>
      <c r="BN135" s="194" t="s">
        <v>317</v>
      </c>
      <c r="BO135" s="195" t="s">
        <v>317</v>
      </c>
      <c r="BP135" s="160" t="s">
        <v>188</v>
      </c>
      <c r="BQ135" s="187"/>
      <c r="BR135" s="185"/>
      <c r="BS135" s="185"/>
      <c r="BT135" s="254"/>
      <c r="BU135" s="160" t="s">
        <v>188</v>
      </c>
      <c r="BV135" s="187"/>
      <c r="BW135" s="185"/>
      <c r="BX135" s="185"/>
      <c r="BY135" s="185"/>
      <c r="BZ135" s="254"/>
      <c r="CA135" s="160" t="s">
        <v>188</v>
      </c>
      <c r="CB135" s="187"/>
      <c r="CC135" s="185"/>
      <c r="CD135" s="185"/>
      <c r="CE135" s="185"/>
      <c r="CF135" s="254"/>
      <c r="CH135" s="253" t="s">
        <v>324</v>
      </c>
    </row>
    <row r="136" spans="1:86">
      <c r="A136" s="1563"/>
      <c r="B136" s="168"/>
      <c r="C136" s="241"/>
      <c r="D136" s="177" t="s">
        <v>318</v>
      </c>
      <c r="F136" s="242">
        <v>40660</v>
      </c>
      <c r="G136" s="243">
        <v>102500</v>
      </c>
      <c r="H136" s="242">
        <v>37230</v>
      </c>
      <c r="I136" s="243">
        <v>99070</v>
      </c>
      <c r="J136" s="179" t="s">
        <v>182</v>
      </c>
      <c r="K136" s="244">
        <v>380</v>
      </c>
      <c r="L136" s="245">
        <v>910</v>
      </c>
      <c r="M136" s="246" t="s">
        <v>795</v>
      </c>
      <c r="N136" s="244">
        <v>340</v>
      </c>
      <c r="O136" s="245">
        <v>880</v>
      </c>
      <c r="P136" s="246" t="s">
        <v>795</v>
      </c>
      <c r="Q136" s="160" t="s">
        <v>182</v>
      </c>
      <c r="R136" s="187">
        <v>7650</v>
      </c>
      <c r="S136" s="185">
        <v>70</v>
      </c>
      <c r="T136" s="247" t="s">
        <v>184</v>
      </c>
      <c r="V136" s="182"/>
      <c r="W136" s="185"/>
      <c r="X136" s="176"/>
      <c r="Y136" s="185"/>
      <c r="Z136" s="176"/>
      <c r="AA136" s="176"/>
      <c r="AB136" s="177"/>
      <c r="AD136" s="281"/>
      <c r="AE136" s="281"/>
      <c r="AF136" s="176"/>
      <c r="AG136" s="176"/>
      <c r="AH136" s="177"/>
      <c r="AJ136" s="187"/>
      <c r="AK136" s="185"/>
      <c r="AL136" s="176"/>
      <c r="AM136" s="176"/>
      <c r="AN136" s="177"/>
      <c r="AP136" s="1551"/>
      <c r="AQ136" s="1554"/>
      <c r="AR136" s="1551"/>
      <c r="AS136" s="1554"/>
      <c r="AT136" s="1544"/>
      <c r="AU136" s="172" t="s">
        <v>699</v>
      </c>
      <c r="AV136" s="249">
        <v>2900</v>
      </c>
      <c r="AW136" s="250">
        <v>3300</v>
      </c>
      <c r="AX136" s="267">
        <v>2000</v>
      </c>
      <c r="AY136" s="252">
        <v>2000</v>
      </c>
      <c r="BA136" s="235" t="s">
        <v>679</v>
      </c>
      <c r="BC136" s="1557"/>
      <c r="BE136" s="187"/>
      <c r="BF136" s="176"/>
      <c r="BG136" s="176"/>
      <c r="BH136" s="177"/>
      <c r="BJ136" s="253"/>
      <c r="BL136" s="193"/>
      <c r="BM136" s="194"/>
      <c r="BN136" s="194"/>
      <c r="BO136" s="195"/>
      <c r="BQ136" s="187">
        <v>840</v>
      </c>
      <c r="BR136" s="185" t="s">
        <v>189</v>
      </c>
      <c r="BS136" s="185">
        <v>8</v>
      </c>
      <c r="BT136" s="254" t="s">
        <v>184</v>
      </c>
      <c r="BV136" s="187">
        <v>3060</v>
      </c>
      <c r="BW136" s="185" t="s">
        <v>189</v>
      </c>
      <c r="BX136" s="185">
        <v>30</v>
      </c>
      <c r="BY136" s="185" t="s">
        <v>184</v>
      </c>
      <c r="BZ136" s="254" t="s">
        <v>190</v>
      </c>
      <c r="CB136" s="187">
        <v>1980</v>
      </c>
      <c r="CC136" s="185" t="s">
        <v>189</v>
      </c>
      <c r="CD136" s="185">
        <v>20</v>
      </c>
      <c r="CE136" s="185" t="s">
        <v>184</v>
      </c>
      <c r="CF136" s="254" t="s">
        <v>190</v>
      </c>
      <c r="CH136" s="253"/>
    </row>
    <row r="137" spans="1:86">
      <c r="A137" s="1563"/>
      <c r="B137" s="168"/>
      <c r="C137" s="241" t="s">
        <v>319</v>
      </c>
      <c r="D137" s="177" t="s">
        <v>320</v>
      </c>
      <c r="F137" s="242">
        <v>102500</v>
      </c>
      <c r="G137" s="243">
        <v>179030</v>
      </c>
      <c r="H137" s="242">
        <v>99070</v>
      </c>
      <c r="I137" s="243">
        <v>175600</v>
      </c>
      <c r="J137" s="179" t="s">
        <v>182</v>
      </c>
      <c r="K137" s="244">
        <v>910</v>
      </c>
      <c r="L137" s="245">
        <v>1670</v>
      </c>
      <c r="M137" s="246" t="s">
        <v>795</v>
      </c>
      <c r="N137" s="244">
        <v>880</v>
      </c>
      <c r="O137" s="245">
        <v>1640</v>
      </c>
      <c r="P137" s="246" t="s">
        <v>795</v>
      </c>
      <c r="R137" s="182"/>
      <c r="S137" s="176"/>
      <c r="T137" s="177"/>
      <c r="V137" s="182"/>
      <c r="W137" s="185"/>
      <c r="X137" s="176"/>
      <c r="Y137" s="185"/>
      <c r="Z137" s="176"/>
      <c r="AA137" s="176"/>
      <c r="AB137" s="177"/>
      <c r="AD137" s="281"/>
      <c r="AE137" s="281"/>
      <c r="AF137" s="176"/>
      <c r="AG137" s="176"/>
      <c r="AH137" s="177"/>
      <c r="AJ137" s="187">
        <v>1750</v>
      </c>
      <c r="AK137" s="185" t="s">
        <v>321</v>
      </c>
      <c r="AL137" s="176"/>
      <c r="AM137" s="176"/>
      <c r="AN137" s="177"/>
      <c r="AP137" s="1551"/>
      <c r="AQ137" s="1554"/>
      <c r="AR137" s="1551"/>
      <c r="AS137" s="1554"/>
      <c r="AT137" s="1544"/>
      <c r="AU137" s="172" t="s">
        <v>700</v>
      </c>
      <c r="AV137" s="249">
        <v>2500</v>
      </c>
      <c r="AW137" s="250">
        <v>2800</v>
      </c>
      <c r="AX137" s="267">
        <v>1800</v>
      </c>
      <c r="AY137" s="252">
        <v>1800</v>
      </c>
      <c r="BA137" s="235">
        <v>2360</v>
      </c>
      <c r="BC137" s="359"/>
      <c r="BE137" s="187"/>
      <c r="BF137" s="176"/>
      <c r="BG137" s="176"/>
      <c r="BH137" s="177"/>
      <c r="BJ137" s="253"/>
      <c r="BL137" s="193">
        <v>0.02</v>
      </c>
      <c r="BM137" s="194">
        <v>0.03</v>
      </c>
      <c r="BN137" s="194">
        <v>0.05</v>
      </c>
      <c r="BO137" s="195">
        <v>0.06</v>
      </c>
      <c r="BQ137" s="187"/>
      <c r="BR137" s="185"/>
      <c r="BS137" s="185"/>
      <c r="BT137" s="254"/>
      <c r="BV137" s="187"/>
      <c r="BW137" s="185"/>
      <c r="BX137" s="185"/>
      <c r="BY137" s="185"/>
      <c r="BZ137" s="254"/>
      <c r="CB137" s="187"/>
      <c r="CC137" s="185"/>
      <c r="CD137" s="185"/>
      <c r="CE137" s="185"/>
      <c r="CF137" s="254"/>
      <c r="CH137" s="253">
        <v>0.98</v>
      </c>
    </row>
    <row r="138" spans="1:86">
      <c r="A138" s="1563"/>
      <c r="B138" s="168"/>
      <c r="C138" s="241"/>
      <c r="D138" s="177" t="s">
        <v>322</v>
      </c>
      <c r="F138" s="256">
        <v>179030</v>
      </c>
      <c r="G138" s="257"/>
      <c r="H138" s="256">
        <v>175600</v>
      </c>
      <c r="I138" s="257"/>
      <c r="J138" s="179" t="s">
        <v>182</v>
      </c>
      <c r="K138" s="258">
        <v>1670</v>
      </c>
      <c r="L138" s="259"/>
      <c r="M138" s="260" t="s">
        <v>795</v>
      </c>
      <c r="N138" s="258">
        <v>1640</v>
      </c>
      <c r="O138" s="259"/>
      <c r="P138" s="260" t="s">
        <v>795</v>
      </c>
      <c r="R138" s="182"/>
      <c r="S138" s="176"/>
      <c r="T138" s="177"/>
      <c r="V138" s="182"/>
      <c r="W138" s="185"/>
      <c r="X138" s="176"/>
      <c r="Y138" s="185"/>
      <c r="Z138" s="176"/>
      <c r="AA138" s="176"/>
      <c r="AB138" s="177"/>
      <c r="AD138" s="281"/>
      <c r="AE138" s="281"/>
      <c r="AF138" s="176"/>
      <c r="AG138" s="176"/>
      <c r="AH138" s="177"/>
      <c r="AJ138" s="187"/>
      <c r="AK138" s="185"/>
      <c r="AL138" s="176"/>
      <c r="AM138" s="176"/>
      <c r="AN138" s="177"/>
      <c r="AP138" s="1552"/>
      <c r="AQ138" s="1555"/>
      <c r="AR138" s="1552"/>
      <c r="AS138" s="1555"/>
      <c r="AT138" s="1544"/>
      <c r="AU138" s="262" t="s">
        <v>701</v>
      </c>
      <c r="AV138" s="263">
        <v>2300</v>
      </c>
      <c r="AW138" s="264">
        <v>2500</v>
      </c>
      <c r="AX138" s="265">
        <v>1600</v>
      </c>
      <c r="AY138" s="266">
        <v>1600</v>
      </c>
      <c r="BA138" s="235"/>
      <c r="BC138" s="359"/>
      <c r="BE138" s="187"/>
      <c r="BF138" s="176"/>
      <c r="BG138" s="176"/>
      <c r="BH138" s="177"/>
      <c r="BJ138" s="253"/>
      <c r="BL138" s="193"/>
      <c r="BM138" s="194"/>
      <c r="BN138" s="194"/>
      <c r="BO138" s="195"/>
      <c r="BQ138" s="187"/>
      <c r="BR138" s="185"/>
      <c r="BS138" s="185"/>
      <c r="BT138" s="254"/>
      <c r="BV138" s="187"/>
      <c r="BW138" s="185"/>
      <c r="BX138" s="185"/>
      <c r="BY138" s="185"/>
      <c r="BZ138" s="254"/>
      <c r="CB138" s="187"/>
      <c r="CC138" s="185"/>
      <c r="CD138" s="185"/>
      <c r="CE138" s="185"/>
      <c r="CF138" s="254"/>
      <c r="CH138" s="253"/>
    </row>
    <row r="139" spans="1:86" ht="63">
      <c r="A139" s="1563"/>
      <c r="B139" s="215" t="s">
        <v>342</v>
      </c>
      <c r="C139" s="216" t="s">
        <v>313</v>
      </c>
      <c r="D139" s="217" t="s">
        <v>314</v>
      </c>
      <c r="F139" s="218">
        <v>32930</v>
      </c>
      <c r="G139" s="219">
        <v>40580</v>
      </c>
      <c r="H139" s="218">
        <v>29710</v>
      </c>
      <c r="I139" s="219">
        <v>37360</v>
      </c>
      <c r="J139" s="179" t="s">
        <v>182</v>
      </c>
      <c r="K139" s="220">
        <v>310</v>
      </c>
      <c r="L139" s="221">
        <v>380</v>
      </c>
      <c r="M139" s="222" t="s">
        <v>795</v>
      </c>
      <c r="N139" s="220">
        <v>270</v>
      </c>
      <c r="O139" s="221">
        <v>340</v>
      </c>
      <c r="P139" s="222" t="s">
        <v>795</v>
      </c>
      <c r="Q139" s="160" t="s">
        <v>182</v>
      </c>
      <c r="R139" s="223">
        <v>7650</v>
      </c>
      <c r="S139" s="224">
        <v>70</v>
      </c>
      <c r="T139" s="225" t="s">
        <v>184</v>
      </c>
      <c r="V139" s="182"/>
      <c r="W139" s="185"/>
      <c r="X139" s="176"/>
      <c r="Y139" s="185"/>
      <c r="Z139" s="176"/>
      <c r="AA139" s="176"/>
      <c r="AB139" s="177"/>
      <c r="AD139" s="281"/>
      <c r="AE139" s="281"/>
      <c r="AF139" s="176"/>
      <c r="AG139" s="176"/>
      <c r="AH139" s="177"/>
      <c r="AJ139" s="187" t="s">
        <v>223</v>
      </c>
      <c r="AK139" s="185"/>
      <c r="AL139" s="176" t="s">
        <v>182</v>
      </c>
      <c r="AM139" s="176">
        <v>10</v>
      </c>
      <c r="AN139" s="177" t="s">
        <v>316</v>
      </c>
      <c r="AO139" s="160" t="s">
        <v>182</v>
      </c>
      <c r="AP139" s="1550">
        <v>2400</v>
      </c>
      <c r="AQ139" s="1553">
        <v>2700</v>
      </c>
      <c r="AR139" s="1550">
        <v>1700</v>
      </c>
      <c r="AS139" s="1553">
        <v>1700</v>
      </c>
      <c r="AT139" s="1544" t="s">
        <v>664</v>
      </c>
      <c r="AU139" s="230" t="s">
        <v>697</v>
      </c>
      <c r="AV139" s="231">
        <v>4800</v>
      </c>
      <c r="AW139" s="232">
        <v>5400</v>
      </c>
      <c r="AX139" s="267">
        <v>3400</v>
      </c>
      <c r="AY139" s="252">
        <v>3400</v>
      </c>
      <c r="BA139" s="235" t="s">
        <v>680</v>
      </c>
      <c r="BB139" s="160" t="s">
        <v>182</v>
      </c>
      <c r="BC139" s="1556">
        <v>4700</v>
      </c>
      <c r="BD139" s="160" t="s">
        <v>182</v>
      </c>
      <c r="BE139" s="228">
        <v>1370</v>
      </c>
      <c r="BF139" s="226" t="s">
        <v>182</v>
      </c>
      <c r="BG139" s="226">
        <v>10</v>
      </c>
      <c r="BH139" s="217" t="s">
        <v>184</v>
      </c>
      <c r="BJ139" s="253"/>
      <c r="BK139" s="160" t="s">
        <v>188</v>
      </c>
      <c r="BL139" s="237" t="s">
        <v>317</v>
      </c>
      <c r="BM139" s="238" t="s">
        <v>317</v>
      </c>
      <c r="BN139" s="238" t="s">
        <v>317</v>
      </c>
      <c r="BO139" s="239" t="s">
        <v>317</v>
      </c>
      <c r="BP139" s="160" t="s">
        <v>188</v>
      </c>
      <c r="BQ139" s="228"/>
      <c r="BR139" s="229"/>
      <c r="BS139" s="229"/>
      <c r="BT139" s="240"/>
      <c r="BU139" s="160" t="s">
        <v>188</v>
      </c>
      <c r="BV139" s="228"/>
      <c r="BW139" s="229"/>
      <c r="BX139" s="229"/>
      <c r="BY139" s="229"/>
      <c r="BZ139" s="240"/>
      <c r="CA139" s="160" t="s">
        <v>188</v>
      </c>
      <c r="CB139" s="228"/>
      <c r="CC139" s="229"/>
      <c r="CD139" s="229"/>
      <c r="CE139" s="229"/>
      <c r="CF139" s="240"/>
      <c r="CH139" s="236" t="s">
        <v>324</v>
      </c>
    </row>
    <row r="140" spans="1:86">
      <c r="A140" s="1563"/>
      <c r="B140" s="168"/>
      <c r="C140" s="241"/>
      <c r="D140" s="177" t="s">
        <v>318</v>
      </c>
      <c r="F140" s="242">
        <v>40580</v>
      </c>
      <c r="G140" s="243">
        <v>102420</v>
      </c>
      <c r="H140" s="242">
        <v>37360</v>
      </c>
      <c r="I140" s="243">
        <v>99200</v>
      </c>
      <c r="J140" s="179" t="s">
        <v>182</v>
      </c>
      <c r="K140" s="244">
        <v>380</v>
      </c>
      <c r="L140" s="245">
        <v>910</v>
      </c>
      <c r="M140" s="246" t="s">
        <v>795</v>
      </c>
      <c r="N140" s="244">
        <v>340</v>
      </c>
      <c r="O140" s="245">
        <v>880</v>
      </c>
      <c r="P140" s="246" t="s">
        <v>795</v>
      </c>
      <c r="Q140" s="160" t="s">
        <v>182</v>
      </c>
      <c r="R140" s="187">
        <v>7650</v>
      </c>
      <c r="S140" s="185">
        <v>70</v>
      </c>
      <c r="T140" s="247" t="s">
        <v>184</v>
      </c>
      <c r="V140" s="182"/>
      <c r="W140" s="185"/>
      <c r="X140" s="176"/>
      <c r="Y140" s="185"/>
      <c r="Z140" s="176"/>
      <c r="AA140" s="176"/>
      <c r="AB140" s="177"/>
      <c r="AD140" s="281"/>
      <c r="AE140" s="281"/>
      <c r="AF140" s="176"/>
      <c r="AG140" s="176"/>
      <c r="AH140" s="177"/>
      <c r="AJ140" s="187"/>
      <c r="AK140" s="185"/>
      <c r="AL140" s="176"/>
      <c r="AM140" s="176"/>
      <c r="AN140" s="177"/>
      <c r="AP140" s="1551"/>
      <c r="AQ140" s="1554"/>
      <c r="AR140" s="1551"/>
      <c r="AS140" s="1554"/>
      <c r="AT140" s="1544"/>
      <c r="AU140" s="172" t="s">
        <v>699</v>
      </c>
      <c r="AV140" s="249">
        <v>2600</v>
      </c>
      <c r="AW140" s="250">
        <v>2900</v>
      </c>
      <c r="AX140" s="267">
        <v>1800</v>
      </c>
      <c r="AY140" s="252">
        <v>1800</v>
      </c>
      <c r="BA140" s="235">
        <v>2150</v>
      </c>
      <c r="BC140" s="1557"/>
      <c r="BE140" s="187"/>
      <c r="BF140" s="176"/>
      <c r="BG140" s="176"/>
      <c r="BH140" s="177"/>
      <c r="BJ140" s="253"/>
      <c r="BL140" s="193"/>
      <c r="BM140" s="194"/>
      <c r="BN140" s="194"/>
      <c r="BO140" s="195"/>
      <c r="BQ140" s="187">
        <v>790</v>
      </c>
      <c r="BR140" s="185" t="s">
        <v>189</v>
      </c>
      <c r="BS140" s="185">
        <v>8</v>
      </c>
      <c r="BT140" s="254" t="s">
        <v>184</v>
      </c>
      <c r="BV140" s="187">
        <v>2870</v>
      </c>
      <c r="BW140" s="185" t="s">
        <v>189</v>
      </c>
      <c r="BX140" s="185">
        <v>20</v>
      </c>
      <c r="BY140" s="185" t="s">
        <v>184</v>
      </c>
      <c r="BZ140" s="254" t="s">
        <v>190</v>
      </c>
      <c r="CB140" s="187">
        <v>1860</v>
      </c>
      <c r="CC140" s="185" t="s">
        <v>189</v>
      </c>
      <c r="CD140" s="185">
        <v>10</v>
      </c>
      <c r="CE140" s="185" t="s">
        <v>184</v>
      </c>
      <c r="CF140" s="254" t="s">
        <v>190</v>
      </c>
      <c r="CH140" s="253"/>
    </row>
    <row r="141" spans="1:86">
      <c r="A141" s="1563"/>
      <c r="B141" s="168"/>
      <c r="C141" s="241" t="s">
        <v>319</v>
      </c>
      <c r="D141" s="177" t="s">
        <v>320</v>
      </c>
      <c r="F141" s="242">
        <v>102420</v>
      </c>
      <c r="G141" s="243">
        <v>178950</v>
      </c>
      <c r="H141" s="242">
        <v>99200</v>
      </c>
      <c r="I141" s="243">
        <v>175730</v>
      </c>
      <c r="J141" s="179" t="s">
        <v>182</v>
      </c>
      <c r="K141" s="244">
        <v>910</v>
      </c>
      <c r="L141" s="245">
        <v>1670</v>
      </c>
      <c r="M141" s="246" t="s">
        <v>795</v>
      </c>
      <c r="N141" s="244">
        <v>880</v>
      </c>
      <c r="O141" s="245">
        <v>1640</v>
      </c>
      <c r="P141" s="246" t="s">
        <v>795</v>
      </c>
      <c r="R141" s="182"/>
      <c r="S141" s="176"/>
      <c r="T141" s="177"/>
      <c r="V141" s="182"/>
      <c r="W141" s="185"/>
      <c r="X141" s="176"/>
      <c r="Y141" s="185"/>
      <c r="Z141" s="176"/>
      <c r="AA141" s="176"/>
      <c r="AB141" s="177"/>
      <c r="AD141" s="281"/>
      <c r="AE141" s="281"/>
      <c r="AF141" s="176"/>
      <c r="AG141" s="176"/>
      <c r="AH141" s="177"/>
      <c r="AJ141" s="187">
        <v>1570</v>
      </c>
      <c r="AK141" s="185" t="s">
        <v>321</v>
      </c>
      <c r="AL141" s="176"/>
      <c r="AM141" s="176"/>
      <c r="AN141" s="177"/>
      <c r="AP141" s="1551"/>
      <c r="AQ141" s="1554"/>
      <c r="AR141" s="1551"/>
      <c r="AS141" s="1554"/>
      <c r="AT141" s="1544"/>
      <c r="AU141" s="172" t="s">
        <v>700</v>
      </c>
      <c r="AV141" s="249">
        <v>2300</v>
      </c>
      <c r="AW141" s="250">
        <v>2500</v>
      </c>
      <c r="AX141" s="267">
        <v>1600</v>
      </c>
      <c r="AY141" s="252">
        <v>1600</v>
      </c>
      <c r="BA141" s="235"/>
      <c r="BC141" s="359"/>
      <c r="BE141" s="187"/>
      <c r="BF141" s="176"/>
      <c r="BG141" s="176"/>
      <c r="BH141" s="177"/>
      <c r="BJ141" s="253"/>
      <c r="BL141" s="193">
        <v>0.02</v>
      </c>
      <c r="BM141" s="194">
        <v>0.03</v>
      </c>
      <c r="BN141" s="194">
        <v>0.05</v>
      </c>
      <c r="BO141" s="195">
        <v>0.06</v>
      </c>
      <c r="BQ141" s="187"/>
      <c r="BR141" s="185"/>
      <c r="BS141" s="185"/>
      <c r="BT141" s="254"/>
      <c r="BV141" s="187"/>
      <c r="BW141" s="185"/>
      <c r="BX141" s="185"/>
      <c r="BY141" s="185"/>
      <c r="BZ141" s="254"/>
      <c r="CB141" s="187"/>
      <c r="CC141" s="185"/>
      <c r="CD141" s="185"/>
      <c r="CE141" s="185"/>
      <c r="CF141" s="254"/>
      <c r="CH141" s="253">
        <v>0.98</v>
      </c>
    </row>
    <row r="142" spans="1:86">
      <c r="A142" s="1563"/>
      <c r="B142" s="269"/>
      <c r="C142" s="270"/>
      <c r="D142" s="184" t="s">
        <v>322</v>
      </c>
      <c r="F142" s="256">
        <v>178950</v>
      </c>
      <c r="G142" s="257"/>
      <c r="H142" s="256">
        <v>175730</v>
      </c>
      <c r="I142" s="257"/>
      <c r="J142" s="179" t="s">
        <v>182</v>
      </c>
      <c r="K142" s="258">
        <v>1670</v>
      </c>
      <c r="L142" s="259"/>
      <c r="M142" s="260" t="s">
        <v>795</v>
      </c>
      <c r="N142" s="258">
        <v>1640</v>
      </c>
      <c r="O142" s="259"/>
      <c r="P142" s="260" t="s">
        <v>795</v>
      </c>
      <c r="R142" s="183"/>
      <c r="S142" s="271"/>
      <c r="T142" s="184"/>
      <c r="V142" s="182"/>
      <c r="W142" s="185"/>
      <c r="X142" s="176"/>
      <c r="Y142" s="185"/>
      <c r="Z142" s="176"/>
      <c r="AA142" s="176"/>
      <c r="AB142" s="177"/>
      <c r="AD142" s="281"/>
      <c r="AE142" s="281"/>
      <c r="AF142" s="176"/>
      <c r="AG142" s="176"/>
      <c r="AH142" s="177"/>
      <c r="AJ142" s="187"/>
      <c r="AK142" s="185"/>
      <c r="AL142" s="176"/>
      <c r="AM142" s="176"/>
      <c r="AN142" s="177"/>
      <c r="AP142" s="1552"/>
      <c r="AQ142" s="1555"/>
      <c r="AR142" s="1552"/>
      <c r="AS142" s="1555"/>
      <c r="AT142" s="1544"/>
      <c r="AU142" s="262" t="s">
        <v>701</v>
      </c>
      <c r="AV142" s="263">
        <v>2000</v>
      </c>
      <c r="AW142" s="264">
        <v>2300</v>
      </c>
      <c r="AX142" s="265">
        <v>1400</v>
      </c>
      <c r="AY142" s="266">
        <v>1400</v>
      </c>
      <c r="BA142" s="235"/>
      <c r="BC142" s="359"/>
      <c r="BE142" s="186"/>
      <c r="BF142" s="271"/>
      <c r="BG142" s="271"/>
      <c r="BH142" s="184"/>
      <c r="BJ142" s="253"/>
      <c r="BL142" s="272"/>
      <c r="BM142" s="273"/>
      <c r="BN142" s="273"/>
      <c r="BO142" s="274"/>
      <c r="BQ142" s="186"/>
      <c r="BR142" s="196"/>
      <c r="BS142" s="196"/>
      <c r="BT142" s="197"/>
      <c r="BV142" s="186"/>
      <c r="BW142" s="196"/>
      <c r="BX142" s="196"/>
      <c r="BY142" s="196"/>
      <c r="BZ142" s="197"/>
      <c r="CB142" s="186"/>
      <c r="CC142" s="196"/>
      <c r="CD142" s="196"/>
      <c r="CE142" s="196"/>
      <c r="CF142" s="197"/>
      <c r="CH142" s="198"/>
    </row>
    <row r="143" spans="1:86" ht="63">
      <c r="A143" s="1563"/>
      <c r="B143" s="168" t="s">
        <v>343</v>
      </c>
      <c r="C143" s="241" t="s">
        <v>313</v>
      </c>
      <c r="D143" s="177" t="s">
        <v>314</v>
      </c>
      <c r="F143" s="218">
        <v>32070</v>
      </c>
      <c r="G143" s="219">
        <v>39720</v>
      </c>
      <c r="H143" s="218">
        <v>29040</v>
      </c>
      <c r="I143" s="219">
        <v>36690</v>
      </c>
      <c r="J143" s="179" t="s">
        <v>182</v>
      </c>
      <c r="K143" s="220">
        <v>300</v>
      </c>
      <c r="L143" s="221">
        <v>370</v>
      </c>
      <c r="M143" s="222" t="s">
        <v>795</v>
      </c>
      <c r="N143" s="220">
        <v>270</v>
      </c>
      <c r="O143" s="221">
        <v>340</v>
      </c>
      <c r="P143" s="222" t="s">
        <v>795</v>
      </c>
      <c r="Q143" s="160" t="s">
        <v>182</v>
      </c>
      <c r="R143" s="275">
        <v>7650</v>
      </c>
      <c r="S143" s="276">
        <v>70</v>
      </c>
      <c r="T143" s="247" t="s">
        <v>184</v>
      </c>
      <c r="V143" s="182"/>
      <c r="W143" s="185"/>
      <c r="X143" s="176"/>
      <c r="Y143" s="185"/>
      <c r="Z143" s="176"/>
      <c r="AA143" s="176"/>
      <c r="AB143" s="177"/>
      <c r="AD143" s="281"/>
      <c r="AE143" s="281"/>
      <c r="AF143" s="176"/>
      <c r="AG143" s="176"/>
      <c r="AH143" s="177"/>
      <c r="AJ143" s="187" t="s">
        <v>225</v>
      </c>
      <c r="AK143" s="185"/>
      <c r="AL143" s="176" t="s">
        <v>182</v>
      </c>
      <c r="AM143" s="176">
        <v>10</v>
      </c>
      <c r="AN143" s="177" t="s">
        <v>316</v>
      </c>
      <c r="AO143" s="160" t="s">
        <v>182</v>
      </c>
      <c r="AP143" s="1550">
        <v>2600</v>
      </c>
      <c r="AQ143" s="1553">
        <v>2900</v>
      </c>
      <c r="AR143" s="1550">
        <v>1800</v>
      </c>
      <c r="AS143" s="1553">
        <v>1800</v>
      </c>
      <c r="AT143" s="1544" t="s">
        <v>664</v>
      </c>
      <c r="AU143" s="230" t="s">
        <v>697</v>
      </c>
      <c r="AV143" s="231">
        <v>5400</v>
      </c>
      <c r="AW143" s="232">
        <v>6000</v>
      </c>
      <c r="AX143" s="267">
        <v>3700</v>
      </c>
      <c r="AY143" s="252">
        <v>3700</v>
      </c>
      <c r="BA143" s="1545" t="s">
        <v>717</v>
      </c>
      <c r="BB143" s="160" t="s">
        <v>182</v>
      </c>
      <c r="BC143" s="1556">
        <v>4700</v>
      </c>
      <c r="BD143" s="160" t="s">
        <v>182</v>
      </c>
      <c r="BE143" s="187">
        <v>1290</v>
      </c>
      <c r="BF143" s="176" t="s">
        <v>182</v>
      </c>
      <c r="BG143" s="176">
        <v>10</v>
      </c>
      <c r="BH143" s="177" t="s">
        <v>184</v>
      </c>
      <c r="BJ143" s="253"/>
      <c r="BK143" s="160" t="s">
        <v>188</v>
      </c>
      <c r="BL143" s="193" t="s">
        <v>317</v>
      </c>
      <c r="BM143" s="194" t="s">
        <v>317</v>
      </c>
      <c r="BN143" s="194" t="s">
        <v>317</v>
      </c>
      <c r="BO143" s="195" t="s">
        <v>317</v>
      </c>
      <c r="BP143" s="160" t="s">
        <v>188</v>
      </c>
      <c r="BQ143" s="187"/>
      <c r="BR143" s="185"/>
      <c r="BS143" s="185"/>
      <c r="BT143" s="254"/>
      <c r="BU143" s="160" t="s">
        <v>188</v>
      </c>
      <c r="BV143" s="187"/>
      <c r="BW143" s="185"/>
      <c r="BX143" s="185"/>
      <c r="BY143" s="185"/>
      <c r="BZ143" s="254"/>
      <c r="CA143" s="160" t="s">
        <v>188</v>
      </c>
      <c r="CB143" s="187"/>
      <c r="CC143" s="185"/>
      <c r="CD143" s="185"/>
      <c r="CE143" s="185"/>
      <c r="CF143" s="254"/>
      <c r="CH143" s="253" t="s">
        <v>324</v>
      </c>
    </row>
    <row r="144" spans="1:86">
      <c r="A144" s="1563"/>
      <c r="B144" s="168"/>
      <c r="C144" s="241"/>
      <c r="D144" s="177" t="s">
        <v>318</v>
      </c>
      <c r="F144" s="242">
        <v>39720</v>
      </c>
      <c r="G144" s="243">
        <v>101560</v>
      </c>
      <c r="H144" s="242">
        <v>36690</v>
      </c>
      <c r="I144" s="243">
        <v>98530</v>
      </c>
      <c r="J144" s="179" t="s">
        <v>182</v>
      </c>
      <c r="K144" s="244">
        <v>370</v>
      </c>
      <c r="L144" s="245">
        <v>900</v>
      </c>
      <c r="M144" s="246" t="s">
        <v>795</v>
      </c>
      <c r="N144" s="244">
        <v>340</v>
      </c>
      <c r="O144" s="245">
        <v>870</v>
      </c>
      <c r="P144" s="246" t="s">
        <v>795</v>
      </c>
      <c r="Q144" s="160" t="s">
        <v>182</v>
      </c>
      <c r="R144" s="187">
        <v>7650</v>
      </c>
      <c r="S144" s="185">
        <v>70</v>
      </c>
      <c r="T144" s="247" t="s">
        <v>184</v>
      </c>
      <c r="V144" s="182"/>
      <c r="W144" s="185"/>
      <c r="X144" s="176"/>
      <c r="Y144" s="185"/>
      <c r="Z144" s="176"/>
      <c r="AA144" s="176"/>
      <c r="AB144" s="177"/>
      <c r="AD144" s="281"/>
      <c r="AE144" s="281"/>
      <c r="AF144" s="176"/>
      <c r="AG144" s="176"/>
      <c r="AH144" s="177"/>
      <c r="AJ144" s="187"/>
      <c r="AK144" s="185"/>
      <c r="AL144" s="176"/>
      <c r="AM144" s="176"/>
      <c r="AN144" s="177"/>
      <c r="AP144" s="1551"/>
      <c r="AQ144" s="1554"/>
      <c r="AR144" s="1551"/>
      <c r="AS144" s="1554"/>
      <c r="AT144" s="1544"/>
      <c r="AU144" s="172" t="s">
        <v>699</v>
      </c>
      <c r="AV144" s="249">
        <v>2900</v>
      </c>
      <c r="AW144" s="250">
        <v>3300</v>
      </c>
      <c r="AX144" s="267">
        <v>2000</v>
      </c>
      <c r="AY144" s="252">
        <v>2000</v>
      </c>
      <c r="BA144" s="1545"/>
      <c r="BC144" s="1557"/>
      <c r="BE144" s="187"/>
      <c r="BF144" s="176"/>
      <c r="BG144" s="176"/>
      <c r="BH144" s="177"/>
      <c r="BJ144" s="253"/>
      <c r="BL144" s="193"/>
      <c r="BM144" s="194"/>
      <c r="BN144" s="194"/>
      <c r="BO144" s="195"/>
      <c r="BQ144" s="187">
        <v>740</v>
      </c>
      <c r="BR144" s="185" t="s">
        <v>189</v>
      </c>
      <c r="BS144" s="185">
        <v>7</v>
      </c>
      <c r="BT144" s="254" t="s">
        <v>184</v>
      </c>
      <c r="BV144" s="187">
        <v>2700</v>
      </c>
      <c r="BW144" s="185" t="s">
        <v>189</v>
      </c>
      <c r="BX144" s="185">
        <v>20</v>
      </c>
      <c r="BY144" s="185" t="s">
        <v>184</v>
      </c>
      <c r="BZ144" s="254" t="s">
        <v>190</v>
      </c>
      <c r="CB144" s="187">
        <v>1750</v>
      </c>
      <c r="CC144" s="185" t="s">
        <v>189</v>
      </c>
      <c r="CD144" s="185">
        <v>10</v>
      </c>
      <c r="CE144" s="185" t="s">
        <v>184</v>
      </c>
      <c r="CF144" s="254" t="s">
        <v>190</v>
      </c>
      <c r="CH144" s="253"/>
    </row>
    <row r="145" spans="1:86">
      <c r="A145" s="1563"/>
      <c r="B145" s="168"/>
      <c r="C145" s="241" t="s">
        <v>319</v>
      </c>
      <c r="D145" s="177" t="s">
        <v>320</v>
      </c>
      <c r="F145" s="242">
        <v>101560</v>
      </c>
      <c r="G145" s="243">
        <v>178090</v>
      </c>
      <c r="H145" s="242">
        <v>98530</v>
      </c>
      <c r="I145" s="243">
        <v>175060</v>
      </c>
      <c r="J145" s="179" t="s">
        <v>182</v>
      </c>
      <c r="K145" s="244">
        <v>900</v>
      </c>
      <c r="L145" s="245">
        <v>1660</v>
      </c>
      <c r="M145" s="246" t="s">
        <v>795</v>
      </c>
      <c r="N145" s="244">
        <v>870</v>
      </c>
      <c r="O145" s="245">
        <v>1630</v>
      </c>
      <c r="P145" s="246" t="s">
        <v>795</v>
      </c>
      <c r="R145" s="182"/>
      <c r="S145" s="176"/>
      <c r="T145" s="177"/>
      <c r="V145" s="182"/>
      <c r="W145" s="185"/>
      <c r="X145" s="176"/>
      <c r="Y145" s="185"/>
      <c r="Z145" s="176"/>
      <c r="AA145" s="176"/>
      <c r="AB145" s="177"/>
      <c r="AD145" s="281"/>
      <c r="AE145" s="281"/>
      <c r="AF145" s="176"/>
      <c r="AG145" s="176"/>
      <c r="AH145" s="177"/>
      <c r="AJ145" s="187">
        <v>1430</v>
      </c>
      <c r="AK145" s="185" t="s">
        <v>321</v>
      </c>
      <c r="AL145" s="176"/>
      <c r="AM145" s="176"/>
      <c r="AN145" s="177"/>
      <c r="AP145" s="1551"/>
      <c r="AQ145" s="1554"/>
      <c r="AR145" s="1551"/>
      <c r="AS145" s="1554"/>
      <c r="AT145" s="1544"/>
      <c r="AU145" s="172" t="s">
        <v>700</v>
      </c>
      <c r="AV145" s="249">
        <v>2500</v>
      </c>
      <c r="AW145" s="250">
        <v>2800</v>
      </c>
      <c r="AX145" s="267">
        <v>1800</v>
      </c>
      <c r="AY145" s="252">
        <v>1800</v>
      </c>
      <c r="BA145" s="235"/>
      <c r="BC145" s="358"/>
      <c r="BE145" s="187"/>
      <c r="BF145" s="176"/>
      <c r="BG145" s="176"/>
      <c r="BH145" s="177"/>
      <c r="BJ145" s="253"/>
      <c r="BL145" s="193">
        <v>0.02</v>
      </c>
      <c r="BM145" s="194">
        <v>0.03</v>
      </c>
      <c r="BN145" s="194">
        <v>0.05</v>
      </c>
      <c r="BO145" s="195">
        <v>0.06</v>
      </c>
      <c r="BQ145" s="187"/>
      <c r="BR145" s="185"/>
      <c r="BS145" s="185"/>
      <c r="BT145" s="254"/>
      <c r="BV145" s="187"/>
      <c r="BW145" s="185"/>
      <c r="BX145" s="185"/>
      <c r="BY145" s="185"/>
      <c r="BZ145" s="254"/>
      <c r="CB145" s="187"/>
      <c r="CC145" s="185"/>
      <c r="CD145" s="185"/>
      <c r="CE145" s="185"/>
      <c r="CF145" s="254"/>
      <c r="CH145" s="253">
        <v>0.99</v>
      </c>
    </row>
    <row r="146" spans="1:86">
      <c r="A146" s="1563"/>
      <c r="B146" s="168"/>
      <c r="C146" s="241"/>
      <c r="D146" s="177" t="s">
        <v>322</v>
      </c>
      <c r="F146" s="256">
        <v>178090</v>
      </c>
      <c r="G146" s="257"/>
      <c r="H146" s="256">
        <v>175060</v>
      </c>
      <c r="I146" s="257"/>
      <c r="J146" s="179" t="s">
        <v>182</v>
      </c>
      <c r="K146" s="258">
        <v>1660</v>
      </c>
      <c r="L146" s="259"/>
      <c r="M146" s="260" t="s">
        <v>795</v>
      </c>
      <c r="N146" s="258">
        <v>1630</v>
      </c>
      <c r="O146" s="259"/>
      <c r="P146" s="260" t="s">
        <v>795</v>
      </c>
      <c r="R146" s="182"/>
      <c r="S146" s="176"/>
      <c r="T146" s="177"/>
      <c r="V146" s="182"/>
      <c r="W146" s="185"/>
      <c r="X146" s="176"/>
      <c r="Y146" s="185"/>
      <c r="Z146" s="176"/>
      <c r="AA146" s="176"/>
      <c r="AB146" s="177"/>
      <c r="AD146" s="281"/>
      <c r="AE146" s="281"/>
      <c r="AF146" s="176"/>
      <c r="AG146" s="176"/>
      <c r="AH146" s="177"/>
      <c r="AJ146" s="187"/>
      <c r="AK146" s="185"/>
      <c r="AL146" s="176"/>
      <c r="AM146" s="176"/>
      <c r="AN146" s="177"/>
      <c r="AP146" s="1552"/>
      <c r="AQ146" s="1555"/>
      <c r="AR146" s="1552"/>
      <c r="AS146" s="1555"/>
      <c r="AT146" s="1544"/>
      <c r="AU146" s="262" t="s">
        <v>701</v>
      </c>
      <c r="AV146" s="263">
        <v>2300</v>
      </c>
      <c r="AW146" s="264">
        <v>2500</v>
      </c>
      <c r="AX146" s="265">
        <v>1600</v>
      </c>
      <c r="AY146" s="266">
        <v>1600</v>
      </c>
      <c r="BA146" s="235"/>
      <c r="BC146" s="359"/>
      <c r="BE146" s="187"/>
      <c r="BF146" s="176"/>
      <c r="BG146" s="176"/>
      <c r="BH146" s="177"/>
      <c r="BJ146" s="253"/>
      <c r="BL146" s="193"/>
      <c r="BM146" s="194"/>
      <c r="BN146" s="194"/>
      <c r="BO146" s="195"/>
      <c r="BQ146" s="187"/>
      <c r="BR146" s="185"/>
      <c r="BS146" s="185"/>
      <c r="BT146" s="254"/>
      <c r="BV146" s="187"/>
      <c r="BW146" s="185"/>
      <c r="BX146" s="185"/>
      <c r="BY146" s="185"/>
      <c r="BZ146" s="254"/>
      <c r="CB146" s="187"/>
      <c r="CC146" s="185"/>
      <c r="CD146" s="185"/>
      <c r="CE146" s="185"/>
      <c r="CF146" s="254"/>
      <c r="CH146" s="253"/>
    </row>
    <row r="147" spans="1:86" ht="31.5">
      <c r="A147" s="1563"/>
      <c r="B147" s="215" t="s">
        <v>344</v>
      </c>
      <c r="C147" s="216" t="s">
        <v>313</v>
      </c>
      <c r="D147" s="217" t="s">
        <v>314</v>
      </c>
      <c r="F147" s="218">
        <v>31290</v>
      </c>
      <c r="G147" s="219">
        <v>38940</v>
      </c>
      <c r="H147" s="218">
        <v>28430</v>
      </c>
      <c r="I147" s="219">
        <v>36080</v>
      </c>
      <c r="J147" s="179" t="s">
        <v>182</v>
      </c>
      <c r="K147" s="220">
        <v>290</v>
      </c>
      <c r="L147" s="221">
        <v>360</v>
      </c>
      <c r="M147" s="222" t="s">
        <v>795</v>
      </c>
      <c r="N147" s="220">
        <v>260</v>
      </c>
      <c r="O147" s="221">
        <v>330</v>
      </c>
      <c r="P147" s="222" t="s">
        <v>795</v>
      </c>
      <c r="Q147" s="160" t="s">
        <v>182</v>
      </c>
      <c r="R147" s="223">
        <v>7650</v>
      </c>
      <c r="S147" s="224">
        <v>70</v>
      </c>
      <c r="T147" s="225" t="s">
        <v>184</v>
      </c>
      <c r="V147" s="182"/>
      <c r="W147" s="185"/>
      <c r="X147" s="176"/>
      <c r="Y147" s="185"/>
      <c r="Z147" s="176"/>
      <c r="AA147" s="176"/>
      <c r="AB147" s="177"/>
      <c r="AD147" s="281"/>
      <c r="AE147" s="281"/>
      <c r="AF147" s="176"/>
      <c r="AG147" s="176"/>
      <c r="AH147" s="177"/>
      <c r="AJ147" s="187"/>
      <c r="AK147" s="185"/>
      <c r="AL147" s="176"/>
      <c r="AM147" s="176"/>
      <c r="AN147" s="177"/>
      <c r="AO147" s="160" t="s">
        <v>182</v>
      </c>
      <c r="AP147" s="1550">
        <v>2500</v>
      </c>
      <c r="AQ147" s="1553">
        <v>2700</v>
      </c>
      <c r="AR147" s="1550">
        <v>1700</v>
      </c>
      <c r="AS147" s="1553">
        <v>1700</v>
      </c>
      <c r="AT147" s="1544" t="s">
        <v>664</v>
      </c>
      <c r="AU147" s="230" t="s">
        <v>697</v>
      </c>
      <c r="AV147" s="231">
        <v>4800</v>
      </c>
      <c r="AW147" s="232">
        <v>5400</v>
      </c>
      <c r="AX147" s="267">
        <v>3400</v>
      </c>
      <c r="AY147" s="252">
        <v>3400</v>
      </c>
      <c r="BA147" s="235"/>
      <c r="BB147" s="160" t="s">
        <v>182</v>
      </c>
      <c r="BC147" s="1556">
        <v>4700</v>
      </c>
      <c r="BD147" s="160" t="s">
        <v>182</v>
      </c>
      <c r="BE147" s="228">
        <v>1210</v>
      </c>
      <c r="BF147" s="226" t="s">
        <v>182</v>
      </c>
      <c r="BG147" s="226">
        <v>10</v>
      </c>
      <c r="BH147" s="217" t="s">
        <v>184</v>
      </c>
      <c r="BJ147" s="253"/>
      <c r="BK147" s="160" t="s">
        <v>188</v>
      </c>
      <c r="BL147" s="237" t="s">
        <v>317</v>
      </c>
      <c r="BM147" s="238" t="s">
        <v>317</v>
      </c>
      <c r="BN147" s="238" t="s">
        <v>317</v>
      </c>
      <c r="BO147" s="239" t="s">
        <v>317</v>
      </c>
      <c r="BP147" s="160" t="s">
        <v>188</v>
      </c>
      <c r="BQ147" s="228"/>
      <c r="BR147" s="229"/>
      <c r="BS147" s="229"/>
      <c r="BT147" s="240"/>
      <c r="BU147" s="160" t="s">
        <v>188</v>
      </c>
      <c r="BV147" s="228"/>
      <c r="BW147" s="229"/>
      <c r="BX147" s="229"/>
      <c r="BY147" s="229"/>
      <c r="BZ147" s="240"/>
      <c r="CA147" s="160" t="s">
        <v>188</v>
      </c>
      <c r="CB147" s="228"/>
      <c r="CC147" s="229"/>
      <c r="CD147" s="229"/>
      <c r="CE147" s="229"/>
      <c r="CF147" s="240"/>
      <c r="CH147" s="236" t="s">
        <v>324</v>
      </c>
    </row>
    <row r="148" spans="1:86">
      <c r="A148" s="1563"/>
      <c r="B148" s="168"/>
      <c r="C148" s="241"/>
      <c r="D148" s="177" t="s">
        <v>318</v>
      </c>
      <c r="F148" s="242">
        <v>38940</v>
      </c>
      <c r="G148" s="243">
        <v>100780</v>
      </c>
      <c r="H148" s="242">
        <v>36080</v>
      </c>
      <c r="I148" s="243">
        <v>97920</v>
      </c>
      <c r="J148" s="179" t="s">
        <v>182</v>
      </c>
      <c r="K148" s="244">
        <v>360</v>
      </c>
      <c r="L148" s="245">
        <v>890</v>
      </c>
      <c r="M148" s="246" t="s">
        <v>795</v>
      </c>
      <c r="N148" s="244">
        <v>330</v>
      </c>
      <c r="O148" s="245">
        <v>860</v>
      </c>
      <c r="P148" s="246" t="s">
        <v>795</v>
      </c>
      <c r="Q148" s="160" t="s">
        <v>182</v>
      </c>
      <c r="R148" s="187">
        <v>7650</v>
      </c>
      <c r="S148" s="185">
        <v>70</v>
      </c>
      <c r="T148" s="247" t="s">
        <v>184</v>
      </c>
      <c r="V148" s="182"/>
      <c r="W148" s="185"/>
      <c r="X148" s="176"/>
      <c r="Y148" s="185"/>
      <c r="Z148" s="176"/>
      <c r="AA148" s="176"/>
      <c r="AB148" s="177"/>
      <c r="AD148" s="281"/>
      <c r="AE148" s="281"/>
      <c r="AF148" s="176"/>
      <c r="AG148" s="176"/>
      <c r="AH148" s="177"/>
      <c r="AJ148" s="187"/>
      <c r="AK148" s="185"/>
      <c r="AL148" s="176"/>
      <c r="AM148" s="176"/>
      <c r="AN148" s="177"/>
      <c r="AP148" s="1551"/>
      <c r="AQ148" s="1554"/>
      <c r="AR148" s="1551"/>
      <c r="AS148" s="1554"/>
      <c r="AT148" s="1544"/>
      <c r="AU148" s="172" t="s">
        <v>699</v>
      </c>
      <c r="AV148" s="249">
        <v>2600</v>
      </c>
      <c r="AW148" s="250">
        <v>2900</v>
      </c>
      <c r="AX148" s="267">
        <v>1800</v>
      </c>
      <c r="AY148" s="252">
        <v>1800</v>
      </c>
      <c r="BA148" s="235"/>
      <c r="BC148" s="1557"/>
      <c r="BE148" s="187"/>
      <c r="BF148" s="176"/>
      <c r="BG148" s="176"/>
      <c r="BH148" s="177"/>
      <c r="BJ148" s="253"/>
      <c r="BL148" s="193"/>
      <c r="BM148" s="194"/>
      <c r="BN148" s="194"/>
      <c r="BO148" s="195"/>
      <c r="BQ148" s="187">
        <v>700</v>
      </c>
      <c r="BR148" s="185" t="s">
        <v>189</v>
      </c>
      <c r="BS148" s="185">
        <v>7</v>
      </c>
      <c r="BT148" s="254" t="s">
        <v>184</v>
      </c>
      <c r="BV148" s="187">
        <v>2550</v>
      </c>
      <c r="BW148" s="185" t="s">
        <v>189</v>
      </c>
      <c r="BX148" s="185">
        <v>20</v>
      </c>
      <c r="BY148" s="185" t="s">
        <v>184</v>
      </c>
      <c r="BZ148" s="254" t="s">
        <v>190</v>
      </c>
      <c r="CB148" s="187">
        <v>1650</v>
      </c>
      <c r="CC148" s="185" t="s">
        <v>189</v>
      </c>
      <c r="CD148" s="185">
        <v>10</v>
      </c>
      <c r="CE148" s="185" t="s">
        <v>184</v>
      </c>
      <c r="CF148" s="254" t="s">
        <v>190</v>
      </c>
      <c r="CH148" s="253"/>
    </row>
    <row r="149" spans="1:86">
      <c r="A149" s="1563"/>
      <c r="B149" s="168"/>
      <c r="C149" s="241" t="s">
        <v>319</v>
      </c>
      <c r="D149" s="177" t="s">
        <v>320</v>
      </c>
      <c r="F149" s="242">
        <v>100780</v>
      </c>
      <c r="G149" s="243">
        <v>177310</v>
      </c>
      <c r="H149" s="242">
        <v>97920</v>
      </c>
      <c r="I149" s="243">
        <v>174450</v>
      </c>
      <c r="J149" s="179" t="s">
        <v>182</v>
      </c>
      <c r="K149" s="244">
        <v>890</v>
      </c>
      <c r="L149" s="245">
        <v>1650</v>
      </c>
      <c r="M149" s="246" t="s">
        <v>795</v>
      </c>
      <c r="N149" s="244">
        <v>860</v>
      </c>
      <c r="O149" s="245">
        <v>1620</v>
      </c>
      <c r="P149" s="246" t="s">
        <v>795</v>
      </c>
      <c r="R149" s="182"/>
      <c r="S149" s="176"/>
      <c r="T149" s="177"/>
      <c r="V149" s="182"/>
      <c r="W149" s="185"/>
      <c r="X149" s="176"/>
      <c r="Y149" s="185"/>
      <c r="Z149" s="176"/>
      <c r="AA149" s="176"/>
      <c r="AB149" s="177"/>
      <c r="AD149" s="281"/>
      <c r="AE149" s="281"/>
      <c r="AF149" s="176"/>
      <c r="AG149" s="176"/>
      <c r="AH149" s="177"/>
      <c r="AJ149" s="187"/>
      <c r="AK149" s="185"/>
      <c r="AL149" s="176"/>
      <c r="AM149" s="176"/>
      <c r="AN149" s="177"/>
      <c r="AP149" s="1551"/>
      <c r="AQ149" s="1554"/>
      <c r="AR149" s="1551"/>
      <c r="AS149" s="1554"/>
      <c r="AT149" s="1544"/>
      <c r="AU149" s="172" t="s">
        <v>700</v>
      </c>
      <c r="AV149" s="249">
        <v>2300</v>
      </c>
      <c r="AW149" s="250">
        <v>2500</v>
      </c>
      <c r="AX149" s="267">
        <v>1600</v>
      </c>
      <c r="AY149" s="252">
        <v>1600</v>
      </c>
      <c r="BA149" s="235"/>
      <c r="BC149" s="359"/>
      <c r="BE149" s="187"/>
      <c r="BF149" s="176"/>
      <c r="BG149" s="176"/>
      <c r="BH149" s="177"/>
      <c r="BJ149" s="253"/>
      <c r="BL149" s="193">
        <v>0.02</v>
      </c>
      <c r="BM149" s="194">
        <v>0.03</v>
      </c>
      <c r="BN149" s="194">
        <v>0.05</v>
      </c>
      <c r="BO149" s="195">
        <v>0.06</v>
      </c>
      <c r="BQ149" s="187"/>
      <c r="BR149" s="185"/>
      <c r="BS149" s="185"/>
      <c r="BT149" s="254"/>
      <c r="BV149" s="187"/>
      <c r="BW149" s="185"/>
      <c r="BX149" s="185"/>
      <c r="BY149" s="185"/>
      <c r="BZ149" s="254"/>
      <c r="CB149" s="187"/>
      <c r="CC149" s="185"/>
      <c r="CD149" s="185"/>
      <c r="CE149" s="185"/>
      <c r="CF149" s="254"/>
      <c r="CH149" s="253">
        <v>0.99</v>
      </c>
    </row>
    <row r="150" spans="1:86">
      <c r="A150" s="1563"/>
      <c r="B150" s="269"/>
      <c r="C150" s="270"/>
      <c r="D150" s="184" t="s">
        <v>322</v>
      </c>
      <c r="F150" s="256">
        <v>177310</v>
      </c>
      <c r="G150" s="257"/>
      <c r="H150" s="256">
        <v>174450</v>
      </c>
      <c r="I150" s="257"/>
      <c r="J150" s="179" t="s">
        <v>182</v>
      </c>
      <c r="K150" s="258">
        <v>1650</v>
      </c>
      <c r="L150" s="259"/>
      <c r="M150" s="260" t="s">
        <v>795</v>
      </c>
      <c r="N150" s="258">
        <v>1620</v>
      </c>
      <c r="O150" s="259"/>
      <c r="P150" s="260" t="s">
        <v>795</v>
      </c>
      <c r="R150" s="183"/>
      <c r="S150" s="271"/>
      <c r="T150" s="184"/>
      <c r="V150" s="183"/>
      <c r="W150" s="196"/>
      <c r="X150" s="271"/>
      <c r="Y150" s="196"/>
      <c r="Z150" s="271"/>
      <c r="AA150" s="271"/>
      <c r="AB150" s="184"/>
      <c r="AD150" s="281"/>
      <c r="AE150" s="281"/>
      <c r="AF150" s="176"/>
      <c r="AG150" s="176"/>
      <c r="AH150" s="177"/>
      <c r="AJ150" s="186"/>
      <c r="AK150" s="196"/>
      <c r="AL150" s="271"/>
      <c r="AM150" s="271"/>
      <c r="AN150" s="184"/>
      <c r="AP150" s="1552"/>
      <c r="AQ150" s="1555"/>
      <c r="AR150" s="1552"/>
      <c r="AS150" s="1555"/>
      <c r="AT150" s="1544"/>
      <c r="AU150" s="262" t="s">
        <v>701</v>
      </c>
      <c r="AV150" s="263">
        <v>2000</v>
      </c>
      <c r="AW150" s="264">
        <v>2300</v>
      </c>
      <c r="AX150" s="265">
        <v>1400</v>
      </c>
      <c r="AY150" s="266">
        <v>1400</v>
      </c>
      <c r="BA150" s="282"/>
      <c r="BC150" s="359"/>
      <c r="BE150" s="186"/>
      <c r="BF150" s="271"/>
      <c r="BG150" s="271"/>
      <c r="BH150" s="184"/>
      <c r="BJ150" s="198"/>
      <c r="BL150" s="272"/>
      <c r="BM150" s="273"/>
      <c r="BN150" s="273"/>
      <c r="BO150" s="274"/>
      <c r="BQ150" s="186"/>
      <c r="BR150" s="196"/>
      <c r="BS150" s="196"/>
      <c r="BT150" s="197"/>
      <c r="BV150" s="186"/>
      <c r="BW150" s="196"/>
      <c r="BX150" s="196"/>
      <c r="BY150" s="196"/>
      <c r="BZ150" s="197"/>
      <c r="CB150" s="186"/>
      <c r="CC150" s="196"/>
      <c r="CD150" s="196"/>
      <c r="CE150" s="196"/>
      <c r="CF150" s="197"/>
      <c r="CH150" s="198"/>
    </row>
    <row r="151" spans="1:86" ht="63">
      <c r="A151" s="1563" t="s">
        <v>227</v>
      </c>
      <c r="B151" s="168" t="s">
        <v>345</v>
      </c>
      <c r="C151" s="241" t="s">
        <v>313</v>
      </c>
      <c r="D151" s="177" t="s">
        <v>314</v>
      </c>
      <c r="F151" s="218">
        <v>237340</v>
      </c>
      <c r="G151" s="219">
        <v>244930</v>
      </c>
      <c r="H151" s="218">
        <v>186230</v>
      </c>
      <c r="I151" s="219">
        <v>193820</v>
      </c>
      <c r="J151" s="179" t="s">
        <v>182</v>
      </c>
      <c r="K151" s="220">
        <v>2350</v>
      </c>
      <c r="L151" s="221">
        <v>2420</v>
      </c>
      <c r="M151" s="222" t="s">
        <v>795</v>
      </c>
      <c r="N151" s="220">
        <v>1840</v>
      </c>
      <c r="O151" s="221">
        <v>1910</v>
      </c>
      <c r="P151" s="222" t="s">
        <v>795</v>
      </c>
      <c r="Q151" s="160" t="s">
        <v>182</v>
      </c>
      <c r="R151" s="275">
        <v>7590</v>
      </c>
      <c r="S151" s="276">
        <v>70</v>
      </c>
      <c r="T151" s="247" t="s">
        <v>184</v>
      </c>
      <c r="U151" s="160" t="s">
        <v>182</v>
      </c>
      <c r="V151" s="1576" t="s">
        <v>315</v>
      </c>
      <c r="W151" s="1577"/>
      <c r="X151" s="226" t="s">
        <v>182</v>
      </c>
      <c r="Y151" s="1577" t="s">
        <v>315</v>
      </c>
      <c r="Z151" s="1577"/>
      <c r="AA151" s="226"/>
      <c r="AB151" s="217"/>
      <c r="AC151" s="160" t="s">
        <v>182</v>
      </c>
      <c r="AD151" s="1546">
        <v>54290</v>
      </c>
      <c r="AE151" s="227"/>
      <c r="AF151" s="226" t="s">
        <v>182</v>
      </c>
      <c r="AG151" s="226">
        <v>470</v>
      </c>
      <c r="AH151" s="217" t="s">
        <v>184</v>
      </c>
      <c r="AI151" s="160" t="s">
        <v>182</v>
      </c>
      <c r="AJ151" s="187" t="s">
        <v>186</v>
      </c>
      <c r="AK151" s="185"/>
      <c r="AL151" s="176" t="s">
        <v>182</v>
      </c>
      <c r="AM151" s="176">
        <v>310</v>
      </c>
      <c r="AN151" s="177" t="s">
        <v>316</v>
      </c>
      <c r="AO151" s="160" t="s">
        <v>182</v>
      </c>
      <c r="AP151" s="1550">
        <v>15800</v>
      </c>
      <c r="AQ151" s="1553">
        <v>17400</v>
      </c>
      <c r="AR151" s="1550">
        <v>11000</v>
      </c>
      <c r="AS151" s="1553">
        <v>11000</v>
      </c>
      <c r="AT151" s="1544" t="s">
        <v>664</v>
      </c>
      <c r="AU151" s="230" t="s">
        <v>697</v>
      </c>
      <c r="AV151" s="231">
        <v>31600</v>
      </c>
      <c r="AW151" s="232">
        <v>35200</v>
      </c>
      <c r="AX151" s="233">
        <v>22100</v>
      </c>
      <c r="AY151" s="234">
        <v>22100</v>
      </c>
      <c r="AZ151" s="160" t="s">
        <v>182</v>
      </c>
      <c r="BA151" s="235"/>
      <c r="BB151" s="160" t="s">
        <v>182</v>
      </c>
      <c r="BC151" s="1556">
        <v>4700</v>
      </c>
      <c r="BD151" s="160" t="s">
        <v>182</v>
      </c>
      <c r="BE151" s="187">
        <v>21780</v>
      </c>
      <c r="BF151" s="176" t="s">
        <v>182</v>
      </c>
      <c r="BG151" s="176">
        <v>210</v>
      </c>
      <c r="BH151" s="177" t="s">
        <v>184</v>
      </c>
      <c r="BI151" s="160" t="s">
        <v>188</v>
      </c>
      <c r="BJ151" s="253"/>
      <c r="BK151" s="160" t="s">
        <v>188</v>
      </c>
      <c r="BL151" s="193" t="s">
        <v>317</v>
      </c>
      <c r="BM151" s="194" t="s">
        <v>317</v>
      </c>
      <c r="BN151" s="194" t="s">
        <v>317</v>
      </c>
      <c r="BO151" s="195" t="s">
        <v>317</v>
      </c>
      <c r="BP151" s="160" t="s">
        <v>188</v>
      </c>
      <c r="BQ151" s="187"/>
      <c r="BR151" s="185"/>
      <c r="BS151" s="185"/>
      <c r="BT151" s="254"/>
      <c r="BU151" s="160" t="s">
        <v>188</v>
      </c>
      <c r="BV151" s="187"/>
      <c r="BW151" s="185"/>
      <c r="BX151" s="185"/>
      <c r="BY151" s="185"/>
      <c r="BZ151" s="254"/>
      <c r="CA151" s="160" t="s">
        <v>188</v>
      </c>
      <c r="CB151" s="187"/>
      <c r="CC151" s="185"/>
      <c r="CD151" s="185"/>
      <c r="CE151" s="185"/>
      <c r="CF151" s="254"/>
      <c r="CH151" s="253" t="s">
        <v>324</v>
      </c>
    </row>
    <row r="152" spans="1:86">
      <c r="A152" s="1563"/>
      <c r="B152" s="168"/>
      <c r="C152" s="241"/>
      <c r="D152" s="177" t="s">
        <v>318</v>
      </c>
      <c r="F152" s="242">
        <v>244930</v>
      </c>
      <c r="G152" s="243">
        <v>306350</v>
      </c>
      <c r="H152" s="242">
        <v>193820</v>
      </c>
      <c r="I152" s="243">
        <v>255240</v>
      </c>
      <c r="J152" s="179" t="s">
        <v>182</v>
      </c>
      <c r="K152" s="244">
        <v>2420</v>
      </c>
      <c r="L152" s="245">
        <v>2940</v>
      </c>
      <c r="M152" s="246" t="s">
        <v>795</v>
      </c>
      <c r="N152" s="244">
        <v>1910</v>
      </c>
      <c r="O152" s="245">
        <v>2430</v>
      </c>
      <c r="P152" s="246" t="s">
        <v>795</v>
      </c>
      <c r="Q152" s="160" t="s">
        <v>182</v>
      </c>
      <c r="R152" s="187">
        <v>7590</v>
      </c>
      <c r="S152" s="185">
        <v>70</v>
      </c>
      <c r="T152" s="247" t="s">
        <v>184</v>
      </c>
      <c r="V152" s="1578"/>
      <c r="W152" s="1579"/>
      <c r="X152" s="176"/>
      <c r="Y152" s="1579"/>
      <c r="Z152" s="1579"/>
      <c r="AA152" s="176"/>
      <c r="AB152" s="177"/>
      <c r="AD152" s="1547"/>
      <c r="AE152" s="248">
        <v>52560</v>
      </c>
      <c r="AF152" s="176"/>
      <c r="AG152" s="176"/>
      <c r="AH152" s="177"/>
      <c r="AJ152" s="187"/>
      <c r="AK152" s="185"/>
      <c r="AL152" s="176"/>
      <c r="AM152" s="176"/>
      <c r="AN152" s="177"/>
      <c r="AP152" s="1551"/>
      <c r="AQ152" s="1554"/>
      <c r="AR152" s="1551"/>
      <c r="AS152" s="1554"/>
      <c r="AT152" s="1544"/>
      <c r="AU152" s="172" t="s">
        <v>699</v>
      </c>
      <c r="AV152" s="249">
        <v>17400</v>
      </c>
      <c r="AW152" s="250">
        <v>19400</v>
      </c>
      <c r="AX152" s="251">
        <v>12200</v>
      </c>
      <c r="AY152" s="252">
        <v>12200</v>
      </c>
      <c r="BA152" s="235"/>
      <c r="BC152" s="1557"/>
      <c r="BE152" s="187"/>
      <c r="BF152" s="176"/>
      <c r="BG152" s="176"/>
      <c r="BH152" s="177"/>
      <c r="BJ152" s="253"/>
      <c r="BL152" s="193"/>
      <c r="BM152" s="194"/>
      <c r="BN152" s="194"/>
      <c r="BO152" s="195"/>
      <c r="BQ152" s="187">
        <v>12720</v>
      </c>
      <c r="BR152" s="185" t="s">
        <v>189</v>
      </c>
      <c r="BS152" s="185">
        <v>120</v>
      </c>
      <c r="BT152" s="254" t="s">
        <v>184</v>
      </c>
      <c r="BV152" s="187">
        <v>45560</v>
      </c>
      <c r="BW152" s="185" t="s">
        <v>189</v>
      </c>
      <c r="BX152" s="185">
        <v>450</v>
      </c>
      <c r="BY152" s="185" t="s">
        <v>184</v>
      </c>
      <c r="BZ152" s="254" t="s">
        <v>190</v>
      </c>
      <c r="CB152" s="187">
        <v>29430</v>
      </c>
      <c r="CC152" s="185" t="s">
        <v>189</v>
      </c>
      <c r="CD152" s="185">
        <v>290</v>
      </c>
      <c r="CE152" s="185" t="s">
        <v>184</v>
      </c>
      <c r="CF152" s="254" t="s">
        <v>190</v>
      </c>
      <c r="CH152" s="253"/>
    </row>
    <row r="153" spans="1:86">
      <c r="A153" s="1563"/>
      <c r="B153" s="168"/>
      <c r="C153" s="241" t="s">
        <v>319</v>
      </c>
      <c r="D153" s="177" t="s">
        <v>320</v>
      </c>
      <c r="F153" s="242">
        <v>306350</v>
      </c>
      <c r="G153" s="243">
        <v>382290</v>
      </c>
      <c r="H153" s="242">
        <v>255240</v>
      </c>
      <c r="I153" s="243">
        <v>331180</v>
      </c>
      <c r="J153" s="179" t="s">
        <v>182</v>
      </c>
      <c r="K153" s="244">
        <v>2940</v>
      </c>
      <c r="L153" s="245">
        <v>3700</v>
      </c>
      <c r="M153" s="246" t="s">
        <v>795</v>
      </c>
      <c r="N153" s="244">
        <v>2430</v>
      </c>
      <c r="O153" s="245">
        <v>3190</v>
      </c>
      <c r="P153" s="246" t="s">
        <v>795</v>
      </c>
      <c r="R153" s="182"/>
      <c r="S153" s="176"/>
      <c r="T153" s="177"/>
      <c r="V153" s="1578"/>
      <c r="W153" s="1579"/>
      <c r="X153" s="176"/>
      <c r="Y153" s="1579"/>
      <c r="Z153" s="1579"/>
      <c r="AA153" s="176"/>
      <c r="AB153" s="177"/>
      <c r="AC153" s="160" t="s">
        <v>182</v>
      </c>
      <c r="AD153" s="1548">
        <v>52560</v>
      </c>
      <c r="AE153" s="255"/>
      <c r="AF153" s="176"/>
      <c r="AG153" s="176"/>
      <c r="AH153" s="177"/>
      <c r="AJ153" s="187">
        <v>31260</v>
      </c>
      <c r="AK153" s="185" t="s">
        <v>321</v>
      </c>
      <c r="AL153" s="176"/>
      <c r="AM153" s="176"/>
      <c r="AN153" s="177"/>
      <c r="AP153" s="1551"/>
      <c r="AQ153" s="1554"/>
      <c r="AR153" s="1551"/>
      <c r="AS153" s="1554"/>
      <c r="AT153" s="1544"/>
      <c r="AU153" s="172" t="s">
        <v>700</v>
      </c>
      <c r="AV153" s="249">
        <v>15200</v>
      </c>
      <c r="AW153" s="250">
        <v>16900</v>
      </c>
      <c r="AX153" s="251">
        <v>10600</v>
      </c>
      <c r="AY153" s="252">
        <v>10600</v>
      </c>
      <c r="BA153" s="235"/>
      <c r="BC153" s="358"/>
      <c r="BE153" s="187"/>
      <c r="BF153" s="176"/>
      <c r="BG153" s="176"/>
      <c r="BH153" s="177"/>
      <c r="BJ153" s="253"/>
      <c r="BL153" s="193">
        <v>0.01</v>
      </c>
      <c r="BM153" s="194">
        <v>0.02</v>
      </c>
      <c r="BN153" s="194">
        <v>0.03</v>
      </c>
      <c r="BO153" s="195">
        <v>0.05</v>
      </c>
      <c r="BQ153" s="187"/>
      <c r="BR153" s="185"/>
      <c r="BS153" s="185"/>
      <c r="BT153" s="254"/>
      <c r="BV153" s="187"/>
      <c r="BW153" s="185"/>
      <c r="BX153" s="185"/>
      <c r="BY153" s="185"/>
      <c r="BZ153" s="254"/>
      <c r="CB153" s="187"/>
      <c r="CC153" s="185"/>
      <c r="CD153" s="185"/>
      <c r="CE153" s="185"/>
      <c r="CF153" s="254"/>
      <c r="CH153" s="253">
        <v>0.61</v>
      </c>
    </row>
    <row r="154" spans="1:86">
      <c r="A154" s="1563"/>
      <c r="B154" s="168"/>
      <c r="C154" s="241"/>
      <c r="D154" s="177" t="s">
        <v>322</v>
      </c>
      <c r="F154" s="256">
        <v>382290</v>
      </c>
      <c r="G154" s="257"/>
      <c r="H154" s="256">
        <v>331180</v>
      </c>
      <c r="I154" s="257"/>
      <c r="J154" s="179" t="s">
        <v>182</v>
      </c>
      <c r="K154" s="258">
        <v>3700</v>
      </c>
      <c r="L154" s="259"/>
      <c r="M154" s="260" t="s">
        <v>795</v>
      </c>
      <c r="N154" s="258">
        <v>3190</v>
      </c>
      <c r="O154" s="259"/>
      <c r="P154" s="260" t="s">
        <v>795</v>
      </c>
      <c r="R154" s="182"/>
      <c r="S154" s="176"/>
      <c r="T154" s="177"/>
      <c r="V154" s="1578"/>
      <c r="W154" s="1579"/>
      <c r="X154" s="176"/>
      <c r="Y154" s="1579"/>
      <c r="Z154" s="1579"/>
      <c r="AA154" s="176"/>
      <c r="AB154" s="177"/>
      <c r="AD154" s="1549"/>
      <c r="AE154" s="261"/>
      <c r="AF154" s="271"/>
      <c r="AG154" s="271"/>
      <c r="AH154" s="184"/>
      <c r="AJ154" s="187"/>
      <c r="AK154" s="185"/>
      <c r="AL154" s="176"/>
      <c r="AM154" s="176"/>
      <c r="AN154" s="177"/>
      <c r="AP154" s="1552"/>
      <c r="AQ154" s="1555"/>
      <c r="AR154" s="1552"/>
      <c r="AS154" s="1555"/>
      <c r="AT154" s="1544"/>
      <c r="AU154" s="262" t="s">
        <v>701</v>
      </c>
      <c r="AV154" s="263">
        <v>13600</v>
      </c>
      <c r="AW154" s="264">
        <v>15100</v>
      </c>
      <c r="AX154" s="265">
        <v>9500</v>
      </c>
      <c r="AY154" s="266">
        <v>9500</v>
      </c>
      <c r="BA154" s="235"/>
      <c r="BC154" s="359"/>
      <c r="BE154" s="187"/>
      <c r="BF154" s="176"/>
      <c r="BG154" s="176"/>
      <c r="BH154" s="177"/>
      <c r="BJ154" s="253"/>
      <c r="BL154" s="193"/>
      <c r="BM154" s="194"/>
      <c r="BN154" s="194"/>
      <c r="BO154" s="195"/>
      <c r="BQ154" s="187"/>
      <c r="BR154" s="185"/>
      <c r="BS154" s="185"/>
      <c r="BT154" s="254"/>
      <c r="BV154" s="187"/>
      <c r="BW154" s="185"/>
      <c r="BX154" s="185"/>
      <c r="BY154" s="185"/>
      <c r="BZ154" s="254"/>
      <c r="CB154" s="187"/>
      <c r="CC154" s="185"/>
      <c r="CD154" s="185"/>
      <c r="CE154" s="185"/>
      <c r="CF154" s="254"/>
      <c r="CH154" s="253"/>
    </row>
    <row r="155" spans="1:86" ht="63">
      <c r="A155" s="1563"/>
      <c r="B155" s="215" t="s">
        <v>323</v>
      </c>
      <c r="C155" s="216" t="s">
        <v>313</v>
      </c>
      <c r="D155" s="217" t="s">
        <v>314</v>
      </c>
      <c r="F155" s="218">
        <v>128830</v>
      </c>
      <c r="G155" s="219">
        <v>136420</v>
      </c>
      <c r="H155" s="218">
        <v>103270</v>
      </c>
      <c r="I155" s="219">
        <v>110860</v>
      </c>
      <c r="J155" s="179" t="s">
        <v>182</v>
      </c>
      <c r="K155" s="220">
        <v>1260</v>
      </c>
      <c r="L155" s="221">
        <v>1330</v>
      </c>
      <c r="M155" s="222" t="s">
        <v>795</v>
      </c>
      <c r="N155" s="220">
        <v>1010</v>
      </c>
      <c r="O155" s="221">
        <v>1080</v>
      </c>
      <c r="P155" s="222" t="s">
        <v>795</v>
      </c>
      <c r="Q155" s="160" t="s">
        <v>182</v>
      </c>
      <c r="R155" s="223">
        <v>7590</v>
      </c>
      <c r="S155" s="224">
        <v>70</v>
      </c>
      <c r="T155" s="225" t="s">
        <v>184</v>
      </c>
      <c r="V155" s="1578"/>
      <c r="W155" s="1579"/>
      <c r="X155" s="176"/>
      <c r="Y155" s="1579"/>
      <c r="Z155" s="1579"/>
      <c r="AA155" s="176"/>
      <c r="AB155" s="177"/>
      <c r="AC155" s="160" t="s">
        <v>182</v>
      </c>
      <c r="AD155" s="1546">
        <v>30600</v>
      </c>
      <c r="AE155" s="227"/>
      <c r="AF155" s="176" t="s">
        <v>182</v>
      </c>
      <c r="AG155" s="176">
        <v>230</v>
      </c>
      <c r="AH155" s="177" t="s">
        <v>184</v>
      </c>
      <c r="AJ155" s="187" t="s">
        <v>194</v>
      </c>
      <c r="AK155" s="185"/>
      <c r="AL155" s="176" t="s">
        <v>182</v>
      </c>
      <c r="AM155" s="176">
        <v>180</v>
      </c>
      <c r="AN155" s="177" t="s">
        <v>316</v>
      </c>
      <c r="AO155" s="160" t="s">
        <v>182</v>
      </c>
      <c r="AP155" s="1550">
        <v>7900</v>
      </c>
      <c r="AQ155" s="1553">
        <v>8700</v>
      </c>
      <c r="AR155" s="1550">
        <v>5500</v>
      </c>
      <c r="AS155" s="1553">
        <v>5500</v>
      </c>
      <c r="AT155" s="1544" t="s">
        <v>664</v>
      </c>
      <c r="AU155" s="230" t="s">
        <v>697</v>
      </c>
      <c r="AV155" s="231">
        <v>15800</v>
      </c>
      <c r="AW155" s="232">
        <v>17600</v>
      </c>
      <c r="AX155" s="267">
        <v>11000</v>
      </c>
      <c r="AY155" s="252">
        <v>11000</v>
      </c>
      <c r="BA155" s="235"/>
      <c r="BB155" s="160" t="s">
        <v>182</v>
      </c>
      <c r="BC155" s="1556">
        <v>4700</v>
      </c>
      <c r="BD155" s="160" t="s">
        <v>182</v>
      </c>
      <c r="BE155" s="228">
        <v>10890</v>
      </c>
      <c r="BF155" s="226" t="s">
        <v>182</v>
      </c>
      <c r="BG155" s="226">
        <v>100</v>
      </c>
      <c r="BH155" s="217" t="s">
        <v>184</v>
      </c>
      <c r="BJ155" s="253"/>
      <c r="BK155" s="160" t="s">
        <v>188</v>
      </c>
      <c r="BL155" s="237" t="s">
        <v>317</v>
      </c>
      <c r="BM155" s="238" t="s">
        <v>317</v>
      </c>
      <c r="BN155" s="238" t="s">
        <v>317</v>
      </c>
      <c r="BO155" s="239" t="s">
        <v>317</v>
      </c>
      <c r="BP155" s="160" t="s">
        <v>188</v>
      </c>
      <c r="BQ155" s="228"/>
      <c r="BR155" s="229"/>
      <c r="BS155" s="229"/>
      <c r="BT155" s="240"/>
      <c r="BU155" s="160" t="s">
        <v>188</v>
      </c>
      <c r="BV155" s="228"/>
      <c r="BW155" s="229"/>
      <c r="BX155" s="229"/>
      <c r="BY155" s="229"/>
      <c r="BZ155" s="240"/>
      <c r="CA155" s="160" t="s">
        <v>188</v>
      </c>
      <c r="CB155" s="228"/>
      <c r="CC155" s="229"/>
      <c r="CD155" s="229"/>
      <c r="CE155" s="229"/>
      <c r="CF155" s="240"/>
      <c r="CH155" s="236" t="s">
        <v>324</v>
      </c>
    </row>
    <row r="156" spans="1:86">
      <c r="A156" s="1563"/>
      <c r="B156" s="168"/>
      <c r="C156" s="241"/>
      <c r="D156" s="177" t="s">
        <v>318</v>
      </c>
      <c r="F156" s="242">
        <v>136420</v>
      </c>
      <c r="G156" s="243">
        <v>197840</v>
      </c>
      <c r="H156" s="242">
        <v>110860</v>
      </c>
      <c r="I156" s="243">
        <v>172280</v>
      </c>
      <c r="J156" s="179" t="s">
        <v>182</v>
      </c>
      <c r="K156" s="244">
        <v>1330</v>
      </c>
      <c r="L156" s="245">
        <v>1860</v>
      </c>
      <c r="M156" s="246" t="s">
        <v>795</v>
      </c>
      <c r="N156" s="244">
        <v>1080</v>
      </c>
      <c r="O156" s="245">
        <v>1600</v>
      </c>
      <c r="P156" s="246" t="s">
        <v>795</v>
      </c>
      <c r="Q156" s="160" t="s">
        <v>182</v>
      </c>
      <c r="R156" s="187">
        <v>7590</v>
      </c>
      <c r="S156" s="185">
        <v>70</v>
      </c>
      <c r="T156" s="247" t="s">
        <v>184</v>
      </c>
      <c r="V156" s="1578"/>
      <c r="W156" s="1579"/>
      <c r="X156" s="176"/>
      <c r="Y156" s="1579"/>
      <c r="Z156" s="1579"/>
      <c r="AA156" s="176"/>
      <c r="AB156" s="177"/>
      <c r="AD156" s="1547"/>
      <c r="AE156" s="248">
        <v>28870</v>
      </c>
      <c r="AF156" s="176"/>
      <c r="AG156" s="176"/>
      <c r="AH156" s="177"/>
      <c r="AJ156" s="187"/>
      <c r="AK156" s="185"/>
      <c r="AL156" s="176"/>
      <c r="AM156" s="176"/>
      <c r="AN156" s="177"/>
      <c r="AP156" s="1551"/>
      <c r="AQ156" s="1554"/>
      <c r="AR156" s="1551"/>
      <c r="AS156" s="1554"/>
      <c r="AT156" s="1544"/>
      <c r="AU156" s="172" t="s">
        <v>699</v>
      </c>
      <c r="AV156" s="249">
        <v>8700</v>
      </c>
      <c r="AW156" s="250">
        <v>9700</v>
      </c>
      <c r="AX156" s="267">
        <v>6100</v>
      </c>
      <c r="AY156" s="252">
        <v>6100</v>
      </c>
      <c r="BA156" s="235"/>
      <c r="BC156" s="1557"/>
      <c r="BE156" s="187"/>
      <c r="BF156" s="176"/>
      <c r="BG156" s="176"/>
      <c r="BH156" s="177"/>
      <c r="BJ156" s="253"/>
      <c r="BL156" s="193"/>
      <c r="BM156" s="194"/>
      <c r="BN156" s="194"/>
      <c r="BO156" s="195"/>
      <c r="BQ156" s="187">
        <v>6360</v>
      </c>
      <c r="BR156" s="185" t="s">
        <v>189</v>
      </c>
      <c r="BS156" s="185">
        <v>60</v>
      </c>
      <c r="BT156" s="254" t="s">
        <v>184</v>
      </c>
      <c r="BV156" s="187">
        <v>22780</v>
      </c>
      <c r="BW156" s="185" t="s">
        <v>189</v>
      </c>
      <c r="BX156" s="185">
        <v>220</v>
      </c>
      <c r="BY156" s="185" t="s">
        <v>184</v>
      </c>
      <c r="BZ156" s="254" t="s">
        <v>190</v>
      </c>
      <c r="CB156" s="187">
        <v>14710</v>
      </c>
      <c r="CC156" s="185" t="s">
        <v>189</v>
      </c>
      <c r="CD156" s="185">
        <v>140</v>
      </c>
      <c r="CE156" s="185" t="s">
        <v>184</v>
      </c>
      <c r="CF156" s="254" t="s">
        <v>190</v>
      </c>
      <c r="CH156" s="253"/>
    </row>
    <row r="157" spans="1:86">
      <c r="A157" s="1563"/>
      <c r="B157" s="168"/>
      <c r="C157" s="241" t="s">
        <v>319</v>
      </c>
      <c r="D157" s="177" t="s">
        <v>320</v>
      </c>
      <c r="F157" s="242">
        <v>197840</v>
      </c>
      <c r="G157" s="243">
        <v>273780</v>
      </c>
      <c r="H157" s="242">
        <v>172280</v>
      </c>
      <c r="I157" s="243">
        <v>248220</v>
      </c>
      <c r="J157" s="179" t="s">
        <v>182</v>
      </c>
      <c r="K157" s="244">
        <v>1860</v>
      </c>
      <c r="L157" s="245">
        <v>2620</v>
      </c>
      <c r="M157" s="246" t="s">
        <v>795</v>
      </c>
      <c r="N157" s="244">
        <v>1600</v>
      </c>
      <c r="O157" s="245">
        <v>2360</v>
      </c>
      <c r="P157" s="246" t="s">
        <v>795</v>
      </c>
      <c r="R157" s="182"/>
      <c r="S157" s="176"/>
      <c r="T157" s="177"/>
      <c r="V157" s="1578"/>
      <c r="W157" s="1579"/>
      <c r="X157" s="176"/>
      <c r="Y157" s="1579"/>
      <c r="Z157" s="1579"/>
      <c r="AA157" s="176"/>
      <c r="AB157" s="177"/>
      <c r="AC157" s="160" t="s">
        <v>182</v>
      </c>
      <c r="AD157" s="1548">
        <v>28870</v>
      </c>
      <c r="AE157" s="255"/>
      <c r="AF157" s="176"/>
      <c r="AG157" s="176"/>
      <c r="AH157" s="177"/>
      <c r="AJ157" s="187">
        <v>18760</v>
      </c>
      <c r="AK157" s="185" t="s">
        <v>321</v>
      </c>
      <c r="AL157" s="176"/>
      <c r="AM157" s="176"/>
      <c r="AN157" s="177"/>
      <c r="AP157" s="1551"/>
      <c r="AQ157" s="1554"/>
      <c r="AR157" s="1551"/>
      <c r="AS157" s="1554"/>
      <c r="AT157" s="1544"/>
      <c r="AU157" s="172" t="s">
        <v>700</v>
      </c>
      <c r="AV157" s="249">
        <v>7600</v>
      </c>
      <c r="AW157" s="250">
        <v>8400</v>
      </c>
      <c r="AX157" s="267">
        <v>5300</v>
      </c>
      <c r="AY157" s="252">
        <v>5300</v>
      </c>
      <c r="BA157" s="268"/>
      <c r="BC157" s="359"/>
      <c r="BE157" s="187"/>
      <c r="BF157" s="176"/>
      <c r="BG157" s="176"/>
      <c r="BH157" s="177"/>
      <c r="BJ157" s="253"/>
      <c r="BL157" s="193">
        <v>0.01</v>
      </c>
      <c r="BM157" s="194">
        <v>0.03</v>
      </c>
      <c r="BN157" s="194">
        <v>0.04</v>
      </c>
      <c r="BO157" s="195">
        <v>0.05</v>
      </c>
      <c r="BQ157" s="187"/>
      <c r="BR157" s="185"/>
      <c r="BS157" s="185"/>
      <c r="BT157" s="254"/>
      <c r="BV157" s="187"/>
      <c r="BW157" s="185"/>
      <c r="BX157" s="185"/>
      <c r="BY157" s="185"/>
      <c r="BZ157" s="254"/>
      <c r="CB157" s="187"/>
      <c r="CC157" s="185"/>
      <c r="CD157" s="185"/>
      <c r="CE157" s="185"/>
      <c r="CF157" s="254"/>
      <c r="CH157" s="253">
        <v>0.79</v>
      </c>
    </row>
    <row r="158" spans="1:86">
      <c r="A158" s="1563"/>
      <c r="B158" s="269"/>
      <c r="C158" s="270"/>
      <c r="D158" s="184" t="s">
        <v>322</v>
      </c>
      <c r="F158" s="256">
        <v>273780</v>
      </c>
      <c r="G158" s="257"/>
      <c r="H158" s="256">
        <v>248220</v>
      </c>
      <c r="I158" s="257"/>
      <c r="J158" s="179" t="s">
        <v>182</v>
      </c>
      <c r="K158" s="258">
        <v>2620</v>
      </c>
      <c r="L158" s="259"/>
      <c r="M158" s="260" t="s">
        <v>795</v>
      </c>
      <c r="N158" s="258">
        <v>2360</v>
      </c>
      <c r="O158" s="259"/>
      <c r="P158" s="260" t="s">
        <v>795</v>
      </c>
      <c r="R158" s="183"/>
      <c r="S158" s="271"/>
      <c r="T158" s="184"/>
      <c r="V158" s="1578"/>
      <c r="W158" s="1579"/>
      <c r="X158" s="176"/>
      <c r="Y158" s="1579"/>
      <c r="Z158" s="1579"/>
      <c r="AA158" s="176"/>
      <c r="AB158" s="177"/>
      <c r="AD158" s="1549"/>
      <c r="AE158" s="261"/>
      <c r="AF158" s="176"/>
      <c r="AG158" s="176"/>
      <c r="AH158" s="177"/>
      <c r="AJ158" s="187"/>
      <c r="AK158" s="185"/>
      <c r="AL158" s="176"/>
      <c r="AM158" s="176"/>
      <c r="AN158" s="177"/>
      <c r="AP158" s="1552"/>
      <c r="AQ158" s="1555"/>
      <c r="AR158" s="1552"/>
      <c r="AS158" s="1555"/>
      <c r="AT158" s="1544"/>
      <c r="AU158" s="262" t="s">
        <v>701</v>
      </c>
      <c r="AV158" s="263">
        <v>6800</v>
      </c>
      <c r="AW158" s="264">
        <v>7500</v>
      </c>
      <c r="AX158" s="265">
        <v>4700</v>
      </c>
      <c r="AY158" s="266">
        <v>4700</v>
      </c>
      <c r="BA158" s="268"/>
      <c r="BC158" s="359"/>
      <c r="BE158" s="186"/>
      <c r="BF158" s="271"/>
      <c r="BG158" s="271"/>
      <c r="BH158" s="184"/>
      <c r="BJ158" s="253"/>
      <c r="BL158" s="272"/>
      <c r="BM158" s="273"/>
      <c r="BN158" s="273"/>
      <c r="BO158" s="274"/>
      <c r="BQ158" s="186"/>
      <c r="BR158" s="196"/>
      <c r="BS158" s="196"/>
      <c r="BT158" s="197"/>
      <c r="BV158" s="186"/>
      <c r="BW158" s="196"/>
      <c r="BX158" s="196"/>
      <c r="BY158" s="196"/>
      <c r="BZ158" s="197"/>
      <c r="CB158" s="186"/>
      <c r="CC158" s="196"/>
      <c r="CD158" s="196"/>
      <c r="CE158" s="196"/>
      <c r="CF158" s="197"/>
      <c r="CH158" s="198"/>
    </row>
    <row r="159" spans="1:86" ht="63">
      <c r="A159" s="1563"/>
      <c r="B159" s="168" t="s">
        <v>325</v>
      </c>
      <c r="C159" s="241" t="s">
        <v>313</v>
      </c>
      <c r="D159" s="177" t="s">
        <v>314</v>
      </c>
      <c r="F159" s="218">
        <v>92540</v>
      </c>
      <c r="G159" s="219">
        <v>100130</v>
      </c>
      <c r="H159" s="218">
        <v>75500</v>
      </c>
      <c r="I159" s="219">
        <v>83090</v>
      </c>
      <c r="J159" s="179" t="s">
        <v>182</v>
      </c>
      <c r="K159" s="220">
        <v>900</v>
      </c>
      <c r="L159" s="221">
        <v>970</v>
      </c>
      <c r="M159" s="222" t="s">
        <v>795</v>
      </c>
      <c r="N159" s="220">
        <v>730</v>
      </c>
      <c r="O159" s="221">
        <v>800</v>
      </c>
      <c r="P159" s="222" t="s">
        <v>795</v>
      </c>
      <c r="Q159" s="160" t="s">
        <v>182</v>
      </c>
      <c r="R159" s="275">
        <v>7590</v>
      </c>
      <c r="S159" s="276">
        <v>70</v>
      </c>
      <c r="T159" s="247" t="s">
        <v>184</v>
      </c>
      <c r="V159" s="1578"/>
      <c r="W159" s="1579"/>
      <c r="X159" s="176"/>
      <c r="Y159" s="1579"/>
      <c r="Z159" s="1579"/>
      <c r="AA159" s="176"/>
      <c r="AB159" s="177"/>
      <c r="AC159" s="160" t="s">
        <v>182</v>
      </c>
      <c r="AD159" s="1546">
        <v>22700</v>
      </c>
      <c r="AE159" s="227"/>
      <c r="AF159" s="226" t="s">
        <v>182</v>
      </c>
      <c r="AG159" s="226">
        <v>150</v>
      </c>
      <c r="AH159" s="217" t="s">
        <v>184</v>
      </c>
      <c r="AJ159" s="187" t="s">
        <v>196</v>
      </c>
      <c r="AK159" s="185"/>
      <c r="AL159" s="176" t="s">
        <v>182</v>
      </c>
      <c r="AM159" s="176">
        <v>130</v>
      </c>
      <c r="AN159" s="177" t="s">
        <v>316</v>
      </c>
      <c r="AO159" s="160" t="s">
        <v>182</v>
      </c>
      <c r="AP159" s="1550">
        <v>5500</v>
      </c>
      <c r="AQ159" s="1553">
        <v>6000</v>
      </c>
      <c r="AR159" s="1550">
        <v>3800</v>
      </c>
      <c r="AS159" s="1553">
        <v>3800</v>
      </c>
      <c r="AT159" s="1544" t="s">
        <v>664</v>
      </c>
      <c r="AU159" s="230" t="s">
        <v>697</v>
      </c>
      <c r="AV159" s="231">
        <v>10900</v>
      </c>
      <c r="AW159" s="232">
        <v>12200</v>
      </c>
      <c r="AX159" s="267">
        <v>7600</v>
      </c>
      <c r="AY159" s="252">
        <v>7600</v>
      </c>
      <c r="BA159" s="268"/>
      <c r="BB159" s="160" t="s">
        <v>182</v>
      </c>
      <c r="BC159" s="1556">
        <v>4700</v>
      </c>
      <c r="BD159" s="160" t="s">
        <v>182</v>
      </c>
      <c r="BE159" s="187">
        <v>7260</v>
      </c>
      <c r="BF159" s="176" t="s">
        <v>182</v>
      </c>
      <c r="BG159" s="176">
        <v>70</v>
      </c>
      <c r="BH159" s="177" t="s">
        <v>184</v>
      </c>
      <c r="BJ159" s="253"/>
      <c r="BK159" s="160" t="s">
        <v>188</v>
      </c>
      <c r="BL159" s="193" t="s">
        <v>317</v>
      </c>
      <c r="BM159" s="194" t="s">
        <v>317</v>
      </c>
      <c r="BN159" s="194" t="s">
        <v>317</v>
      </c>
      <c r="BO159" s="195" t="s">
        <v>317</v>
      </c>
      <c r="BP159" s="160" t="s">
        <v>188</v>
      </c>
      <c r="BQ159" s="187"/>
      <c r="BR159" s="185"/>
      <c r="BS159" s="185"/>
      <c r="BT159" s="254"/>
      <c r="BU159" s="160" t="s">
        <v>188</v>
      </c>
      <c r="BV159" s="187"/>
      <c r="BW159" s="185"/>
      <c r="BX159" s="185"/>
      <c r="BY159" s="185"/>
      <c r="BZ159" s="254"/>
      <c r="CA159" s="160" t="s">
        <v>188</v>
      </c>
      <c r="CB159" s="187"/>
      <c r="CC159" s="185"/>
      <c r="CD159" s="185"/>
      <c r="CE159" s="185"/>
      <c r="CF159" s="254"/>
      <c r="CH159" s="253" t="s">
        <v>324</v>
      </c>
    </row>
    <row r="160" spans="1:86">
      <c r="A160" s="1563"/>
      <c r="B160" s="168"/>
      <c r="C160" s="241"/>
      <c r="D160" s="177" t="s">
        <v>318</v>
      </c>
      <c r="F160" s="242">
        <v>100130</v>
      </c>
      <c r="G160" s="243">
        <v>161550</v>
      </c>
      <c r="H160" s="242">
        <v>83090</v>
      </c>
      <c r="I160" s="243">
        <v>144510</v>
      </c>
      <c r="J160" s="179" t="s">
        <v>182</v>
      </c>
      <c r="K160" s="244">
        <v>970</v>
      </c>
      <c r="L160" s="245">
        <v>1490</v>
      </c>
      <c r="M160" s="246" t="s">
        <v>795</v>
      </c>
      <c r="N160" s="244">
        <v>800</v>
      </c>
      <c r="O160" s="245">
        <v>1320</v>
      </c>
      <c r="P160" s="246" t="s">
        <v>795</v>
      </c>
      <c r="Q160" s="160" t="s">
        <v>182</v>
      </c>
      <c r="R160" s="187">
        <v>7590</v>
      </c>
      <c r="S160" s="185">
        <v>70</v>
      </c>
      <c r="T160" s="247" t="s">
        <v>184</v>
      </c>
      <c r="V160" s="1578"/>
      <c r="W160" s="1579"/>
      <c r="X160" s="176"/>
      <c r="Y160" s="1579"/>
      <c r="Z160" s="1579"/>
      <c r="AA160" s="176"/>
      <c r="AB160" s="177"/>
      <c r="AD160" s="1547"/>
      <c r="AE160" s="248">
        <v>20970</v>
      </c>
      <c r="AF160" s="176"/>
      <c r="AG160" s="176"/>
      <c r="AH160" s="177"/>
      <c r="AJ160" s="187"/>
      <c r="AK160" s="185"/>
      <c r="AL160" s="176"/>
      <c r="AM160" s="176"/>
      <c r="AN160" s="177"/>
      <c r="AP160" s="1551"/>
      <c r="AQ160" s="1554"/>
      <c r="AR160" s="1551"/>
      <c r="AS160" s="1554"/>
      <c r="AT160" s="1544"/>
      <c r="AU160" s="172" t="s">
        <v>699</v>
      </c>
      <c r="AV160" s="249">
        <v>6000</v>
      </c>
      <c r="AW160" s="250">
        <v>6700</v>
      </c>
      <c r="AX160" s="267">
        <v>4200</v>
      </c>
      <c r="AY160" s="252">
        <v>4200</v>
      </c>
      <c r="BA160" s="1545" t="s">
        <v>702</v>
      </c>
      <c r="BC160" s="1557"/>
      <c r="BE160" s="187"/>
      <c r="BF160" s="176"/>
      <c r="BG160" s="176"/>
      <c r="BH160" s="177"/>
      <c r="BJ160" s="253"/>
      <c r="BL160" s="193"/>
      <c r="BM160" s="194"/>
      <c r="BN160" s="194"/>
      <c r="BO160" s="195"/>
      <c r="BQ160" s="187">
        <v>4240</v>
      </c>
      <c r="BR160" s="185" t="s">
        <v>189</v>
      </c>
      <c r="BS160" s="185">
        <v>40</v>
      </c>
      <c r="BT160" s="254" t="s">
        <v>184</v>
      </c>
      <c r="BV160" s="187">
        <v>15180</v>
      </c>
      <c r="BW160" s="185" t="s">
        <v>189</v>
      </c>
      <c r="BX160" s="185">
        <v>150</v>
      </c>
      <c r="BY160" s="185" t="s">
        <v>184</v>
      </c>
      <c r="BZ160" s="254" t="s">
        <v>190</v>
      </c>
      <c r="CB160" s="187">
        <v>9810</v>
      </c>
      <c r="CC160" s="185" t="s">
        <v>189</v>
      </c>
      <c r="CD160" s="185">
        <v>90</v>
      </c>
      <c r="CE160" s="185" t="s">
        <v>184</v>
      </c>
      <c r="CF160" s="254" t="s">
        <v>190</v>
      </c>
      <c r="CH160" s="253"/>
    </row>
    <row r="161" spans="1:86">
      <c r="A161" s="1563"/>
      <c r="B161" s="168"/>
      <c r="C161" s="241" t="s">
        <v>319</v>
      </c>
      <c r="D161" s="177" t="s">
        <v>320</v>
      </c>
      <c r="F161" s="242">
        <v>161550</v>
      </c>
      <c r="G161" s="243">
        <v>237490</v>
      </c>
      <c r="H161" s="242">
        <v>144510</v>
      </c>
      <c r="I161" s="243">
        <v>220450</v>
      </c>
      <c r="J161" s="179" t="s">
        <v>182</v>
      </c>
      <c r="K161" s="244">
        <v>1490</v>
      </c>
      <c r="L161" s="245">
        <v>2250</v>
      </c>
      <c r="M161" s="246" t="s">
        <v>795</v>
      </c>
      <c r="N161" s="244">
        <v>1320</v>
      </c>
      <c r="O161" s="245">
        <v>2080</v>
      </c>
      <c r="P161" s="246" t="s">
        <v>795</v>
      </c>
      <c r="R161" s="182"/>
      <c r="S161" s="176"/>
      <c r="T161" s="177"/>
      <c r="V161" s="1578"/>
      <c r="W161" s="1579"/>
      <c r="X161" s="176"/>
      <c r="Y161" s="1579"/>
      <c r="Z161" s="1579"/>
      <c r="AA161" s="176"/>
      <c r="AB161" s="177"/>
      <c r="AC161" s="160" t="s">
        <v>182</v>
      </c>
      <c r="AD161" s="1548">
        <v>20970</v>
      </c>
      <c r="AE161" s="255"/>
      <c r="AF161" s="176"/>
      <c r="AG161" s="176">
        <v>0</v>
      </c>
      <c r="AH161" s="177"/>
      <c r="AJ161" s="187">
        <v>13400</v>
      </c>
      <c r="AK161" s="185" t="s">
        <v>321</v>
      </c>
      <c r="AL161" s="176"/>
      <c r="AM161" s="176"/>
      <c r="AN161" s="177"/>
      <c r="AP161" s="1551"/>
      <c r="AQ161" s="1554"/>
      <c r="AR161" s="1551"/>
      <c r="AS161" s="1554"/>
      <c r="AT161" s="1544"/>
      <c r="AU161" s="172" t="s">
        <v>700</v>
      </c>
      <c r="AV161" s="249">
        <v>5200</v>
      </c>
      <c r="AW161" s="250">
        <v>5800</v>
      </c>
      <c r="AX161" s="267">
        <v>3600</v>
      </c>
      <c r="AY161" s="252">
        <v>3600</v>
      </c>
      <c r="BA161" s="1545"/>
      <c r="BC161" s="359"/>
      <c r="BE161" s="187"/>
      <c r="BF161" s="176"/>
      <c r="BG161" s="176"/>
      <c r="BH161" s="177"/>
      <c r="BJ161" s="253"/>
      <c r="BL161" s="193">
        <v>0.01</v>
      </c>
      <c r="BM161" s="194">
        <v>0.03</v>
      </c>
      <c r="BN161" s="194">
        <v>0.04</v>
      </c>
      <c r="BO161" s="195">
        <v>0.05</v>
      </c>
      <c r="BQ161" s="187"/>
      <c r="BR161" s="185"/>
      <c r="BS161" s="185"/>
      <c r="BT161" s="254"/>
      <c r="BV161" s="187"/>
      <c r="BW161" s="185"/>
      <c r="BX161" s="185"/>
      <c r="BY161" s="185"/>
      <c r="BZ161" s="254"/>
      <c r="CB161" s="187"/>
      <c r="CC161" s="185"/>
      <c r="CD161" s="185"/>
      <c r="CE161" s="185"/>
      <c r="CF161" s="254"/>
      <c r="CH161" s="253">
        <v>0.87</v>
      </c>
    </row>
    <row r="162" spans="1:86">
      <c r="A162" s="1563"/>
      <c r="B162" s="168"/>
      <c r="C162" s="241"/>
      <c r="D162" s="177" t="s">
        <v>322</v>
      </c>
      <c r="F162" s="256">
        <v>237490</v>
      </c>
      <c r="G162" s="257"/>
      <c r="H162" s="256">
        <v>220450</v>
      </c>
      <c r="I162" s="257"/>
      <c r="J162" s="179" t="s">
        <v>182</v>
      </c>
      <c r="K162" s="258">
        <v>2250</v>
      </c>
      <c r="L162" s="259"/>
      <c r="M162" s="260" t="s">
        <v>795</v>
      </c>
      <c r="N162" s="258">
        <v>2080</v>
      </c>
      <c r="O162" s="259"/>
      <c r="P162" s="260" t="s">
        <v>795</v>
      </c>
      <c r="R162" s="182"/>
      <c r="S162" s="176"/>
      <c r="T162" s="177"/>
      <c r="V162" s="1578"/>
      <c r="W162" s="1579"/>
      <c r="X162" s="176"/>
      <c r="Y162" s="1579"/>
      <c r="Z162" s="1579"/>
      <c r="AA162" s="176"/>
      <c r="AB162" s="177"/>
      <c r="AD162" s="1549"/>
      <c r="AE162" s="261"/>
      <c r="AF162" s="271"/>
      <c r="AG162" s="271"/>
      <c r="AH162" s="184"/>
      <c r="AJ162" s="187"/>
      <c r="AK162" s="185"/>
      <c r="AL162" s="176"/>
      <c r="AM162" s="176"/>
      <c r="AN162" s="177"/>
      <c r="AP162" s="1552"/>
      <c r="AQ162" s="1555"/>
      <c r="AR162" s="1552"/>
      <c r="AS162" s="1555"/>
      <c r="AT162" s="1544"/>
      <c r="AU162" s="262" t="s">
        <v>701</v>
      </c>
      <c r="AV162" s="263">
        <v>4700</v>
      </c>
      <c r="AW162" s="264">
        <v>5200</v>
      </c>
      <c r="AX162" s="265">
        <v>3300</v>
      </c>
      <c r="AY162" s="266">
        <v>3300</v>
      </c>
      <c r="BA162" s="1545"/>
      <c r="BC162" s="359"/>
      <c r="BE162" s="187"/>
      <c r="BF162" s="176"/>
      <c r="BG162" s="176"/>
      <c r="BH162" s="177"/>
      <c r="BJ162" s="253"/>
      <c r="BL162" s="193"/>
      <c r="BM162" s="194"/>
      <c r="BN162" s="194"/>
      <c r="BO162" s="195"/>
      <c r="BQ162" s="187"/>
      <c r="BR162" s="185"/>
      <c r="BS162" s="185"/>
      <c r="BT162" s="254"/>
      <c r="BV162" s="187"/>
      <c r="BW162" s="185"/>
      <c r="BX162" s="185"/>
      <c r="BY162" s="185"/>
      <c r="BZ162" s="254"/>
      <c r="CB162" s="187"/>
      <c r="CC162" s="185"/>
      <c r="CD162" s="185"/>
      <c r="CE162" s="185"/>
      <c r="CF162" s="254"/>
      <c r="CH162" s="253"/>
    </row>
    <row r="163" spans="1:86" ht="63">
      <c r="A163" s="1563"/>
      <c r="B163" s="215" t="s">
        <v>326</v>
      </c>
      <c r="C163" s="216" t="s">
        <v>313</v>
      </c>
      <c r="D163" s="217" t="s">
        <v>314</v>
      </c>
      <c r="F163" s="218">
        <v>74670</v>
      </c>
      <c r="G163" s="219">
        <v>82260</v>
      </c>
      <c r="H163" s="218">
        <v>61890</v>
      </c>
      <c r="I163" s="219">
        <v>69480</v>
      </c>
      <c r="J163" s="179" t="s">
        <v>182</v>
      </c>
      <c r="K163" s="220">
        <v>720</v>
      </c>
      <c r="L163" s="221">
        <v>790</v>
      </c>
      <c r="M163" s="222" t="s">
        <v>795</v>
      </c>
      <c r="N163" s="220">
        <v>600</v>
      </c>
      <c r="O163" s="221">
        <v>670</v>
      </c>
      <c r="P163" s="222" t="s">
        <v>795</v>
      </c>
      <c r="Q163" s="160" t="s">
        <v>182</v>
      </c>
      <c r="R163" s="223">
        <v>7590</v>
      </c>
      <c r="S163" s="224">
        <v>70</v>
      </c>
      <c r="T163" s="225" t="s">
        <v>184</v>
      </c>
      <c r="V163" s="1578"/>
      <c r="W163" s="1579"/>
      <c r="X163" s="176"/>
      <c r="Y163" s="1579"/>
      <c r="Z163" s="1579"/>
      <c r="AA163" s="176"/>
      <c r="AB163" s="177"/>
      <c r="AC163" s="160" t="s">
        <v>182</v>
      </c>
      <c r="AD163" s="1546">
        <v>18750</v>
      </c>
      <c r="AE163" s="227"/>
      <c r="AF163" s="176" t="s">
        <v>182</v>
      </c>
      <c r="AG163" s="176">
        <v>110</v>
      </c>
      <c r="AH163" s="177" t="s">
        <v>184</v>
      </c>
      <c r="AJ163" s="187" t="s">
        <v>198</v>
      </c>
      <c r="AK163" s="185"/>
      <c r="AL163" s="176" t="s">
        <v>182</v>
      </c>
      <c r="AM163" s="176">
        <v>100</v>
      </c>
      <c r="AN163" s="177" t="s">
        <v>316</v>
      </c>
      <c r="AO163" s="160" t="s">
        <v>182</v>
      </c>
      <c r="AP163" s="1550">
        <v>4800</v>
      </c>
      <c r="AQ163" s="1553">
        <v>5300</v>
      </c>
      <c r="AR163" s="1550">
        <v>3300</v>
      </c>
      <c r="AS163" s="1553">
        <v>3300</v>
      </c>
      <c r="AT163" s="1544" t="s">
        <v>664</v>
      </c>
      <c r="AU163" s="230" t="s">
        <v>697</v>
      </c>
      <c r="AV163" s="231">
        <v>9800</v>
      </c>
      <c r="AW163" s="232">
        <v>10900</v>
      </c>
      <c r="AX163" s="267">
        <v>6800</v>
      </c>
      <c r="AY163" s="252">
        <v>6800</v>
      </c>
      <c r="BA163" s="235" t="s">
        <v>662</v>
      </c>
      <c r="BB163" s="160" t="s">
        <v>182</v>
      </c>
      <c r="BC163" s="1556">
        <v>4700</v>
      </c>
      <c r="BD163" s="160" t="s">
        <v>182</v>
      </c>
      <c r="BE163" s="228">
        <v>5450</v>
      </c>
      <c r="BF163" s="226" t="s">
        <v>182</v>
      </c>
      <c r="BG163" s="226">
        <v>50</v>
      </c>
      <c r="BH163" s="217" t="s">
        <v>184</v>
      </c>
      <c r="BJ163" s="253"/>
      <c r="BK163" s="160" t="s">
        <v>188</v>
      </c>
      <c r="BL163" s="237" t="s">
        <v>317</v>
      </c>
      <c r="BM163" s="238" t="s">
        <v>317</v>
      </c>
      <c r="BN163" s="238" t="s">
        <v>317</v>
      </c>
      <c r="BO163" s="239" t="s">
        <v>317</v>
      </c>
      <c r="BP163" s="160" t="s">
        <v>188</v>
      </c>
      <c r="BQ163" s="228"/>
      <c r="BR163" s="229"/>
      <c r="BS163" s="229"/>
      <c r="BT163" s="240"/>
      <c r="BU163" s="160" t="s">
        <v>188</v>
      </c>
      <c r="BV163" s="228"/>
      <c r="BW163" s="229"/>
      <c r="BX163" s="229"/>
      <c r="BY163" s="229"/>
      <c r="BZ163" s="240"/>
      <c r="CA163" s="160" t="s">
        <v>188</v>
      </c>
      <c r="CB163" s="228"/>
      <c r="CC163" s="229"/>
      <c r="CD163" s="229"/>
      <c r="CE163" s="229"/>
      <c r="CF163" s="240"/>
      <c r="CH163" s="236" t="s">
        <v>324</v>
      </c>
    </row>
    <row r="164" spans="1:86">
      <c r="A164" s="1563"/>
      <c r="B164" s="168"/>
      <c r="C164" s="241"/>
      <c r="D164" s="177" t="s">
        <v>318</v>
      </c>
      <c r="F164" s="242">
        <v>82260</v>
      </c>
      <c r="G164" s="243">
        <v>143680</v>
      </c>
      <c r="H164" s="242">
        <v>69480</v>
      </c>
      <c r="I164" s="243">
        <v>130900</v>
      </c>
      <c r="J164" s="179" t="s">
        <v>182</v>
      </c>
      <c r="K164" s="244">
        <v>790</v>
      </c>
      <c r="L164" s="245">
        <v>1320</v>
      </c>
      <c r="M164" s="246" t="s">
        <v>795</v>
      </c>
      <c r="N164" s="244">
        <v>670</v>
      </c>
      <c r="O164" s="245">
        <v>1190</v>
      </c>
      <c r="P164" s="246" t="s">
        <v>795</v>
      </c>
      <c r="Q164" s="160" t="s">
        <v>182</v>
      </c>
      <c r="R164" s="187">
        <v>7590</v>
      </c>
      <c r="S164" s="185">
        <v>70</v>
      </c>
      <c r="T164" s="247" t="s">
        <v>184</v>
      </c>
      <c r="V164" s="182"/>
      <c r="W164" s="185"/>
      <c r="X164" s="176"/>
      <c r="Y164" s="185"/>
      <c r="Z164" s="176"/>
      <c r="AA164" s="176"/>
      <c r="AB164" s="177"/>
      <c r="AD164" s="1547"/>
      <c r="AE164" s="248">
        <v>17020</v>
      </c>
      <c r="AF164" s="176"/>
      <c r="AG164" s="176"/>
      <c r="AH164" s="177"/>
      <c r="AJ164" s="187"/>
      <c r="AK164" s="185"/>
      <c r="AL164" s="176"/>
      <c r="AM164" s="176"/>
      <c r="AN164" s="177"/>
      <c r="AP164" s="1551"/>
      <c r="AQ164" s="1554"/>
      <c r="AR164" s="1551"/>
      <c r="AS164" s="1554"/>
      <c r="AT164" s="1544"/>
      <c r="AU164" s="172" t="s">
        <v>699</v>
      </c>
      <c r="AV164" s="249">
        <v>5400</v>
      </c>
      <c r="AW164" s="250">
        <v>6000</v>
      </c>
      <c r="AX164" s="267">
        <v>3700</v>
      </c>
      <c r="AY164" s="252">
        <v>3700</v>
      </c>
      <c r="BA164" s="235">
        <v>27330</v>
      </c>
      <c r="BC164" s="1557"/>
      <c r="BE164" s="187"/>
      <c r="BF164" s="176"/>
      <c r="BG164" s="176"/>
      <c r="BH164" s="177"/>
      <c r="BJ164" s="253"/>
      <c r="BL164" s="193"/>
      <c r="BM164" s="194"/>
      <c r="BN164" s="194"/>
      <c r="BO164" s="195"/>
      <c r="BQ164" s="187">
        <v>3180</v>
      </c>
      <c r="BR164" s="185" t="s">
        <v>189</v>
      </c>
      <c r="BS164" s="185">
        <v>30</v>
      </c>
      <c r="BT164" s="254" t="s">
        <v>184</v>
      </c>
      <c r="BV164" s="187">
        <v>11390</v>
      </c>
      <c r="BW164" s="185" t="s">
        <v>189</v>
      </c>
      <c r="BX164" s="185">
        <v>110</v>
      </c>
      <c r="BY164" s="185" t="s">
        <v>184</v>
      </c>
      <c r="BZ164" s="254" t="s">
        <v>190</v>
      </c>
      <c r="CB164" s="187">
        <v>7350</v>
      </c>
      <c r="CC164" s="185" t="s">
        <v>189</v>
      </c>
      <c r="CD164" s="185">
        <v>70</v>
      </c>
      <c r="CE164" s="185" t="s">
        <v>184</v>
      </c>
      <c r="CF164" s="254" t="s">
        <v>190</v>
      </c>
      <c r="CH164" s="253"/>
    </row>
    <row r="165" spans="1:86">
      <c r="A165" s="1563"/>
      <c r="B165" s="168"/>
      <c r="C165" s="241" t="s">
        <v>319</v>
      </c>
      <c r="D165" s="177" t="s">
        <v>320</v>
      </c>
      <c r="F165" s="242">
        <v>143680</v>
      </c>
      <c r="G165" s="243">
        <v>219620</v>
      </c>
      <c r="H165" s="242">
        <v>130900</v>
      </c>
      <c r="I165" s="243">
        <v>206840</v>
      </c>
      <c r="J165" s="179" t="s">
        <v>182</v>
      </c>
      <c r="K165" s="244">
        <v>1320</v>
      </c>
      <c r="L165" s="245">
        <v>2080</v>
      </c>
      <c r="M165" s="246" t="s">
        <v>795</v>
      </c>
      <c r="N165" s="244">
        <v>1190</v>
      </c>
      <c r="O165" s="245">
        <v>1950</v>
      </c>
      <c r="P165" s="246" t="s">
        <v>795</v>
      </c>
      <c r="R165" s="182"/>
      <c r="S165" s="176"/>
      <c r="T165" s="177"/>
      <c r="V165" s="182"/>
      <c r="W165" s="185"/>
      <c r="X165" s="176"/>
      <c r="Y165" s="185"/>
      <c r="Z165" s="176"/>
      <c r="AA165" s="176"/>
      <c r="AB165" s="177"/>
      <c r="AC165" s="160" t="s">
        <v>182</v>
      </c>
      <c r="AD165" s="1548">
        <v>17020</v>
      </c>
      <c r="AE165" s="255"/>
      <c r="AF165" s="176"/>
      <c r="AG165" s="176">
        <v>0</v>
      </c>
      <c r="AH165" s="177"/>
      <c r="AJ165" s="187">
        <v>10420</v>
      </c>
      <c r="AK165" s="185" t="s">
        <v>321</v>
      </c>
      <c r="AL165" s="176"/>
      <c r="AM165" s="176"/>
      <c r="AN165" s="177"/>
      <c r="AP165" s="1551"/>
      <c r="AQ165" s="1554"/>
      <c r="AR165" s="1551"/>
      <c r="AS165" s="1554"/>
      <c r="AT165" s="1544"/>
      <c r="AU165" s="172" t="s">
        <v>700</v>
      </c>
      <c r="AV165" s="249">
        <v>4700</v>
      </c>
      <c r="AW165" s="250">
        <v>5200</v>
      </c>
      <c r="AX165" s="267">
        <v>3300</v>
      </c>
      <c r="AY165" s="252">
        <v>3300</v>
      </c>
      <c r="BA165" s="277"/>
      <c r="BC165" s="359"/>
      <c r="BE165" s="187"/>
      <c r="BF165" s="176"/>
      <c r="BG165" s="176"/>
      <c r="BH165" s="177"/>
      <c r="BJ165" s="253"/>
      <c r="BL165" s="193">
        <v>0.01</v>
      </c>
      <c r="BM165" s="194">
        <v>0.03</v>
      </c>
      <c r="BN165" s="194">
        <v>0.04</v>
      </c>
      <c r="BO165" s="195">
        <v>0.05</v>
      </c>
      <c r="BQ165" s="187"/>
      <c r="BR165" s="185"/>
      <c r="BS165" s="185"/>
      <c r="BT165" s="254"/>
      <c r="BV165" s="187"/>
      <c r="BW165" s="185"/>
      <c r="BX165" s="185"/>
      <c r="BY165" s="185"/>
      <c r="BZ165" s="254"/>
      <c r="CB165" s="187"/>
      <c r="CC165" s="185"/>
      <c r="CD165" s="185"/>
      <c r="CE165" s="185"/>
      <c r="CF165" s="254"/>
      <c r="CH165" s="253">
        <v>0.96</v>
      </c>
    </row>
    <row r="166" spans="1:86">
      <c r="A166" s="1563"/>
      <c r="B166" s="269"/>
      <c r="C166" s="270"/>
      <c r="D166" s="184" t="s">
        <v>322</v>
      </c>
      <c r="F166" s="256">
        <v>219620</v>
      </c>
      <c r="G166" s="257"/>
      <c r="H166" s="256">
        <v>206840</v>
      </c>
      <c r="I166" s="257"/>
      <c r="J166" s="179" t="s">
        <v>182</v>
      </c>
      <c r="K166" s="258">
        <v>2080</v>
      </c>
      <c r="L166" s="259"/>
      <c r="M166" s="260" t="s">
        <v>795</v>
      </c>
      <c r="N166" s="258">
        <v>1950</v>
      </c>
      <c r="O166" s="259"/>
      <c r="P166" s="260" t="s">
        <v>795</v>
      </c>
      <c r="R166" s="183"/>
      <c r="S166" s="271"/>
      <c r="T166" s="184"/>
      <c r="V166" s="280"/>
      <c r="W166" s="279" t="s">
        <v>703</v>
      </c>
      <c r="X166" s="176"/>
      <c r="Y166" s="279" t="s">
        <v>703</v>
      </c>
      <c r="Z166" s="279"/>
      <c r="AA166" s="176"/>
      <c r="AB166" s="177"/>
      <c r="AD166" s="1549"/>
      <c r="AE166" s="261"/>
      <c r="AF166" s="176"/>
      <c r="AG166" s="176"/>
      <c r="AH166" s="177"/>
      <c r="AJ166" s="187"/>
      <c r="AK166" s="185"/>
      <c r="AL166" s="176"/>
      <c r="AM166" s="176"/>
      <c r="AN166" s="177"/>
      <c r="AP166" s="1552"/>
      <c r="AQ166" s="1555"/>
      <c r="AR166" s="1552"/>
      <c r="AS166" s="1555"/>
      <c r="AT166" s="1544"/>
      <c r="AU166" s="262" t="s">
        <v>701</v>
      </c>
      <c r="AV166" s="263">
        <v>4200</v>
      </c>
      <c r="AW166" s="264">
        <v>4600</v>
      </c>
      <c r="AX166" s="265">
        <v>2900</v>
      </c>
      <c r="AY166" s="266">
        <v>2900</v>
      </c>
      <c r="BA166" s="235" t="s">
        <v>665</v>
      </c>
      <c r="BC166" s="359"/>
      <c r="BE166" s="186"/>
      <c r="BF166" s="271"/>
      <c r="BG166" s="271"/>
      <c r="BH166" s="184"/>
      <c r="BJ166" s="253"/>
      <c r="BL166" s="272"/>
      <c r="BM166" s="273"/>
      <c r="BN166" s="273"/>
      <c r="BO166" s="274"/>
      <c r="BQ166" s="186"/>
      <c r="BR166" s="196"/>
      <c r="BS166" s="196"/>
      <c r="BT166" s="197"/>
      <c r="BV166" s="186"/>
      <c r="BW166" s="196"/>
      <c r="BX166" s="196"/>
      <c r="BY166" s="196"/>
      <c r="BZ166" s="197"/>
      <c r="CB166" s="186"/>
      <c r="CC166" s="196"/>
      <c r="CD166" s="196"/>
      <c r="CE166" s="196"/>
      <c r="CF166" s="197"/>
      <c r="CH166" s="198"/>
    </row>
    <row r="167" spans="1:86" ht="63">
      <c r="A167" s="1563"/>
      <c r="B167" s="168" t="s">
        <v>327</v>
      </c>
      <c r="C167" s="241" t="s">
        <v>313</v>
      </c>
      <c r="D167" s="177" t="s">
        <v>314</v>
      </c>
      <c r="F167" s="218">
        <v>69460</v>
      </c>
      <c r="G167" s="219">
        <v>77050</v>
      </c>
      <c r="H167" s="218">
        <v>59230</v>
      </c>
      <c r="I167" s="219">
        <v>66820</v>
      </c>
      <c r="J167" s="179" t="s">
        <v>182</v>
      </c>
      <c r="K167" s="220">
        <v>670</v>
      </c>
      <c r="L167" s="221">
        <v>740</v>
      </c>
      <c r="M167" s="222" t="s">
        <v>795</v>
      </c>
      <c r="N167" s="220">
        <v>570</v>
      </c>
      <c r="O167" s="221">
        <v>640</v>
      </c>
      <c r="P167" s="222" t="s">
        <v>795</v>
      </c>
      <c r="Q167" s="160" t="s">
        <v>182</v>
      </c>
      <c r="R167" s="275">
        <v>7590</v>
      </c>
      <c r="S167" s="276">
        <v>70</v>
      </c>
      <c r="T167" s="247" t="s">
        <v>184</v>
      </c>
      <c r="V167" s="187"/>
      <c r="W167" s="185">
        <v>256800</v>
      </c>
      <c r="X167" s="176"/>
      <c r="Y167" s="185">
        <v>2560</v>
      </c>
      <c r="Z167" s="176" t="s">
        <v>184</v>
      </c>
      <c r="AA167" s="176"/>
      <c r="AB167" s="177"/>
      <c r="AC167" s="160" t="s">
        <v>182</v>
      </c>
      <c r="AD167" s="1546">
        <v>16380</v>
      </c>
      <c r="AE167" s="227"/>
      <c r="AF167" s="226" t="s">
        <v>182</v>
      </c>
      <c r="AG167" s="226">
        <v>90</v>
      </c>
      <c r="AH167" s="217" t="s">
        <v>184</v>
      </c>
      <c r="AJ167" s="187" t="s">
        <v>201</v>
      </c>
      <c r="AK167" s="185"/>
      <c r="AL167" s="176" t="s">
        <v>182</v>
      </c>
      <c r="AM167" s="176">
        <v>70</v>
      </c>
      <c r="AN167" s="177" t="s">
        <v>316</v>
      </c>
      <c r="AO167" s="160" t="s">
        <v>182</v>
      </c>
      <c r="AP167" s="1550">
        <v>4300</v>
      </c>
      <c r="AQ167" s="1553">
        <v>4800</v>
      </c>
      <c r="AR167" s="1550">
        <v>3000</v>
      </c>
      <c r="AS167" s="1553">
        <v>3000</v>
      </c>
      <c r="AT167" s="1544" t="s">
        <v>664</v>
      </c>
      <c r="AU167" s="230" t="s">
        <v>697</v>
      </c>
      <c r="AV167" s="231">
        <v>8800</v>
      </c>
      <c r="AW167" s="232">
        <v>9800</v>
      </c>
      <c r="AX167" s="267">
        <v>6100</v>
      </c>
      <c r="AY167" s="252">
        <v>6100</v>
      </c>
      <c r="BA167" s="235">
        <v>16800</v>
      </c>
      <c r="BB167" s="160" t="s">
        <v>182</v>
      </c>
      <c r="BC167" s="1556">
        <v>4700</v>
      </c>
      <c r="BD167" s="160" t="s">
        <v>182</v>
      </c>
      <c r="BE167" s="187">
        <v>4350</v>
      </c>
      <c r="BF167" s="176" t="s">
        <v>182</v>
      </c>
      <c r="BG167" s="176">
        <v>40</v>
      </c>
      <c r="BH167" s="177" t="s">
        <v>184</v>
      </c>
      <c r="BJ167" s="253"/>
      <c r="BK167" s="160" t="s">
        <v>188</v>
      </c>
      <c r="BL167" s="193" t="s">
        <v>317</v>
      </c>
      <c r="BM167" s="194" t="s">
        <v>317</v>
      </c>
      <c r="BN167" s="194" t="s">
        <v>317</v>
      </c>
      <c r="BO167" s="195" t="s">
        <v>317</v>
      </c>
      <c r="BP167" s="160" t="s">
        <v>188</v>
      </c>
      <c r="BQ167" s="187"/>
      <c r="BR167" s="185"/>
      <c r="BS167" s="185"/>
      <c r="BT167" s="254"/>
      <c r="BU167" s="160" t="s">
        <v>188</v>
      </c>
      <c r="BV167" s="187"/>
      <c r="BW167" s="185"/>
      <c r="BX167" s="185"/>
      <c r="BY167" s="185"/>
      <c r="BZ167" s="254"/>
      <c r="CA167" s="160" t="s">
        <v>188</v>
      </c>
      <c r="CB167" s="187"/>
      <c r="CC167" s="185"/>
      <c r="CD167" s="185"/>
      <c r="CE167" s="185"/>
      <c r="CF167" s="254"/>
      <c r="CH167" s="253" t="s">
        <v>324</v>
      </c>
    </row>
    <row r="168" spans="1:86">
      <c r="A168" s="1563"/>
      <c r="B168" s="168"/>
      <c r="C168" s="241"/>
      <c r="D168" s="177" t="s">
        <v>318</v>
      </c>
      <c r="F168" s="242">
        <v>77050</v>
      </c>
      <c r="G168" s="243">
        <v>138470</v>
      </c>
      <c r="H168" s="242">
        <v>66820</v>
      </c>
      <c r="I168" s="243">
        <v>128240</v>
      </c>
      <c r="J168" s="179" t="s">
        <v>182</v>
      </c>
      <c r="K168" s="244">
        <v>740</v>
      </c>
      <c r="L168" s="245">
        <v>1260</v>
      </c>
      <c r="M168" s="246" t="s">
        <v>795</v>
      </c>
      <c r="N168" s="244">
        <v>640</v>
      </c>
      <c r="O168" s="245">
        <v>1160</v>
      </c>
      <c r="P168" s="246" t="s">
        <v>795</v>
      </c>
      <c r="Q168" s="160" t="s">
        <v>182</v>
      </c>
      <c r="R168" s="187">
        <v>7590</v>
      </c>
      <c r="S168" s="185">
        <v>70</v>
      </c>
      <c r="T168" s="247" t="s">
        <v>184</v>
      </c>
      <c r="V168" s="187"/>
      <c r="W168" s="185"/>
      <c r="X168" s="176"/>
      <c r="Y168" s="185"/>
      <c r="Z168" s="176"/>
      <c r="AA168" s="176"/>
      <c r="AB168" s="177"/>
      <c r="AD168" s="1547"/>
      <c r="AE168" s="248">
        <v>14660</v>
      </c>
      <c r="AF168" s="176"/>
      <c r="AG168" s="176"/>
      <c r="AH168" s="177"/>
      <c r="AJ168" s="187"/>
      <c r="AK168" s="185"/>
      <c r="AL168" s="176"/>
      <c r="AM168" s="176"/>
      <c r="AN168" s="177"/>
      <c r="AP168" s="1551"/>
      <c r="AQ168" s="1554"/>
      <c r="AR168" s="1551"/>
      <c r="AS168" s="1554"/>
      <c r="AT168" s="1544"/>
      <c r="AU168" s="172" t="s">
        <v>699</v>
      </c>
      <c r="AV168" s="249">
        <v>4800</v>
      </c>
      <c r="AW168" s="250">
        <v>5400</v>
      </c>
      <c r="AX168" s="267">
        <v>3400</v>
      </c>
      <c r="AY168" s="252">
        <v>3400</v>
      </c>
      <c r="BA168" s="277"/>
      <c r="BC168" s="1557"/>
      <c r="BE168" s="187"/>
      <c r="BF168" s="176"/>
      <c r="BG168" s="176"/>
      <c r="BH168" s="177"/>
      <c r="BJ168" s="253"/>
      <c r="BL168" s="193"/>
      <c r="BM168" s="194"/>
      <c r="BN168" s="194"/>
      <c r="BO168" s="195"/>
      <c r="BQ168" s="187">
        <v>2540</v>
      </c>
      <c r="BR168" s="185" t="s">
        <v>189</v>
      </c>
      <c r="BS168" s="185">
        <v>20</v>
      </c>
      <c r="BT168" s="254" t="s">
        <v>184</v>
      </c>
      <c r="BV168" s="187">
        <v>9110</v>
      </c>
      <c r="BW168" s="185" t="s">
        <v>189</v>
      </c>
      <c r="BX168" s="185">
        <v>90</v>
      </c>
      <c r="BY168" s="185" t="s">
        <v>184</v>
      </c>
      <c r="BZ168" s="254" t="s">
        <v>190</v>
      </c>
      <c r="CB168" s="187">
        <v>5880</v>
      </c>
      <c r="CC168" s="185" t="s">
        <v>189</v>
      </c>
      <c r="CD168" s="185">
        <v>50</v>
      </c>
      <c r="CE168" s="185" t="s">
        <v>184</v>
      </c>
      <c r="CF168" s="254" t="s">
        <v>190</v>
      </c>
      <c r="CH168" s="253"/>
    </row>
    <row r="169" spans="1:86">
      <c r="A169" s="1563"/>
      <c r="B169" s="168"/>
      <c r="C169" s="241" t="s">
        <v>319</v>
      </c>
      <c r="D169" s="177" t="s">
        <v>320</v>
      </c>
      <c r="F169" s="242">
        <v>138470</v>
      </c>
      <c r="G169" s="243">
        <v>214410</v>
      </c>
      <c r="H169" s="242">
        <v>128240</v>
      </c>
      <c r="I169" s="243">
        <v>204180</v>
      </c>
      <c r="J169" s="179" t="s">
        <v>182</v>
      </c>
      <c r="K169" s="244">
        <v>1260</v>
      </c>
      <c r="L169" s="245">
        <v>2020</v>
      </c>
      <c r="M169" s="246" t="s">
        <v>795</v>
      </c>
      <c r="N169" s="244">
        <v>1160</v>
      </c>
      <c r="O169" s="245">
        <v>1920</v>
      </c>
      <c r="P169" s="246" t="s">
        <v>795</v>
      </c>
      <c r="R169" s="182"/>
      <c r="S169" s="176"/>
      <c r="T169" s="177"/>
      <c r="V169" s="280"/>
      <c r="W169" s="279" t="s">
        <v>704</v>
      </c>
      <c r="X169" s="176"/>
      <c r="Y169" s="185" t="s">
        <v>704</v>
      </c>
      <c r="Z169" s="176"/>
      <c r="AA169" s="176"/>
      <c r="AB169" s="177"/>
      <c r="AC169" s="160" t="s">
        <v>182</v>
      </c>
      <c r="AD169" s="1548">
        <v>14660</v>
      </c>
      <c r="AE169" s="255"/>
      <c r="AF169" s="176"/>
      <c r="AG169" s="176">
        <v>0</v>
      </c>
      <c r="AH169" s="177"/>
      <c r="AJ169" s="187">
        <v>7810</v>
      </c>
      <c r="AK169" s="185" t="s">
        <v>321</v>
      </c>
      <c r="AL169" s="176"/>
      <c r="AM169" s="176"/>
      <c r="AN169" s="177"/>
      <c r="AP169" s="1551"/>
      <c r="AQ169" s="1554"/>
      <c r="AR169" s="1551"/>
      <c r="AS169" s="1554"/>
      <c r="AT169" s="1544"/>
      <c r="AU169" s="172" t="s">
        <v>700</v>
      </c>
      <c r="AV169" s="249">
        <v>4200</v>
      </c>
      <c r="AW169" s="250">
        <v>4700</v>
      </c>
      <c r="AX169" s="267">
        <v>2900</v>
      </c>
      <c r="AY169" s="252">
        <v>2900</v>
      </c>
      <c r="BA169" s="235" t="s">
        <v>666</v>
      </c>
      <c r="BC169" s="358"/>
      <c r="BE169" s="187"/>
      <c r="BF169" s="176"/>
      <c r="BG169" s="176"/>
      <c r="BH169" s="177"/>
      <c r="BJ169" s="253"/>
      <c r="BL169" s="193">
        <v>0.01</v>
      </c>
      <c r="BM169" s="194">
        <v>0.03</v>
      </c>
      <c r="BN169" s="194">
        <v>0.04</v>
      </c>
      <c r="BO169" s="195">
        <v>0.05</v>
      </c>
      <c r="BQ169" s="187"/>
      <c r="BR169" s="185"/>
      <c r="BS169" s="185"/>
      <c r="BT169" s="254"/>
      <c r="BV169" s="187"/>
      <c r="BW169" s="185"/>
      <c r="BX169" s="185"/>
      <c r="BY169" s="185"/>
      <c r="BZ169" s="254"/>
      <c r="CB169" s="187"/>
      <c r="CC169" s="185"/>
      <c r="CD169" s="185"/>
      <c r="CE169" s="185"/>
      <c r="CF169" s="254"/>
      <c r="CH169" s="253">
        <v>0.92</v>
      </c>
    </row>
    <row r="170" spans="1:86">
      <c r="A170" s="1563"/>
      <c r="B170" s="168"/>
      <c r="C170" s="241"/>
      <c r="D170" s="177" t="s">
        <v>322</v>
      </c>
      <c r="F170" s="256">
        <v>214410</v>
      </c>
      <c r="G170" s="257"/>
      <c r="H170" s="256">
        <v>204180</v>
      </c>
      <c r="I170" s="257"/>
      <c r="J170" s="179" t="s">
        <v>182</v>
      </c>
      <c r="K170" s="258">
        <v>2020</v>
      </c>
      <c r="L170" s="259"/>
      <c r="M170" s="260" t="s">
        <v>795</v>
      </c>
      <c r="N170" s="258">
        <v>1920</v>
      </c>
      <c r="O170" s="259"/>
      <c r="P170" s="260" t="s">
        <v>795</v>
      </c>
      <c r="R170" s="182"/>
      <c r="S170" s="176"/>
      <c r="T170" s="177"/>
      <c r="V170" s="187"/>
      <c r="W170" s="185">
        <v>275100</v>
      </c>
      <c r="X170" s="176"/>
      <c r="Y170" s="185">
        <v>2750</v>
      </c>
      <c r="Z170" s="176" t="s">
        <v>184</v>
      </c>
      <c r="AA170" s="176"/>
      <c r="AB170" s="177"/>
      <c r="AD170" s="1549"/>
      <c r="AE170" s="261"/>
      <c r="AF170" s="271"/>
      <c r="AG170" s="271"/>
      <c r="AH170" s="184"/>
      <c r="AJ170" s="187"/>
      <c r="AK170" s="185"/>
      <c r="AL170" s="176"/>
      <c r="AM170" s="176"/>
      <c r="AN170" s="177"/>
      <c r="AP170" s="1552"/>
      <c r="AQ170" s="1555"/>
      <c r="AR170" s="1552"/>
      <c r="AS170" s="1555"/>
      <c r="AT170" s="1544"/>
      <c r="AU170" s="262" t="s">
        <v>701</v>
      </c>
      <c r="AV170" s="263">
        <v>3800</v>
      </c>
      <c r="AW170" s="264">
        <v>4200</v>
      </c>
      <c r="AX170" s="265">
        <v>2600</v>
      </c>
      <c r="AY170" s="266">
        <v>2600</v>
      </c>
      <c r="BA170" s="235">
        <v>12280</v>
      </c>
      <c r="BC170" s="359"/>
      <c r="BE170" s="187"/>
      <c r="BF170" s="176"/>
      <c r="BG170" s="176"/>
      <c r="BH170" s="177"/>
      <c r="BJ170" s="253"/>
      <c r="BL170" s="193"/>
      <c r="BM170" s="194"/>
      <c r="BN170" s="194"/>
      <c r="BO170" s="195"/>
      <c r="BQ170" s="187"/>
      <c r="BR170" s="185"/>
      <c r="BS170" s="185"/>
      <c r="BT170" s="254"/>
      <c r="BV170" s="187"/>
      <c r="BW170" s="185"/>
      <c r="BX170" s="185"/>
      <c r="BY170" s="185"/>
      <c r="BZ170" s="254"/>
      <c r="CB170" s="187"/>
      <c r="CC170" s="185"/>
      <c r="CD170" s="185"/>
      <c r="CE170" s="185"/>
      <c r="CF170" s="254"/>
      <c r="CH170" s="253"/>
    </row>
    <row r="171" spans="1:86" ht="63">
      <c r="A171" s="1563"/>
      <c r="B171" s="215" t="s">
        <v>328</v>
      </c>
      <c r="C171" s="216" t="s">
        <v>313</v>
      </c>
      <c r="D171" s="217" t="s">
        <v>314</v>
      </c>
      <c r="F171" s="218">
        <v>60750</v>
      </c>
      <c r="G171" s="219">
        <v>68340</v>
      </c>
      <c r="H171" s="218">
        <v>52230</v>
      </c>
      <c r="I171" s="219">
        <v>59820</v>
      </c>
      <c r="J171" s="179" t="s">
        <v>182</v>
      </c>
      <c r="K171" s="220">
        <v>580</v>
      </c>
      <c r="L171" s="221">
        <v>650</v>
      </c>
      <c r="M171" s="222" t="s">
        <v>795</v>
      </c>
      <c r="N171" s="220">
        <v>500</v>
      </c>
      <c r="O171" s="221">
        <v>570</v>
      </c>
      <c r="P171" s="222" t="s">
        <v>795</v>
      </c>
      <c r="Q171" s="160" t="s">
        <v>182</v>
      </c>
      <c r="R171" s="223">
        <v>7590</v>
      </c>
      <c r="S171" s="224">
        <v>70</v>
      </c>
      <c r="T171" s="225" t="s">
        <v>184</v>
      </c>
      <c r="V171" s="187"/>
      <c r="W171" s="185"/>
      <c r="X171" s="176"/>
      <c r="Y171" s="185"/>
      <c r="Z171" s="176"/>
      <c r="AA171" s="176"/>
      <c r="AB171" s="177"/>
      <c r="AC171" s="160" t="s">
        <v>182</v>
      </c>
      <c r="AD171" s="1546">
        <v>14800</v>
      </c>
      <c r="AE171" s="227"/>
      <c r="AF171" s="176" t="s">
        <v>182</v>
      </c>
      <c r="AG171" s="176">
        <v>70</v>
      </c>
      <c r="AH171" s="177" t="s">
        <v>184</v>
      </c>
      <c r="AJ171" s="187" t="s">
        <v>203</v>
      </c>
      <c r="AK171" s="185"/>
      <c r="AL171" s="176" t="s">
        <v>182</v>
      </c>
      <c r="AM171" s="176">
        <v>60</v>
      </c>
      <c r="AN171" s="177" t="s">
        <v>316</v>
      </c>
      <c r="AO171" s="160" t="s">
        <v>182</v>
      </c>
      <c r="AP171" s="1550">
        <v>3600</v>
      </c>
      <c r="AQ171" s="1553">
        <v>4000</v>
      </c>
      <c r="AR171" s="1550">
        <v>2500</v>
      </c>
      <c r="AS171" s="1553">
        <v>2500</v>
      </c>
      <c r="AT171" s="1544" t="s">
        <v>664</v>
      </c>
      <c r="AU171" s="230" t="s">
        <v>697</v>
      </c>
      <c r="AV171" s="231">
        <v>7200</v>
      </c>
      <c r="AW171" s="232">
        <v>8100</v>
      </c>
      <c r="AX171" s="267">
        <v>5100</v>
      </c>
      <c r="AY171" s="252">
        <v>5100</v>
      </c>
      <c r="BA171" s="277"/>
      <c r="BB171" s="160" t="s">
        <v>182</v>
      </c>
      <c r="BC171" s="1556">
        <v>4700</v>
      </c>
      <c r="BD171" s="160" t="s">
        <v>182</v>
      </c>
      <c r="BE171" s="228">
        <v>3630</v>
      </c>
      <c r="BF171" s="226" t="s">
        <v>182</v>
      </c>
      <c r="BG171" s="226">
        <v>30</v>
      </c>
      <c r="BH171" s="217" t="s">
        <v>184</v>
      </c>
      <c r="BJ171" s="253"/>
      <c r="BK171" s="160" t="s">
        <v>188</v>
      </c>
      <c r="BL171" s="237" t="s">
        <v>317</v>
      </c>
      <c r="BM171" s="238" t="s">
        <v>317</v>
      </c>
      <c r="BN171" s="238" t="s">
        <v>317</v>
      </c>
      <c r="BO171" s="239" t="s">
        <v>317</v>
      </c>
      <c r="BP171" s="160" t="s">
        <v>188</v>
      </c>
      <c r="BQ171" s="228"/>
      <c r="BR171" s="229"/>
      <c r="BS171" s="229"/>
      <c r="BT171" s="240"/>
      <c r="BU171" s="160" t="s">
        <v>188</v>
      </c>
      <c r="BV171" s="228"/>
      <c r="BW171" s="229"/>
      <c r="BX171" s="229"/>
      <c r="BY171" s="229"/>
      <c r="BZ171" s="240"/>
      <c r="CA171" s="160" t="s">
        <v>188</v>
      </c>
      <c r="CB171" s="228"/>
      <c r="CC171" s="229"/>
      <c r="CD171" s="229"/>
      <c r="CE171" s="229"/>
      <c r="CF171" s="240"/>
      <c r="CH171" s="236" t="s">
        <v>324</v>
      </c>
    </row>
    <row r="172" spans="1:86">
      <c r="A172" s="1563"/>
      <c r="B172" s="168"/>
      <c r="C172" s="241"/>
      <c r="D172" s="177" t="s">
        <v>318</v>
      </c>
      <c r="F172" s="242">
        <v>68340</v>
      </c>
      <c r="G172" s="243">
        <v>129760</v>
      </c>
      <c r="H172" s="242">
        <v>59820</v>
      </c>
      <c r="I172" s="243">
        <v>121240</v>
      </c>
      <c r="J172" s="179" t="s">
        <v>182</v>
      </c>
      <c r="K172" s="244">
        <v>650</v>
      </c>
      <c r="L172" s="245">
        <v>1180</v>
      </c>
      <c r="M172" s="246" t="s">
        <v>795</v>
      </c>
      <c r="N172" s="244">
        <v>570</v>
      </c>
      <c r="O172" s="245">
        <v>1090</v>
      </c>
      <c r="P172" s="246" t="s">
        <v>795</v>
      </c>
      <c r="Q172" s="160" t="s">
        <v>182</v>
      </c>
      <c r="R172" s="187">
        <v>7590</v>
      </c>
      <c r="S172" s="185">
        <v>70</v>
      </c>
      <c r="T172" s="247" t="s">
        <v>184</v>
      </c>
      <c r="V172" s="280"/>
      <c r="W172" s="279" t="s">
        <v>705</v>
      </c>
      <c r="X172" s="176"/>
      <c r="Y172" s="279" t="s">
        <v>705</v>
      </c>
      <c r="Z172" s="279"/>
      <c r="AA172" s="176"/>
      <c r="AB172" s="177"/>
      <c r="AD172" s="1547"/>
      <c r="AE172" s="248">
        <v>13080</v>
      </c>
      <c r="AF172" s="176"/>
      <c r="AG172" s="176"/>
      <c r="AH172" s="177"/>
      <c r="AJ172" s="187"/>
      <c r="AK172" s="185"/>
      <c r="AL172" s="176"/>
      <c r="AM172" s="176"/>
      <c r="AN172" s="177"/>
      <c r="AP172" s="1551"/>
      <c r="AQ172" s="1554"/>
      <c r="AR172" s="1551"/>
      <c r="AS172" s="1554"/>
      <c r="AT172" s="1544"/>
      <c r="AU172" s="172" t="s">
        <v>699</v>
      </c>
      <c r="AV172" s="249">
        <v>4000</v>
      </c>
      <c r="AW172" s="250">
        <v>4400</v>
      </c>
      <c r="AX172" s="267">
        <v>2800</v>
      </c>
      <c r="AY172" s="252">
        <v>2800</v>
      </c>
      <c r="BA172" s="235" t="s">
        <v>667</v>
      </c>
      <c r="BC172" s="1557"/>
      <c r="BE172" s="187"/>
      <c r="BF172" s="176"/>
      <c r="BG172" s="176"/>
      <c r="BH172" s="177"/>
      <c r="BJ172" s="253"/>
      <c r="BL172" s="193"/>
      <c r="BM172" s="194"/>
      <c r="BN172" s="194"/>
      <c r="BO172" s="195"/>
      <c r="BQ172" s="187">
        <v>2120</v>
      </c>
      <c r="BR172" s="185" t="s">
        <v>189</v>
      </c>
      <c r="BS172" s="185">
        <v>20</v>
      </c>
      <c r="BT172" s="254" t="s">
        <v>184</v>
      </c>
      <c r="BV172" s="187">
        <v>7590</v>
      </c>
      <c r="BW172" s="185" t="s">
        <v>189</v>
      </c>
      <c r="BX172" s="185">
        <v>70</v>
      </c>
      <c r="BY172" s="185" t="s">
        <v>184</v>
      </c>
      <c r="BZ172" s="254" t="s">
        <v>190</v>
      </c>
      <c r="CB172" s="187">
        <v>4900</v>
      </c>
      <c r="CC172" s="185" t="s">
        <v>189</v>
      </c>
      <c r="CD172" s="185">
        <v>40</v>
      </c>
      <c r="CE172" s="185" t="s">
        <v>184</v>
      </c>
      <c r="CF172" s="254" t="s">
        <v>190</v>
      </c>
      <c r="CH172" s="253"/>
    </row>
    <row r="173" spans="1:86">
      <c r="A173" s="1563"/>
      <c r="B173" s="168"/>
      <c r="C173" s="241" t="s">
        <v>319</v>
      </c>
      <c r="D173" s="177" t="s">
        <v>320</v>
      </c>
      <c r="F173" s="242">
        <v>129760</v>
      </c>
      <c r="G173" s="243">
        <v>205700</v>
      </c>
      <c r="H173" s="242">
        <v>121240</v>
      </c>
      <c r="I173" s="243">
        <v>197180</v>
      </c>
      <c r="J173" s="179" t="s">
        <v>182</v>
      </c>
      <c r="K173" s="244">
        <v>1180</v>
      </c>
      <c r="L173" s="245">
        <v>1940</v>
      </c>
      <c r="M173" s="246" t="s">
        <v>795</v>
      </c>
      <c r="N173" s="244">
        <v>1090</v>
      </c>
      <c r="O173" s="245">
        <v>1850</v>
      </c>
      <c r="P173" s="246" t="s">
        <v>795</v>
      </c>
      <c r="R173" s="182"/>
      <c r="S173" s="176"/>
      <c r="T173" s="177"/>
      <c r="V173" s="187"/>
      <c r="W173" s="185">
        <v>311900</v>
      </c>
      <c r="X173" s="176"/>
      <c r="Y173" s="185">
        <v>3110</v>
      </c>
      <c r="Z173" s="176" t="s">
        <v>184</v>
      </c>
      <c r="AA173" s="176"/>
      <c r="AB173" s="177"/>
      <c r="AC173" s="160" t="s">
        <v>182</v>
      </c>
      <c r="AD173" s="1548">
        <v>13080</v>
      </c>
      <c r="AE173" s="255"/>
      <c r="AF173" s="176"/>
      <c r="AG173" s="176">
        <v>0</v>
      </c>
      <c r="AH173" s="177"/>
      <c r="AJ173" s="187">
        <v>6250</v>
      </c>
      <c r="AK173" s="185" t="s">
        <v>321</v>
      </c>
      <c r="AL173" s="176"/>
      <c r="AM173" s="176"/>
      <c r="AN173" s="177"/>
      <c r="AP173" s="1551"/>
      <c r="AQ173" s="1554"/>
      <c r="AR173" s="1551"/>
      <c r="AS173" s="1554"/>
      <c r="AT173" s="1544"/>
      <c r="AU173" s="172" t="s">
        <v>700</v>
      </c>
      <c r="AV173" s="249">
        <v>3500</v>
      </c>
      <c r="AW173" s="250">
        <v>3800</v>
      </c>
      <c r="AX173" s="267">
        <v>2400</v>
      </c>
      <c r="AY173" s="252">
        <v>2400</v>
      </c>
      <c r="BA173" s="235">
        <v>9770</v>
      </c>
      <c r="BC173" s="359"/>
      <c r="BE173" s="187"/>
      <c r="BF173" s="176"/>
      <c r="BG173" s="176"/>
      <c r="BH173" s="177"/>
      <c r="BJ173" s="253"/>
      <c r="BL173" s="193">
        <v>0.01</v>
      </c>
      <c r="BM173" s="194">
        <v>0.03</v>
      </c>
      <c r="BN173" s="194">
        <v>0.04</v>
      </c>
      <c r="BO173" s="195">
        <v>0.06</v>
      </c>
      <c r="BQ173" s="187"/>
      <c r="BR173" s="185"/>
      <c r="BS173" s="185"/>
      <c r="BT173" s="254"/>
      <c r="BV173" s="187"/>
      <c r="BW173" s="185"/>
      <c r="BX173" s="185"/>
      <c r="BY173" s="185"/>
      <c r="BZ173" s="254"/>
      <c r="CB173" s="187"/>
      <c r="CC173" s="185"/>
      <c r="CD173" s="185"/>
      <c r="CE173" s="185"/>
      <c r="CF173" s="254"/>
      <c r="CH173" s="253">
        <v>0.9</v>
      </c>
    </row>
    <row r="174" spans="1:86">
      <c r="A174" s="1563"/>
      <c r="B174" s="269"/>
      <c r="C174" s="270"/>
      <c r="D174" s="184" t="s">
        <v>322</v>
      </c>
      <c r="F174" s="256">
        <v>205700</v>
      </c>
      <c r="G174" s="257"/>
      <c r="H174" s="256">
        <v>197180</v>
      </c>
      <c r="I174" s="257"/>
      <c r="J174" s="179" t="s">
        <v>182</v>
      </c>
      <c r="K174" s="258">
        <v>1940</v>
      </c>
      <c r="L174" s="259"/>
      <c r="M174" s="260" t="s">
        <v>795</v>
      </c>
      <c r="N174" s="258">
        <v>1850</v>
      </c>
      <c r="O174" s="259"/>
      <c r="P174" s="260" t="s">
        <v>795</v>
      </c>
      <c r="R174" s="183"/>
      <c r="S174" s="271"/>
      <c r="T174" s="184"/>
      <c r="V174" s="187"/>
      <c r="W174" s="185"/>
      <c r="X174" s="176"/>
      <c r="Y174" s="185"/>
      <c r="Z174" s="176"/>
      <c r="AA174" s="176"/>
      <c r="AB174" s="177"/>
      <c r="AD174" s="1549"/>
      <c r="AE174" s="261"/>
      <c r="AF174" s="176"/>
      <c r="AG174" s="176"/>
      <c r="AH174" s="177"/>
      <c r="AJ174" s="187"/>
      <c r="AK174" s="185"/>
      <c r="AL174" s="176"/>
      <c r="AM174" s="176"/>
      <c r="AN174" s="177"/>
      <c r="AP174" s="1552"/>
      <c r="AQ174" s="1555"/>
      <c r="AR174" s="1552"/>
      <c r="AS174" s="1555"/>
      <c r="AT174" s="1544"/>
      <c r="AU174" s="262" t="s">
        <v>701</v>
      </c>
      <c r="AV174" s="263">
        <v>3100</v>
      </c>
      <c r="AW174" s="264">
        <v>3400</v>
      </c>
      <c r="AX174" s="265">
        <v>2100</v>
      </c>
      <c r="AY174" s="266">
        <v>2100</v>
      </c>
      <c r="BA174" s="277"/>
      <c r="BC174" s="359"/>
      <c r="BE174" s="186"/>
      <c r="BF174" s="271"/>
      <c r="BG174" s="271"/>
      <c r="BH174" s="184"/>
      <c r="BJ174" s="253"/>
      <c r="BL174" s="272"/>
      <c r="BM174" s="273"/>
      <c r="BN174" s="273"/>
      <c r="BO174" s="274"/>
      <c r="BQ174" s="186"/>
      <c r="BR174" s="196"/>
      <c r="BS174" s="196"/>
      <c r="BT174" s="197"/>
      <c r="BV174" s="186"/>
      <c r="BW174" s="196"/>
      <c r="BX174" s="196"/>
      <c r="BY174" s="196"/>
      <c r="BZ174" s="197"/>
      <c r="CB174" s="186"/>
      <c r="CC174" s="196"/>
      <c r="CD174" s="196"/>
      <c r="CE174" s="196"/>
      <c r="CF174" s="197"/>
      <c r="CH174" s="198"/>
    </row>
    <row r="175" spans="1:86" ht="63">
      <c r="A175" s="1563"/>
      <c r="B175" s="168" t="s">
        <v>329</v>
      </c>
      <c r="C175" s="241" t="s">
        <v>313</v>
      </c>
      <c r="D175" s="177" t="s">
        <v>314</v>
      </c>
      <c r="F175" s="218">
        <v>54610</v>
      </c>
      <c r="G175" s="219">
        <v>62200</v>
      </c>
      <c r="H175" s="218">
        <v>47300</v>
      </c>
      <c r="I175" s="219">
        <v>54890</v>
      </c>
      <c r="J175" s="179" t="s">
        <v>182</v>
      </c>
      <c r="K175" s="220">
        <v>520</v>
      </c>
      <c r="L175" s="221">
        <v>590</v>
      </c>
      <c r="M175" s="222" t="s">
        <v>795</v>
      </c>
      <c r="N175" s="220">
        <v>450</v>
      </c>
      <c r="O175" s="221">
        <v>520</v>
      </c>
      <c r="P175" s="222" t="s">
        <v>795</v>
      </c>
      <c r="Q175" s="160" t="s">
        <v>182</v>
      </c>
      <c r="R175" s="275">
        <v>7590</v>
      </c>
      <c r="S175" s="276">
        <v>70</v>
      </c>
      <c r="T175" s="247" t="s">
        <v>184</v>
      </c>
      <c r="V175" s="280"/>
      <c r="W175" s="279" t="s">
        <v>706</v>
      </c>
      <c r="X175" s="176"/>
      <c r="Y175" s="279" t="s">
        <v>706</v>
      </c>
      <c r="Z175" s="279"/>
      <c r="AA175" s="176"/>
      <c r="AB175" s="177"/>
      <c r="AC175" s="160" t="s">
        <v>182</v>
      </c>
      <c r="AD175" s="1546">
        <v>13680</v>
      </c>
      <c r="AE175" s="227"/>
      <c r="AF175" s="226" t="s">
        <v>182</v>
      </c>
      <c r="AG175" s="226">
        <v>60</v>
      </c>
      <c r="AH175" s="217" t="s">
        <v>184</v>
      </c>
      <c r="AJ175" s="187" t="s">
        <v>205</v>
      </c>
      <c r="AK175" s="185"/>
      <c r="AL175" s="176" t="s">
        <v>182</v>
      </c>
      <c r="AM175" s="176">
        <v>50</v>
      </c>
      <c r="AN175" s="177" t="s">
        <v>316</v>
      </c>
      <c r="AO175" s="160" t="s">
        <v>182</v>
      </c>
      <c r="AP175" s="1550">
        <v>3100</v>
      </c>
      <c r="AQ175" s="1553">
        <v>3400</v>
      </c>
      <c r="AR175" s="1550">
        <v>2100</v>
      </c>
      <c r="AS175" s="1553">
        <v>2100</v>
      </c>
      <c r="AT175" s="1544" t="s">
        <v>664</v>
      </c>
      <c r="AU175" s="230" t="s">
        <v>697</v>
      </c>
      <c r="AV175" s="231">
        <v>6300</v>
      </c>
      <c r="AW175" s="232">
        <v>7100</v>
      </c>
      <c r="AX175" s="267">
        <v>4400</v>
      </c>
      <c r="AY175" s="252">
        <v>4400</v>
      </c>
      <c r="BA175" s="235" t="s">
        <v>668</v>
      </c>
      <c r="BB175" s="160" t="s">
        <v>182</v>
      </c>
      <c r="BC175" s="1556">
        <v>4700</v>
      </c>
      <c r="BD175" s="160" t="s">
        <v>182</v>
      </c>
      <c r="BE175" s="187">
        <v>3110</v>
      </c>
      <c r="BF175" s="176" t="s">
        <v>182</v>
      </c>
      <c r="BG175" s="176">
        <v>30</v>
      </c>
      <c r="BH175" s="177" t="s">
        <v>184</v>
      </c>
      <c r="BJ175" s="253"/>
      <c r="BK175" s="160" t="s">
        <v>188</v>
      </c>
      <c r="BL175" s="193" t="s">
        <v>317</v>
      </c>
      <c r="BM175" s="194" t="s">
        <v>317</v>
      </c>
      <c r="BN175" s="194" t="s">
        <v>317</v>
      </c>
      <c r="BO175" s="195" t="s">
        <v>317</v>
      </c>
      <c r="BP175" s="160" t="s">
        <v>188</v>
      </c>
      <c r="BQ175" s="187"/>
      <c r="BR175" s="185"/>
      <c r="BS175" s="185"/>
      <c r="BT175" s="254"/>
      <c r="BU175" s="160" t="s">
        <v>188</v>
      </c>
      <c r="BV175" s="187"/>
      <c r="BW175" s="185"/>
      <c r="BX175" s="185"/>
      <c r="BY175" s="185"/>
      <c r="BZ175" s="254"/>
      <c r="CA175" s="160" t="s">
        <v>188</v>
      </c>
      <c r="CB175" s="187"/>
      <c r="CC175" s="185"/>
      <c r="CD175" s="185"/>
      <c r="CE175" s="185"/>
      <c r="CF175" s="254"/>
      <c r="CH175" s="253" t="s">
        <v>324</v>
      </c>
    </row>
    <row r="176" spans="1:86">
      <c r="A176" s="1563"/>
      <c r="B176" s="168"/>
      <c r="C176" s="241"/>
      <c r="D176" s="177" t="s">
        <v>318</v>
      </c>
      <c r="F176" s="242">
        <v>62200</v>
      </c>
      <c r="G176" s="243">
        <v>123620</v>
      </c>
      <c r="H176" s="242">
        <v>54890</v>
      </c>
      <c r="I176" s="243">
        <v>116310</v>
      </c>
      <c r="J176" s="179" t="s">
        <v>182</v>
      </c>
      <c r="K176" s="244">
        <v>590</v>
      </c>
      <c r="L176" s="245">
        <v>1120</v>
      </c>
      <c r="M176" s="246" t="s">
        <v>795</v>
      </c>
      <c r="N176" s="244">
        <v>520</v>
      </c>
      <c r="O176" s="245">
        <v>1040</v>
      </c>
      <c r="P176" s="246" t="s">
        <v>795</v>
      </c>
      <c r="Q176" s="160" t="s">
        <v>182</v>
      </c>
      <c r="R176" s="187">
        <v>7590</v>
      </c>
      <c r="S176" s="185">
        <v>70</v>
      </c>
      <c r="T176" s="247" t="s">
        <v>184</v>
      </c>
      <c r="V176" s="187"/>
      <c r="W176" s="185">
        <v>348600</v>
      </c>
      <c r="X176" s="176"/>
      <c r="Y176" s="185">
        <v>3480</v>
      </c>
      <c r="Z176" s="176" t="s">
        <v>184</v>
      </c>
      <c r="AA176" s="176"/>
      <c r="AB176" s="177"/>
      <c r="AD176" s="1547"/>
      <c r="AE176" s="248">
        <v>11950</v>
      </c>
      <c r="AF176" s="176"/>
      <c r="AG176" s="176"/>
      <c r="AH176" s="177"/>
      <c r="AJ176" s="187"/>
      <c r="AK176" s="185"/>
      <c r="AL176" s="176"/>
      <c r="AM176" s="176"/>
      <c r="AN176" s="177"/>
      <c r="AP176" s="1551"/>
      <c r="AQ176" s="1554"/>
      <c r="AR176" s="1551"/>
      <c r="AS176" s="1554"/>
      <c r="AT176" s="1544"/>
      <c r="AU176" s="172" t="s">
        <v>699</v>
      </c>
      <c r="AV176" s="249">
        <v>3500</v>
      </c>
      <c r="AW176" s="250">
        <v>3900</v>
      </c>
      <c r="AX176" s="267">
        <v>2400</v>
      </c>
      <c r="AY176" s="252">
        <v>2400</v>
      </c>
      <c r="BA176" s="235">
        <v>7500</v>
      </c>
      <c r="BC176" s="1557"/>
      <c r="BE176" s="187"/>
      <c r="BF176" s="176"/>
      <c r="BG176" s="176"/>
      <c r="BH176" s="177"/>
      <c r="BJ176" s="253"/>
      <c r="BL176" s="193"/>
      <c r="BM176" s="194"/>
      <c r="BN176" s="194"/>
      <c r="BO176" s="195"/>
      <c r="BQ176" s="187">
        <v>1810</v>
      </c>
      <c r="BR176" s="185" t="s">
        <v>189</v>
      </c>
      <c r="BS176" s="185">
        <v>10</v>
      </c>
      <c r="BT176" s="254" t="s">
        <v>184</v>
      </c>
      <c r="BV176" s="187">
        <v>6500</v>
      </c>
      <c r="BW176" s="185" t="s">
        <v>189</v>
      </c>
      <c r="BX176" s="185">
        <v>60</v>
      </c>
      <c r="BY176" s="185" t="s">
        <v>184</v>
      </c>
      <c r="BZ176" s="254" t="s">
        <v>190</v>
      </c>
      <c r="CB176" s="187">
        <v>4200</v>
      </c>
      <c r="CC176" s="185" t="s">
        <v>189</v>
      </c>
      <c r="CD176" s="185">
        <v>40</v>
      </c>
      <c r="CE176" s="185" t="s">
        <v>184</v>
      </c>
      <c r="CF176" s="254" t="s">
        <v>190</v>
      </c>
      <c r="CH176" s="253"/>
    </row>
    <row r="177" spans="1:86">
      <c r="A177" s="1563"/>
      <c r="B177" s="168"/>
      <c r="C177" s="241" t="s">
        <v>319</v>
      </c>
      <c r="D177" s="177" t="s">
        <v>320</v>
      </c>
      <c r="F177" s="242">
        <v>123620</v>
      </c>
      <c r="G177" s="243">
        <v>199560</v>
      </c>
      <c r="H177" s="242">
        <v>116310</v>
      </c>
      <c r="I177" s="243">
        <v>192250</v>
      </c>
      <c r="J177" s="179" t="s">
        <v>182</v>
      </c>
      <c r="K177" s="244">
        <v>1120</v>
      </c>
      <c r="L177" s="245">
        <v>1880</v>
      </c>
      <c r="M177" s="246" t="s">
        <v>795</v>
      </c>
      <c r="N177" s="244">
        <v>1040</v>
      </c>
      <c r="O177" s="245">
        <v>1800</v>
      </c>
      <c r="P177" s="246" t="s">
        <v>795</v>
      </c>
      <c r="R177" s="182"/>
      <c r="S177" s="176"/>
      <c r="T177" s="177"/>
      <c r="V177" s="187"/>
      <c r="W177" s="185"/>
      <c r="X177" s="176"/>
      <c r="Y177" s="185"/>
      <c r="Z177" s="176"/>
      <c r="AA177" s="176"/>
      <c r="AB177" s="177"/>
      <c r="AC177" s="160" t="s">
        <v>182</v>
      </c>
      <c r="AD177" s="1548">
        <v>11950</v>
      </c>
      <c r="AE177" s="255"/>
      <c r="AF177" s="176"/>
      <c r="AG177" s="176">
        <v>0</v>
      </c>
      <c r="AH177" s="177"/>
      <c r="AJ177" s="187">
        <v>5210</v>
      </c>
      <c r="AK177" s="185" t="s">
        <v>321</v>
      </c>
      <c r="AL177" s="176"/>
      <c r="AM177" s="176"/>
      <c r="AN177" s="177"/>
      <c r="AP177" s="1551"/>
      <c r="AQ177" s="1554"/>
      <c r="AR177" s="1551"/>
      <c r="AS177" s="1554"/>
      <c r="AT177" s="1544"/>
      <c r="AU177" s="172" t="s">
        <v>700</v>
      </c>
      <c r="AV177" s="249">
        <v>3000</v>
      </c>
      <c r="AW177" s="250">
        <v>3400</v>
      </c>
      <c r="AX177" s="267">
        <v>2100</v>
      </c>
      <c r="AY177" s="252">
        <v>2100</v>
      </c>
      <c r="BA177" s="277"/>
      <c r="BC177" s="359"/>
      <c r="BE177" s="187"/>
      <c r="BF177" s="176"/>
      <c r="BG177" s="176"/>
      <c r="BH177" s="177"/>
      <c r="BJ177" s="253"/>
      <c r="BL177" s="193">
        <v>0.01</v>
      </c>
      <c r="BM177" s="194">
        <v>0.03</v>
      </c>
      <c r="BN177" s="194">
        <v>0.04</v>
      </c>
      <c r="BO177" s="195">
        <v>0.06</v>
      </c>
      <c r="BQ177" s="187"/>
      <c r="BR177" s="185"/>
      <c r="BS177" s="185"/>
      <c r="BT177" s="254"/>
      <c r="BV177" s="187"/>
      <c r="BW177" s="185"/>
      <c r="BX177" s="185"/>
      <c r="BY177" s="185"/>
      <c r="BZ177" s="254"/>
      <c r="CB177" s="187"/>
      <c r="CC177" s="185"/>
      <c r="CD177" s="185"/>
      <c r="CE177" s="185"/>
      <c r="CF177" s="254"/>
      <c r="CH177" s="253">
        <v>0.92</v>
      </c>
    </row>
    <row r="178" spans="1:86">
      <c r="A178" s="1563"/>
      <c r="B178" s="168"/>
      <c r="C178" s="241"/>
      <c r="D178" s="177" t="s">
        <v>322</v>
      </c>
      <c r="F178" s="256">
        <v>199560</v>
      </c>
      <c r="G178" s="257"/>
      <c r="H178" s="256">
        <v>192250</v>
      </c>
      <c r="I178" s="257"/>
      <c r="J178" s="179" t="s">
        <v>182</v>
      </c>
      <c r="K178" s="258">
        <v>1880</v>
      </c>
      <c r="L178" s="259"/>
      <c r="M178" s="260" t="s">
        <v>795</v>
      </c>
      <c r="N178" s="258">
        <v>1800</v>
      </c>
      <c r="O178" s="259"/>
      <c r="P178" s="260" t="s">
        <v>795</v>
      </c>
      <c r="R178" s="182"/>
      <c r="S178" s="176"/>
      <c r="T178" s="177"/>
      <c r="V178" s="280"/>
      <c r="W178" s="279" t="s">
        <v>707</v>
      </c>
      <c r="X178" s="176"/>
      <c r="Y178" s="279" t="s">
        <v>707</v>
      </c>
      <c r="Z178" s="279"/>
      <c r="AA178" s="176"/>
      <c r="AB178" s="177"/>
      <c r="AD178" s="1549"/>
      <c r="AE178" s="261"/>
      <c r="AF178" s="271"/>
      <c r="AG178" s="271"/>
      <c r="AH178" s="184"/>
      <c r="AJ178" s="187"/>
      <c r="AK178" s="185"/>
      <c r="AL178" s="176"/>
      <c r="AM178" s="176"/>
      <c r="AN178" s="177"/>
      <c r="AP178" s="1552"/>
      <c r="AQ178" s="1555"/>
      <c r="AR178" s="1552"/>
      <c r="AS178" s="1555"/>
      <c r="AT178" s="1544"/>
      <c r="AU178" s="262" t="s">
        <v>701</v>
      </c>
      <c r="AV178" s="263">
        <v>2700</v>
      </c>
      <c r="AW178" s="264">
        <v>3000</v>
      </c>
      <c r="AX178" s="265">
        <v>1900</v>
      </c>
      <c r="AY178" s="266">
        <v>1900</v>
      </c>
      <c r="BA178" s="235" t="s">
        <v>669</v>
      </c>
      <c r="BC178" s="359"/>
      <c r="BE178" s="187"/>
      <c r="BF178" s="176"/>
      <c r="BG178" s="176"/>
      <c r="BH178" s="177"/>
      <c r="BJ178" s="253"/>
      <c r="BL178" s="193"/>
      <c r="BM178" s="194"/>
      <c r="BN178" s="194"/>
      <c r="BO178" s="195"/>
      <c r="BQ178" s="187"/>
      <c r="BR178" s="185"/>
      <c r="BS178" s="185"/>
      <c r="BT178" s="254"/>
      <c r="BV178" s="187"/>
      <c r="BW178" s="185"/>
      <c r="BX178" s="185"/>
      <c r="BY178" s="185"/>
      <c r="BZ178" s="254"/>
      <c r="CB178" s="187"/>
      <c r="CC178" s="185"/>
      <c r="CD178" s="185"/>
      <c r="CE178" s="185"/>
      <c r="CF178" s="254"/>
      <c r="CH178" s="253"/>
    </row>
    <row r="179" spans="1:86" ht="63">
      <c r="A179" s="1563"/>
      <c r="B179" s="215" t="s">
        <v>330</v>
      </c>
      <c r="C179" s="216" t="s">
        <v>313</v>
      </c>
      <c r="D179" s="217" t="s">
        <v>314</v>
      </c>
      <c r="F179" s="218">
        <v>50050</v>
      </c>
      <c r="G179" s="219">
        <v>57640</v>
      </c>
      <c r="H179" s="218">
        <v>43670</v>
      </c>
      <c r="I179" s="219">
        <v>51260</v>
      </c>
      <c r="J179" s="179" t="s">
        <v>182</v>
      </c>
      <c r="K179" s="220">
        <v>480</v>
      </c>
      <c r="L179" s="221">
        <v>550</v>
      </c>
      <c r="M179" s="222" t="s">
        <v>795</v>
      </c>
      <c r="N179" s="220">
        <v>410</v>
      </c>
      <c r="O179" s="221">
        <v>480</v>
      </c>
      <c r="P179" s="222" t="s">
        <v>795</v>
      </c>
      <c r="Q179" s="160" t="s">
        <v>182</v>
      </c>
      <c r="R179" s="223">
        <v>7590</v>
      </c>
      <c r="S179" s="224">
        <v>70</v>
      </c>
      <c r="T179" s="225" t="s">
        <v>184</v>
      </c>
      <c r="V179" s="187"/>
      <c r="W179" s="185">
        <v>385400</v>
      </c>
      <c r="X179" s="176"/>
      <c r="Y179" s="185">
        <v>3850</v>
      </c>
      <c r="Z179" s="176" t="s">
        <v>184</v>
      </c>
      <c r="AA179" s="176"/>
      <c r="AB179" s="177"/>
      <c r="AC179" s="160" t="s">
        <v>182</v>
      </c>
      <c r="AD179" s="1546">
        <v>12830</v>
      </c>
      <c r="AE179" s="227"/>
      <c r="AF179" s="176" t="s">
        <v>182</v>
      </c>
      <c r="AG179" s="176">
        <v>50</v>
      </c>
      <c r="AH179" s="177" t="s">
        <v>184</v>
      </c>
      <c r="AJ179" s="187" t="s">
        <v>207</v>
      </c>
      <c r="AK179" s="185"/>
      <c r="AL179" s="176" t="s">
        <v>182</v>
      </c>
      <c r="AM179" s="176">
        <v>40</v>
      </c>
      <c r="AN179" s="177" t="s">
        <v>316</v>
      </c>
      <c r="AO179" s="160" t="s">
        <v>182</v>
      </c>
      <c r="AP179" s="1550">
        <v>3500</v>
      </c>
      <c r="AQ179" s="1553">
        <v>3900</v>
      </c>
      <c r="AR179" s="1550">
        <v>2500</v>
      </c>
      <c r="AS179" s="1553">
        <v>2500</v>
      </c>
      <c r="AT179" s="1544" t="s">
        <v>664</v>
      </c>
      <c r="AU179" s="230" t="s">
        <v>697</v>
      </c>
      <c r="AV179" s="231">
        <v>7100</v>
      </c>
      <c r="AW179" s="232">
        <v>7900</v>
      </c>
      <c r="AX179" s="267">
        <v>4900</v>
      </c>
      <c r="AY179" s="252">
        <v>4900</v>
      </c>
      <c r="BA179" s="235">
        <v>6130</v>
      </c>
      <c r="BB179" s="160" t="s">
        <v>182</v>
      </c>
      <c r="BC179" s="1556">
        <v>4700</v>
      </c>
      <c r="BD179" s="160" t="s">
        <v>182</v>
      </c>
      <c r="BE179" s="228">
        <v>2720</v>
      </c>
      <c r="BF179" s="226" t="s">
        <v>182</v>
      </c>
      <c r="BG179" s="226">
        <v>20</v>
      </c>
      <c r="BH179" s="217" t="s">
        <v>184</v>
      </c>
      <c r="BJ179" s="253"/>
      <c r="BK179" s="160" t="s">
        <v>188</v>
      </c>
      <c r="BL179" s="237" t="s">
        <v>317</v>
      </c>
      <c r="BM179" s="238" t="s">
        <v>317</v>
      </c>
      <c r="BN179" s="238" t="s">
        <v>317</v>
      </c>
      <c r="BO179" s="239" t="s">
        <v>317</v>
      </c>
      <c r="BP179" s="160" t="s">
        <v>188</v>
      </c>
      <c r="BQ179" s="228"/>
      <c r="BR179" s="229"/>
      <c r="BS179" s="229"/>
      <c r="BT179" s="240"/>
      <c r="BU179" s="160" t="s">
        <v>188</v>
      </c>
      <c r="BV179" s="228"/>
      <c r="BW179" s="229"/>
      <c r="BX179" s="229"/>
      <c r="BY179" s="229"/>
      <c r="BZ179" s="240"/>
      <c r="CA179" s="160" t="s">
        <v>188</v>
      </c>
      <c r="CB179" s="228"/>
      <c r="CC179" s="229"/>
      <c r="CD179" s="229"/>
      <c r="CE179" s="229"/>
      <c r="CF179" s="240"/>
      <c r="CH179" s="236" t="s">
        <v>324</v>
      </c>
    </row>
    <row r="180" spans="1:86">
      <c r="A180" s="1563"/>
      <c r="B180" s="168"/>
      <c r="C180" s="241"/>
      <c r="D180" s="177" t="s">
        <v>318</v>
      </c>
      <c r="F180" s="242">
        <v>57640</v>
      </c>
      <c r="G180" s="243">
        <v>119060</v>
      </c>
      <c r="H180" s="242">
        <v>51260</v>
      </c>
      <c r="I180" s="243">
        <v>112680</v>
      </c>
      <c r="J180" s="179" t="s">
        <v>182</v>
      </c>
      <c r="K180" s="244">
        <v>550</v>
      </c>
      <c r="L180" s="245">
        <v>1070</v>
      </c>
      <c r="M180" s="246" t="s">
        <v>795</v>
      </c>
      <c r="N180" s="244">
        <v>480</v>
      </c>
      <c r="O180" s="245">
        <v>1010</v>
      </c>
      <c r="P180" s="246" t="s">
        <v>795</v>
      </c>
      <c r="Q180" s="160" t="s">
        <v>182</v>
      </c>
      <c r="R180" s="187">
        <v>7590</v>
      </c>
      <c r="S180" s="185">
        <v>70</v>
      </c>
      <c r="T180" s="247" t="s">
        <v>184</v>
      </c>
      <c r="V180" s="187"/>
      <c r="W180" s="185"/>
      <c r="X180" s="176"/>
      <c r="Y180" s="185"/>
      <c r="Z180" s="176"/>
      <c r="AA180" s="176"/>
      <c r="AB180" s="177"/>
      <c r="AD180" s="1547"/>
      <c r="AE180" s="248">
        <v>11100</v>
      </c>
      <c r="AF180" s="176"/>
      <c r="AG180" s="176"/>
      <c r="AH180" s="177"/>
      <c r="AJ180" s="187"/>
      <c r="AK180" s="185"/>
      <c r="AL180" s="176"/>
      <c r="AM180" s="176"/>
      <c r="AN180" s="177"/>
      <c r="AP180" s="1551"/>
      <c r="AQ180" s="1554"/>
      <c r="AR180" s="1551"/>
      <c r="AS180" s="1554"/>
      <c r="AT180" s="1544"/>
      <c r="AU180" s="172" t="s">
        <v>699</v>
      </c>
      <c r="AV180" s="249">
        <v>3900</v>
      </c>
      <c r="AW180" s="250">
        <v>4300</v>
      </c>
      <c r="AX180" s="267">
        <v>2700</v>
      </c>
      <c r="AY180" s="252">
        <v>2700</v>
      </c>
      <c r="BA180" s="277"/>
      <c r="BC180" s="1557"/>
      <c r="BE180" s="187"/>
      <c r="BF180" s="176"/>
      <c r="BG180" s="176"/>
      <c r="BH180" s="177"/>
      <c r="BJ180" s="253"/>
      <c r="BL180" s="193"/>
      <c r="BM180" s="194"/>
      <c r="BN180" s="194"/>
      <c r="BO180" s="195"/>
      <c r="BQ180" s="187">
        <v>1590</v>
      </c>
      <c r="BR180" s="185" t="s">
        <v>189</v>
      </c>
      <c r="BS180" s="185">
        <v>10</v>
      </c>
      <c r="BT180" s="254" t="s">
        <v>184</v>
      </c>
      <c r="BV180" s="187">
        <v>5690</v>
      </c>
      <c r="BW180" s="185" t="s">
        <v>189</v>
      </c>
      <c r="BX180" s="185">
        <v>50</v>
      </c>
      <c r="BY180" s="185" t="s">
        <v>184</v>
      </c>
      <c r="BZ180" s="254" t="s">
        <v>190</v>
      </c>
      <c r="CB180" s="187">
        <v>3670</v>
      </c>
      <c r="CC180" s="185" t="s">
        <v>189</v>
      </c>
      <c r="CD180" s="185">
        <v>30</v>
      </c>
      <c r="CE180" s="185" t="s">
        <v>184</v>
      </c>
      <c r="CF180" s="254" t="s">
        <v>190</v>
      </c>
      <c r="CH180" s="253"/>
    </row>
    <row r="181" spans="1:86">
      <c r="A181" s="1563"/>
      <c r="B181" s="168"/>
      <c r="C181" s="241" t="s">
        <v>319</v>
      </c>
      <c r="D181" s="177" t="s">
        <v>320</v>
      </c>
      <c r="F181" s="242">
        <v>119060</v>
      </c>
      <c r="G181" s="243">
        <v>195000</v>
      </c>
      <c r="H181" s="242">
        <v>112680</v>
      </c>
      <c r="I181" s="243">
        <v>188620</v>
      </c>
      <c r="J181" s="179" t="s">
        <v>182</v>
      </c>
      <c r="K181" s="244">
        <v>1070</v>
      </c>
      <c r="L181" s="245">
        <v>1830</v>
      </c>
      <c r="M181" s="246" t="s">
        <v>795</v>
      </c>
      <c r="N181" s="244">
        <v>1010</v>
      </c>
      <c r="O181" s="245">
        <v>1770</v>
      </c>
      <c r="P181" s="246" t="s">
        <v>795</v>
      </c>
      <c r="R181" s="182"/>
      <c r="S181" s="176"/>
      <c r="T181" s="177"/>
      <c r="V181" s="280"/>
      <c r="W181" s="279" t="s">
        <v>708</v>
      </c>
      <c r="X181" s="176"/>
      <c r="Y181" s="279" t="s">
        <v>708</v>
      </c>
      <c r="Z181" s="279"/>
      <c r="AA181" s="176"/>
      <c r="AB181" s="177"/>
      <c r="AC181" s="160" t="s">
        <v>182</v>
      </c>
      <c r="AD181" s="1548">
        <v>11100</v>
      </c>
      <c r="AE181" s="255"/>
      <c r="AF181" s="176"/>
      <c r="AG181" s="176">
        <v>0</v>
      </c>
      <c r="AH181" s="177"/>
      <c r="AJ181" s="187">
        <v>4460</v>
      </c>
      <c r="AK181" s="185" t="s">
        <v>321</v>
      </c>
      <c r="AL181" s="176"/>
      <c r="AM181" s="176"/>
      <c r="AN181" s="177"/>
      <c r="AP181" s="1551"/>
      <c r="AQ181" s="1554"/>
      <c r="AR181" s="1551"/>
      <c r="AS181" s="1554"/>
      <c r="AT181" s="1544"/>
      <c r="AU181" s="172" t="s">
        <v>700</v>
      </c>
      <c r="AV181" s="249">
        <v>3400</v>
      </c>
      <c r="AW181" s="250">
        <v>3800</v>
      </c>
      <c r="AX181" s="267">
        <v>2300</v>
      </c>
      <c r="AY181" s="252">
        <v>2300</v>
      </c>
      <c r="BA181" s="235" t="s">
        <v>670</v>
      </c>
      <c r="BC181" s="359"/>
      <c r="BE181" s="187"/>
      <c r="BF181" s="176"/>
      <c r="BG181" s="176"/>
      <c r="BH181" s="177"/>
      <c r="BJ181" s="253"/>
      <c r="BL181" s="193">
        <v>0.01</v>
      </c>
      <c r="BM181" s="194">
        <v>0.03</v>
      </c>
      <c r="BN181" s="194">
        <v>0.04</v>
      </c>
      <c r="BO181" s="195">
        <v>0.06</v>
      </c>
      <c r="BQ181" s="187"/>
      <c r="BR181" s="185"/>
      <c r="BS181" s="185"/>
      <c r="BT181" s="254"/>
      <c r="BV181" s="187"/>
      <c r="BW181" s="185"/>
      <c r="BX181" s="185"/>
      <c r="BY181" s="185"/>
      <c r="BZ181" s="254"/>
      <c r="CB181" s="187"/>
      <c r="CC181" s="185"/>
      <c r="CD181" s="185"/>
      <c r="CE181" s="185"/>
      <c r="CF181" s="254"/>
      <c r="CH181" s="253">
        <v>0.89</v>
      </c>
    </row>
    <row r="182" spans="1:86">
      <c r="A182" s="1563"/>
      <c r="B182" s="269"/>
      <c r="C182" s="270"/>
      <c r="D182" s="184" t="s">
        <v>322</v>
      </c>
      <c r="F182" s="256">
        <v>195000</v>
      </c>
      <c r="G182" s="257"/>
      <c r="H182" s="256">
        <v>188620</v>
      </c>
      <c r="I182" s="257"/>
      <c r="J182" s="179" t="s">
        <v>182</v>
      </c>
      <c r="K182" s="258">
        <v>1830</v>
      </c>
      <c r="L182" s="259"/>
      <c r="M182" s="260" t="s">
        <v>795</v>
      </c>
      <c r="N182" s="258">
        <v>1770</v>
      </c>
      <c r="O182" s="259"/>
      <c r="P182" s="260" t="s">
        <v>795</v>
      </c>
      <c r="R182" s="183"/>
      <c r="S182" s="271"/>
      <c r="T182" s="184"/>
      <c r="V182" s="187"/>
      <c r="W182" s="185">
        <v>422100</v>
      </c>
      <c r="X182" s="176"/>
      <c r="Y182" s="185">
        <v>4220</v>
      </c>
      <c r="Z182" s="176" t="s">
        <v>184</v>
      </c>
      <c r="AA182" s="176"/>
      <c r="AB182" s="177"/>
      <c r="AD182" s="1549"/>
      <c r="AE182" s="261"/>
      <c r="AF182" s="176"/>
      <c r="AG182" s="176"/>
      <c r="AH182" s="177"/>
      <c r="AJ182" s="187"/>
      <c r="AK182" s="185"/>
      <c r="AL182" s="176"/>
      <c r="AM182" s="176"/>
      <c r="AN182" s="177"/>
      <c r="AP182" s="1552"/>
      <c r="AQ182" s="1555"/>
      <c r="AR182" s="1552"/>
      <c r="AS182" s="1555"/>
      <c r="AT182" s="1544"/>
      <c r="AU182" s="262" t="s">
        <v>701</v>
      </c>
      <c r="AV182" s="263">
        <v>3000</v>
      </c>
      <c r="AW182" s="264">
        <v>3400</v>
      </c>
      <c r="AX182" s="265">
        <v>2100</v>
      </c>
      <c r="AY182" s="266">
        <v>2100</v>
      </c>
      <c r="BA182" s="235">
        <v>5220</v>
      </c>
      <c r="BC182" s="359"/>
      <c r="BE182" s="186"/>
      <c r="BF182" s="271"/>
      <c r="BG182" s="271"/>
      <c r="BH182" s="184"/>
      <c r="BJ182" s="253"/>
      <c r="BL182" s="272"/>
      <c r="BM182" s="273"/>
      <c r="BN182" s="273"/>
      <c r="BO182" s="274"/>
      <c r="BQ182" s="186"/>
      <c r="BR182" s="196"/>
      <c r="BS182" s="196"/>
      <c r="BT182" s="197"/>
      <c r="BV182" s="186"/>
      <c r="BW182" s="196"/>
      <c r="BX182" s="196"/>
      <c r="BY182" s="196"/>
      <c r="BZ182" s="197"/>
      <c r="CB182" s="186"/>
      <c r="CC182" s="196"/>
      <c r="CD182" s="196"/>
      <c r="CE182" s="196"/>
      <c r="CF182" s="197"/>
      <c r="CH182" s="198"/>
    </row>
    <row r="183" spans="1:86" ht="63">
      <c r="A183" s="1563"/>
      <c r="B183" s="168" t="s">
        <v>331</v>
      </c>
      <c r="C183" s="241" t="s">
        <v>313</v>
      </c>
      <c r="D183" s="177" t="s">
        <v>314</v>
      </c>
      <c r="F183" s="218">
        <v>46470</v>
      </c>
      <c r="G183" s="219">
        <v>54060</v>
      </c>
      <c r="H183" s="218">
        <v>40790</v>
      </c>
      <c r="I183" s="219">
        <v>48380</v>
      </c>
      <c r="J183" s="179" t="s">
        <v>182</v>
      </c>
      <c r="K183" s="220">
        <v>440</v>
      </c>
      <c r="L183" s="221">
        <v>510</v>
      </c>
      <c r="M183" s="222" t="s">
        <v>795</v>
      </c>
      <c r="N183" s="220">
        <v>380</v>
      </c>
      <c r="O183" s="221">
        <v>450</v>
      </c>
      <c r="P183" s="222" t="s">
        <v>795</v>
      </c>
      <c r="Q183" s="160" t="s">
        <v>182</v>
      </c>
      <c r="R183" s="275">
        <v>7590</v>
      </c>
      <c r="S183" s="276">
        <v>70</v>
      </c>
      <c r="T183" s="247" t="s">
        <v>184</v>
      </c>
      <c r="V183" s="187"/>
      <c r="W183" s="185"/>
      <c r="X183" s="176"/>
      <c r="Y183" s="185"/>
      <c r="Z183" s="176"/>
      <c r="AA183" s="176"/>
      <c r="AB183" s="177"/>
      <c r="AC183" s="160" t="s">
        <v>182</v>
      </c>
      <c r="AD183" s="1546">
        <v>12170</v>
      </c>
      <c r="AE183" s="227"/>
      <c r="AF183" s="226" t="s">
        <v>182</v>
      </c>
      <c r="AG183" s="226">
        <v>50</v>
      </c>
      <c r="AH183" s="217" t="s">
        <v>184</v>
      </c>
      <c r="AJ183" s="187" t="s">
        <v>209</v>
      </c>
      <c r="AK183" s="185"/>
      <c r="AL183" s="176" t="s">
        <v>182</v>
      </c>
      <c r="AM183" s="176">
        <v>30</v>
      </c>
      <c r="AN183" s="177" t="s">
        <v>316</v>
      </c>
      <c r="AO183" s="160" t="s">
        <v>182</v>
      </c>
      <c r="AP183" s="1550">
        <v>3100</v>
      </c>
      <c r="AQ183" s="1553">
        <v>3400</v>
      </c>
      <c r="AR183" s="1550">
        <v>2200</v>
      </c>
      <c r="AS183" s="1553">
        <v>2200</v>
      </c>
      <c r="AT183" s="1544" t="s">
        <v>664</v>
      </c>
      <c r="AU183" s="230" t="s">
        <v>697</v>
      </c>
      <c r="AV183" s="231">
        <v>6300</v>
      </c>
      <c r="AW183" s="232">
        <v>7100</v>
      </c>
      <c r="AX183" s="267">
        <v>4400</v>
      </c>
      <c r="AY183" s="252">
        <v>4400</v>
      </c>
      <c r="BA183" s="277"/>
      <c r="BB183" s="160" t="s">
        <v>182</v>
      </c>
      <c r="BC183" s="1556">
        <v>4700</v>
      </c>
      <c r="BD183" s="160" t="s">
        <v>182</v>
      </c>
      <c r="BE183" s="187">
        <v>2410</v>
      </c>
      <c r="BF183" s="176" t="s">
        <v>182</v>
      </c>
      <c r="BG183" s="176">
        <v>20</v>
      </c>
      <c r="BH183" s="177" t="s">
        <v>184</v>
      </c>
      <c r="BJ183" s="253"/>
      <c r="BK183" s="160" t="s">
        <v>188</v>
      </c>
      <c r="BL183" s="193" t="s">
        <v>317</v>
      </c>
      <c r="BM183" s="194" t="s">
        <v>317</v>
      </c>
      <c r="BN183" s="194" t="s">
        <v>317</v>
      </c>
      <c r="BO183" s="195" t="s">
        <v>317</v>
      </c>
      <c r="BP183" s="160" t="s">
        <v>188</v>
      </c>
      <c r="BQ183" s="187"/>
      <c r="BR183" s="185"/>
      <c r="BS183" s="185"/>
      <c r="BT183" s="254"/>
      <c r="BU183" s="160" t="s">
        <v>188</v>
      </c>
      <c r="BV183" s="187"/>
      <c r="BW183" s="185"/>
      <c r="BX183" s="185"/>
      <c r="BY183" s="185"/>
      <c r="BZ183" s="254"/>
      <c r="CA183" s="160" t="s">
        <v>188</v>
      </c>
      <c r="CB183" s="187"/>
      <c r="CC183" s="185"/>
      <c r="CD183" s="185"/>
      <c r="CE183" s="185"/>
      <c r="CF183" s="254"/>
      <c r="CH183" s="253" t="s">
        <v>324</v>
      </c>
    </row>
    <row r="184" spans="1:86">
      <c r="A184" s="1563"/>
      <c r="B184" s="168"/>
      <c r="C184" s="241"/>
      <c r="D184" s="177" t="s">
        <v>318</v>
      </c>
      <c r="F184" s="242">
        <v>54060</v>
      </c>
      <c r="G184" s="243">
        <v>115480</v>
      </c>
      <c r="H184" s="242">
        <v>48380</v>
      </c>
      <c r="I184" s="243">
        <v>109800</v>
      </c>
      <c r="J184" s="179" t="s">
        <v>182</v>
      </c>
      <c r="K184" s="244">
        <v>510</v>
      </c>
      <c r="L184" s="245">
        <v>1030</v>
      </c>
      <c r="M184" s="246" t="s">
        <v>795</v>
      </c>
      <c r="N184" s="244">
        <v>450</v>
      </c>
      <c r="O184" s="245">
        <v>980</v>
      </c>
      <c r="P184" s="246" t="s">
        <v>795</v>
      </c>
      <c r="Q184" s="160" t="s">
        <v>182</v>
      </c>
      <c r="R184" s="187">
        <v>7590</v>
      </c>
      <c r="S184" s="185">
        <v>70</v>
      </c>
      <c r="T184" s="247" t="s">
        <v>184</v>
      </c>
      <c r="V184" s="280"/>
      <c r="W184" s="279" t="s">
        <v>709</v>
      </c>
      <c r="X184" s="176"/>
      <c r="Y184" s="279" t="s">
        <v>709</v>
      </c>
      <c r="Z184" s="279"/>
      <c r="AA184" s="176" t="s">
        <v>332</v>
      </c>
      <c r="AB184" s="177" t="s">
        <v>333</v>
      </c>
      <c r="AD184" s="1547"/>
      <c r="AE184" s="248">
        <v>10440</v>
      </c>
      <c r="AF184" s="176"/>
      <c r="AG184" s="176"/>
      <c r="AH184" s="177"/>
      <c r="AJ184" s="187"/>
      <c r="AK184" s="185"/>
      <c r="AL184" s="176"/>
      <c r="AM184" s="176"/>
      <c r="AN184" s="177"/>
      <c r="AP184" s="1551"/>
      <c r="AQ184" s="1554"/>
      <c r="AR184" s="1551"/>
      <c r="AS184" s="1554"/>
      <c r="AT184" s="1544"/>
      <c r="AU184" s="172" t="s">
        <v>699</v>
      </c>
      <c r="AV184" s="249">
        <v>3500</v>
      </c>
      <c r="AW184" s="250">
        <v>3900</v>
      </c>
      <c r="AX184" s="267">
        <v>2400</v>
      </c>
      <c r="AY184" s="252">
        <v>2400</v>
      </c>
      <c r="BA184" s="235" t="s">
        <v>671</v>
      </c>
      <c r="BC184" s="1557"/>
      <c r="BE184" s="187"/>
      <c r="BF184" s="176"/>
      <c r="BG184" s="176"/>
      <c r="BH184" s="177"/>
      <c r="BJ184" s="253"/>
      <c r="BL184" s="193"/>
      <c r="BM184" s="194"/>
      <c r="BN184" s="194"/>
      <c r="BO184" s="195"/>
      <c r="BQ184" s="187">
        <v>1410</v>
      </c>
      <c r="BR184" s="185" t="s">
        <v>189</v>
      </c>
      <c r="BS184" s="185">
        <v>10</v>
      </c>
      <c r="BT184" s="254" t="s">
        <v>184</v>
      </c>
      <c r="BV184" s="187">
        <v>5060</v>
      </c>
      <c r="BW184" s="185" t="s">
        <v>189</v>
      </c>
      <c r="BX184" s="185">
        <v>50</v>
      </c>
      <c r="BY184" s="185" t="s">
        <v>184</v>
      </c>
      <c r="BZ184" s="254" t="s">
        <v>190</v>
      </c>
      <c r="CB184" s="187">
        <v>3270</v>
      </c>
      <c r="CC184" s="185" t="s">
        <v>189</v>
      </c>
      <c r="CD184" s="185">
        <v>30</v>
      </c>
      <c r="CE184" s="185" t="s">
        <v>184</v>
      </c>
      <c r="CF184" s="254" t="s">
        <v>190</v>
      </c>
      <c r="CH184" s="253"/>
    </row>
    <row r="185" spans="1:86">
      <c r="A185" s="1563"/>
      <c r="B185" s="168"/>
      <c r="C185" s="241" t="s">
        <v>319</v>
      </c>
      <c r="D185" s="177" t="s">
        <v>320</v>
      </c>
      <c r="F185" s="242">
        <v>115480</v>
      </c>
      <c r="G185" s="243">
        <v>191420</v>
      </c>
      <c r="H185" s="242">
        <v>109800</v>
      </c>
      <c r="I185" s="243">
        <v>185740</v>
      </c>
      <c r="J185" s="179" t="s">
        <v>182</v>
      </c>
      <c r="K185" s="244">
        <v>1030</v>
      </c>
      <c r="L185" s="245">
        <v>1790</v>
      </c>
      <c r="M185" s="246" t="s">
        <v>795</v>
      </c>
      <c r="N185" s="244">
        <v>980</v>
      </c>
      <c r="O185" s="245">
        <v>1740</v>
      </c>
      <c r="P185" s="246" t="s">
        <v>795</v>
      </c>
      <c r="R185" s="182"/>
      <c r="S185" s="176"/>
      <c r="T185" s="177"/>
      <c r="V185" s="187"/>
      <c r="W185" s="185">
        <v>458900</v>
      </c>
      <c r="X185" s="176"/>
      <c r="Y185" s="185">
        <v>4580</v>
      </c>
      <c r="Z185" s="176" t="s">
        <v>184</v>
      </c>
      <c r="AA185" s="176"/>
      <c r="AB185" s="177" t="s">
        <v>334</v>
      </c>
      <c r="AC185" s="160" t="s">
        <v>182</v>
      </c>
      <c r="AD185" s="1548">
        <v>10440</v>
      </c>
      <c r="AE185" s="255"/>
      <c r="AF185" s="176"/>
      <c r="AG185" s="176">
        <v>0</v>
      </c>
      <c r="AH185" s="177"/>
      <c r="AJ185" s="187">
        <v>3900</v>
      </c>
      <c r="AK185" s="185" t="s">
        <v>321</v>
      </c>
      <c r="AL185" s="176"/>
      <c r="AM185" s="176"/>
      <c r="AN185" s="177"/>
      <c r="AP185" s="1551"/>
      <c r="AQ185" s="1554"/>
      <c r="AR185" s="1551"/>
      <c r="AS185" s="1554"/>
      <c r="AT185" s="1544"/>
      <c r="AU185" s="172" t="s">
        <v>700</v>
      </c>
      <c r="AV185" s="249">
        <v>3000</v>
      </c>
      <c r="AW185" s="250">
        <v>3400</v>
      </c>
      <c r="AX185" s="267">
        <v>2100</v>
      </c>
      <c r="AY185" s="252">
        <v>2100</v>
      </c>
      <c r="BA185" s="235">
        <v>4660</v>
      </c>
      <c r="BC185" s="358"/>
      <c r="BE185" s="187"/>
      <c r="BF185" s="176"/>
      <c r="BG185" s="176"/>
      <c r="BH185" s="177"/>
      <c r="BJ185" s="253" t="s">
        <v>335</v>
      </c>
      <c r="BL185" s="193">
        <v>0.01</v>
      </c>
      <c r="BM185" s="194">
        <v>0.03</v>
      </c>
      <c r="BN185" s="194">
        <v>0.04</v>
      </c>
      <c r="BO185" s="195">
        <v>0.06</v>
      </c>
      <c r="BQ185" s="187"/>
      <c r="BR185" s="185"/>
      <c r="BS185" s="185"/>
      <c r="BT185" s="254"/>
      <c r="BV185" s="187"/>
      <c r="BW185" s="185"/>
      <c r="BX185" s="185"/>
      <c r="BY185" s="185"/>
      <c r="BZ185" s="254"/>
      <c r="CB185" s="187"/>
      <c r="CC185" s="185"/>
      <c r="CD185" s="185"/>
      <c r="CE185" s="185"/>
      <c r="CF185" s="254"/>
      <c r="CH185" s="253">
        <v>0.91</v>
      </c>
    </row>
    <row r="186" spans="1:86">
      <c r="A186" s="1563"/>
      <c r="B186" s="168"/>
      <c r="C186" s="241"/>
      <c r="D186" s="177" t="s">
        <v>322</v>
      </c>
      <c r="F186" s="256">
        <v>191420</v>
      </c>
      <c r="G186" s="257"/>
      <c r="H186" s="256">
        <v>185740</v>
      </c>
      <c r="I186" s="257"/>
      <c r="J186" s="179" t="s">
        <v>182</v>
      </c>
      <c r="K186" s="258">
        <v>1790</v>
      </c>
      <c r="L186" s="259"/>
      <c r="M186" s="260" t="s">
        <v>795</v>
      </c>
      <c r="N186" s="258">
        <v>1740</v>
      </c>
      <c r="O186" s="259"/>
      <c r="P186" s="260" t="s">
        <v>795</v>
      </c>
      <c r="R186" s="182"/>
      <c r="S186" s="176"/>
      <c r="T186" s="177"/>
      <c r="V186" s="187"/>
      <c r="W186" s="185"/>
      <c r="X186" s="176"/>
      <c r="Y186" s="185"/>
      <c r="Z186" s="176"/>
      <c r="AA186" s="176"/>
      <c r="AB186" s="177"/>
      <c r="AD186" s="1549"/>
      <c r="AE186" s="261"/>
      <c r="AF186" s="271"/>
      <c r="AG186" s="271"/>
      <c r="AH186" s="184"/>
      <c r="AJ186" s="187"/>
      <c r="AK186" s="185"/>
      <c r="AL186" s="176"/>
      <c r="AM186" s="176"/>
      <c r="AN186" s="177"/>
      <c r="AP186" s="1552"/>
      <c r="AQ186" s="1555"/>
      <c r="AR186" s="1552"/>
      <c r="AS186" s="1555"/>
      <c r="AT186" s="1544"/>
      <c r="AU186" s="262" t="s">
        <v>701</v>
      </c>
      <c r="AV186" s="263">
        <v>2700</v>
      </c>
      <c r="AW186" s="264">
        <v>3000</v>
      </c>
      <c r="AX186" s="265">
        <v>1900</v>
      </c>
      <c r="AY186" s="266">
        <v>1900</v>
      </c>
      <c r="BA186" s="277"/>
      <c r="BC186" s="359"/>
      <c r="BE186" s="187"/>
      <c r="BF186" s="176"/>
      <c r="BG186" s="176"/>
      <c r="BH186" s="177"/>
      <c r="BJ186" s="253"/>
      <c r="BL186" s="193"/>
      <c r="BM186" s="194"/>
      <c r="BN186" s="194"/>
      <c r="BO186" s="195"/>
      <c r="BQ186" s="187"/>
      <c r="BR186" s="185"/>
      <c r="BS186" s="185"/>
      <c r="BT186" s="254"/>
      <c r="BV186" s="187"/>
      <c r="BW186" s="185"/>
      <c r="BX186" s="185"/>
      <c r="BY186" s="185"/>
      <c r="BZ186" s="254"/>
      <c r="CB186" s="187"/>
      <c r="CC186" s="185"/>
      <c r="CD186" s="185"/>
      <c r="CE186" s="185"/>
      <c r="CF186" s="254"/>
      <c r="CH186" s="253"/>
    </row>
    <row r="187" spans="1:86" ht="63">
      <c r="A187" s="1563"/>
      <c r="B187" s="215" t="s">
        <v>336</v>
      </c>
      <c r="C187" s="216" t="s">
        <v>313</v>
      </c>
      <c r="D187" s="217" t="s">
        <v>314</v>
      </c>
      <c r="F187" s="218">
        <v>40220</v>
      </c>
      <c r="G187" s="219">
        <v>47810</v>
      </c>
      <c r="H187" s="218">
        <v>35110</v>
      </c>
      <c r="I187" s="219">
        <v>42700</v>
      </c>
      <c r="J187" s="179" t="s">
        <v>182</v>
      </c>
      <c r="K187" s="220">
        <v>380</v>
      </c>
      <c r="L187" s="221">
        <v>450</v>
      </c>
      <c r="M187" s="222" t="s">
        <v>795</v>
      </c>
      <c r="N187" s="220">
        <v>330</v>
      </c>
      <c r="O187" s="221">
        <v>400</v>
      </c>
      <c r="P187" s="222" t="s">
        <v>795</v>
      </c>
      <c r="Q187" s="160" t="s">
        <v>182</v>
      </c>
      <c r="R187" s="223">
        <v>7590</v>
      </c>
      <c r="S187" s="224">
        <v>70</v>
      </c>
      <c r="T187" s="225" t="s">
        <v>184</v>
      </c>
      <c r="V187" s="280"/>
      <c r="W187" s="279" t="s">
        <v>710</v>
      </c>
      <c r="X187" s="176"/>
      <c r="Y187" s="279" t="s">
        <v>710</v>
      </c>
      <c r="Z187" s="279"/>
      <c r="AA187" s="176"/>
      <c r="AB187" s="177"/>
      <c r="AD187" s="281"/>
      <c r="AE187" s="281"/>
      <c r="AF187" s="176"/>
      <c r="AG187" s="176"/>
      <c r="AH187" s="177"/>
      <c r="AJ187" s="187" t="s">
        <v>211</v>
      </c>
      <c r="AK187" s="185"/>
      <c r="AL187" s="176" t="s">
        <v>182</v>
      </c>
      <c r="AM187" s="176">
        <v>30</v>
      </c>
      <c r="AN187" s="177" t="s">
        <v>316</v>
      </c>
      <c r="AO187" s="160" t="s">
        <v>182</v>
      </c>
      <c r="AP187" s="1550">
        <v>2800</v>
      </c>
      <c r="AQ187" s="1553">
        <v>3100</v>
      </c>
      <c r="AR187" s="1550">
        <v>2000</v>
      </c>
      <c r="AS187" s="1553">
        <v>2000</v>
      </c>
      <c r="AT187" s="1544" t="s">
        <v>664</v>
      </c>
      <c r="AU187" s="230" t="s">
        <v>697</v>
      </c>
      <c r="AV187" s="231">
        <v>5500</v>
      </c>
      <c r="AW187" s="232">
        <v>6200</v>
      </c>
      <c r="AX187" s="267">
        <v>3900</v>
      </c>
      <c r="AY187" s="252">
        <v>3900</v>
      </c>
      <c r="BA187" s="235" t="s">
        <v>672</v>
      </c>
      <c r="BB187" s="160" t="s">
        <v>182</v>
      </c>
      <c r="BC187" s="1556">
        <v>4700</v>
      </c>
      <c r="BD187" s="160" t="s">
        <v>182</v>
      </c>
      <c r="BE187" s="228">
        <v>2170</v>
      </c>
      <c r="BF187" s="226" t="s">
        <v>182</v>
      </c>
      <c r="BG187" s="226">
        <v>20</v>
      </c>
      <c r="BH187" s="217" t="s">
        <v>184</v>
      </c>
      <c r="BJ187" s="253">
        <v>0.1</v>
      </c>
      <c r="BK187" s="160" t="s">
        <v>188</v>
      </c>
      <c r="BL187" s="237" t="s">
        <v>317</v>
      </c>
      <c r="BM187" s="238" t="s">
        <v>317</v>
      </c>
      <c r="BN187" s="238" t="s">
        <v>317</v>
      </c>
      <c r="BO187" s="239" t="s">
        <v>317</v>
      </c>
      <c r="BP187" s="160" t="s">
        <v>188</v>
      </c>
      <c r="BQ187" s="228"/>
      <c r="BR187" s="229"/>
      <c r="BS187" s="229"/>
      <c r="BT187" s="240"/>
      <c r="BU187" s="160" t="s">
        <v>188</v>
      </c>
      <c r="BV187" s="228"/>
      <c r="BW187" s="229"/>
      <c r="BX187" s="229"/>
      <c r="BY187" s="229"/>
      <c r="BZ187" s="240"/>
      <c r="CA187" s="160" t="s">
        <v>188</v>
      </c>
      <c r="CB187" s="228"/>
      <c r="CC187" s="229"/>
      <c r="CD187" s="229"/>
      <c r="CE187" s="229"/>
      <c r="CF187" s="240"/>
      <c r="CH187" s="236" t="s">
        <v>324</v>
      </c>
    </row>
    <row r="188" spans="1:86">
      <c r="A188" s="1563"/>
      <c r="B188" s="168"/>
      <c r="C188" s="241"/>
      <c r="D188" s="177" t="s">
        <v>318</v>
      </c>
      <c r="F188" s="242">
        <v>47810</v>
      </c>
      <c r="G188" s="243">
        <v>109230</v>
      </c>
      <c r="H188" s="242">
        <v>42700</v>
      </c>
      <c r="I188" s="243">
        <v>104120</v>
      </c>
      <c r="J188" s="179" t="s">
        <v>182</v>
      </c>
      <c r="K188" s="244">
        <v>450</v>
      </c>
      <c r="L188" s="245">
        <v>970</v>
      </c>
      <c r="M188" s="246" t="s">
        <v>795</v>
      </c>
      <c r="N188" s="244">
        <v>400</v>
      </c>
      <c r="O188" s="245">
        <v>920</v>
      </c>
      <c r="P188" s="246" t="s">
        <v>795</v>
      </c>
      <c r="Q188" s="160" t="s">
        <v>182</v>
      </c>
      <c r="R188" s="187">
        <v>7590</v>
      </c>
      <c r="S188" s="185">
        <v>70</v>
      </c>
      <c r="T188" s="247" t="s">
        <v>184</v>
      </c>
      <c r="V188" s="187"/>
      <c r="W188" s="185">
        <v>495600</v>
      </c>
      <c r="X188" s="176"/>
      <c r="Y188" s="185">
        <v>4950</v>
      </c>
      <c r="Z188" s="176" t="s">
        <v>184</v>
      </c>
      <c r="AA188" s="176"/>
      <c r="AB188" s="177"/>
      <c r="AD188" s="281"/>
      <c r="AE188" s="281"/>
      <c r="AF188" s="176"/>
      <c r="AG188" s="176"/>
      <c r="AH188" s="177"/>
      <c r="AJ188" s="187"/>
      <c r="AK188" s="185"/>
      <c r="AL188" s="176"/>
      <c r="AM188" s="176"/>
      <c r="AN188" s="177"/>
      <c r="AP188" s="1551"/>
      <c r="AQ188" s="1554"/>
      <c r="AR188" s="1551"/>
      <c r="AS188" s="1554"/>
      <c r="AT188" s="1544"/>
      <c r="AU188" s="172" t="s">
        <v>699</v>
      </c>
      <c r="AV188" s="249">
        <v>3000</v>
      </c>
      <c r="AW188" s="250">
        <v>3400</v>
      </c>
      <c r="AX188" s="267">
        <v>2100</v>
      </c>
      <c r="AY188" s="252">
        <v>2100</v>
      </c>
      <c r="BA188" s="235">
        <v>4250</v>
      </c>
      <c r="BC188" s="1557"/>
      <c r="BE188" s="187"/>
      <c r="BF188" s="176"/>
      <c r="BG188" s="176"/>
      <c r="BH188" s="177"/>
      <c r="BJ188" s="253"/>
      <c r="BL188" s="193"/>
      <c r="BM188" s="194"/>
      <c r="BN188" s="194"/>
      <c r="BO188" s="195"/>
      <c r="BQ188" s="187">
        <v>1270</v>
      </c>
      <c r="BR188" s="185" t="s">
        <v>189</v>
      </c>
      <c r="BS188" s="185">
        <v>10</v>
      </c>
      <c r="BT188" s="254" t="s">
        <v>184</v>
      </c>
      <c r="BV188" s="187">
        <v>4550</v>
      </c>
      <c r="BW188" s="185" t="s">
        <v>189</v>
      </c>
      <c r="BX188" s="185">
        <v>40</v>
      </c>
      <c r="BY188" s="185" t="s">
        <v>184</v>
      </c>
      <c r="BZ188" s="254" t="s">
        <v>190</v>
      </c>
      <c r="CB188" s="187">
        <v>2940</v>
      </c>
      <c r="CC188" s="185" t="s">
        <v>189</v>
      </c>
      <c r="CD188" s="185">
        <v>20</v>
      </c>
      <c r="CE188" s="185" t="s">
        <v>184</v>
      </c>
      <c r="CF188" s="254" t="s">
        <v>190</v>
      </c>
      <c r="CH188" s="253"/>
    </row>
    <row r="189" spans="1:86">
      <c r="A189" s="1563"/>
      <c r="B189" s="168"/>
      <c r="C189" s="241" t="s">
        <v>319</v>
      </c>
      <c r="D189" s="177" t="s">
        <v>320</v>
      </c>
      <c r="F189" s="242">
        <v>109230</v>
      </c>
      <c r="G189" s="243">
        <v>185170</v>
      </c>
      <c r="H189" s="242">
        <v>104120</v>
      </c>
      <c r="I189" s="243">
        <v>180060</v>
      </c>
      <c r="J189" s="179" t="s">
        <v>182</v>
      </c>
      <c r="K189" s="244">
        <v>970</v>
      </c>
      <c r="L189" s="245">
        <v>1730</v>
      </c>
      <c r="M189" s="246" t="s">
        <v>795</v>
      </c>
      <c r="N189" s="244">
        <v>920</v>
      </c>
      <c r="O189" s="245">
        <v>1680</v>
      </c>
      <c r="P189" s="246" t="s">
        <v>795</v>
      </c>
      <c r="R189" s="182"/>
      <c r="S189" s="176"/>
      <c r="T189" s="177"/>
      <c r="V189" s="187"/>
      <c r="W189" s="185"/>
      <c r="X189" s="176"/>
      <c r="Y189" s="185"/>
      <c r="Z189" s="176"/>
      <c r="AA189" s="176"/>
      <c r="AB189" s="177"/>
      <c r="AD189" s="281"/>
      <c r="AE189" s="281"/>
      <c r="AF189" s="176"/>
      <c r="AG189" s="176"/>
      <c r="AH189" s="177"/>
      <c r="AJ189" s="187">
        <v>3470</v>
      </c>
      <c r="AK189" s="185" t="s">
        <v>321</v>
      </c>
      <c r="AL189" s="176"/>
      <c r="AM189" s="176"/>
      <c r="AN189" s="177"/>
      <c r="AP189" s="1551"/>
      <c r="AQ189" s="1554"/>
      <c r="AR189" s="1551"/>
      <c r="AS189" s="1554"/>
      <c r="AT189" s="1544"/>
      <c r="AU189" s="172" t="s">
        <v>700</v>
      </c>
      <c r="AV189" s="249">
        <v>2600</v>
      </c>
      <c r="AW189" s="250">
        <v>2900</v>
      </c>
      <c r="AX189" s="267">
        <v>1800</v>
      </c>
      <c r="AY189" s="252">
        <v>1800</v>
      </c>
      <c r="BA189" s="277"/>
      <c r="BC189" s="359"/>
      <c r="BE189" s="187"/>
      <c r="BF189" s="176"/>
      <c r="BG189" s="176"/>
      <c r="BH189" s="177"/>
      <c r="BJ189" s="253"/>
      <c r="BL189" s="193">
        <v>0.01</v>
      </c>
      <c r="BM189" s="194">
        <v>0.03</v>
      </c>
      <c r="BN189" s="194">
        <v>0.04</v>
      </c>
      <c r="BO189" s="195">
        <v>0.06</v>
      </c>
      <c r="BQ189" s="187"/>
      <c r="BR189" s="185"/>
      <c r="BS189" s="185"/>
      <c r="BT189" s="254"/>
      <c r="BV189" s="187"/>
      <c r="BW189" s="185"/>
      <c r="BX189" s="185"/>
      <c r="BY189" s="185"/>
      <c r="BZ189" s="254"/>
      <c r="CB189" s="187"/>
      <c r="CC189" s="185"/>
      <c r="CD189" s="185"/>
      <c r="CE189" s="185"/>
      <c r="CF189" s="254"/>
      <c r="CH189" s="253">
        <v>0.96</v>
      </c>
    </row>
    <row r="190" spans="1:86">
      <c r="A190" s="1563"/>
      <c r="B190" s="269"/>
      <c r="C190" s="270"/>
      <c r="D190" s="184" t="s">
        <v>322</v>
      </c>
      <c r="F190" s="256">
        <v>185170</v>
      </c>
      <c r="G190" s="257"/>
      <c r="H190" s="256">
        <v>180060</v>
      </c>
      <c r="I190" s="257"/>
      <c r="J190" s="179" t="s">
        <v>182</v>
      </c>
      <c r="K190" s="258">
        <v>1730</v>
      </c>
      <c r="L190" s="259"/>
      <c r="M190" s="260" t="s">
        <v>795</v>
      </c>
      <c r="N190" s="258">
        <v>1680</v>
      </c>
      <c r="O190" s="259"/>
      <c r="P190" s="260" t="s">
        <v>795</v>
      </c>
      <c r="R190" s="183"/>
      <c r="S190" s="271"/>
      <c r="T190" s="184"/>
      <c r="V190" s="280"/>
      <c r="W190" s="279" t="s">
        <v>711</v>
      </c>
      <c r="X190" s="176"/>
      <c r="Y190" s="279" t="s">
        <v>711</v>
      </c>
      <c r="Z190" s="279"/>
      <c r="AA190" s="176"/>
      <c r="AB190" s="177"/>
      <c r="AD190" s="281"/>
      <c r="AE190" s="281"/>
      <c r="AF190" s="176"/>
      <c r="AG190" s="176"/>
      <c r="AH190" s="177"/>
      <c r="AJ190" s="187"/>
      <c r="AK190" s="185"/>
      <c r="AL190" s="176"/>
      <c r="AM190" s="176"/>
      <c r="AN190" s="177"/>
      <c r="AP190" s="1552"/>
      <c r="AQ190" s="1555"/>
      <c r="AR190" s="1552"/>
      <c r="AS190" s="1555"/>
      <c r="AT190" s="1544"/>
      <c r="AU190" s="262" t="s">
        <v>701</v>
      </c>
      <c r="AV190" s="263">
        <v>2400</v>
      </c>
      <c r="AW190" s="264">
        <v>2600</v>
      </c>
      <c r="AX190" s="265">
        <v>1600</v>
      </c>
      <c r="AY190" s="266">
        <v>1600</v>
      </c>
      <c r="BA190" s="235" t="s">
        <v>673</v>
      </c>
      <c r="BC190" s="359"/>
      <c r="BE190" s="186"/>
      <c r="BF190" s="271"/>
      <c r="BG190" s="271"/>
      <c r="BH190" s="184"/>
      <c r="BJ190" s="253"/>
      <c r="BL190" s="272"/>
      <c r="BM190" s="273"/>
      <c r="BN190" s="273"/>
      <c r="BO190" s="274"/>
      <c r="BQ190" s="186"/>
      <c r="BR190" s="196"/>
      <c r="BS190" s="196"/>
      <c r="BT190" s="197"/>
      <c r="BV190" s="186"/>
      <c r="BW190" s="196"/>
      <c r="BX190" s="196"/>
      <c r="BY190" s="196"/>
      <c r="BZ190" s="197"/>
      <c r="CB190" s="186"/>
      <c r="CC190" s="196"/>
      <c r="CD190" s="196"/>
      <c r="CE190" s="196"/>
      <c r="CF190" s="197"/>
      <c r="CH190" s="198"/>
    </row>
    <row r="191" spans="1:86" ht="63">
      <c r="A191" s="1563"/>
      <c r="B191" s="168" t="s">
        <v>337</v>
      </c>
      <c r="C191" s="241" t="s">
        <v>313</v>
      </c>
      <c r="D191" s="177" t="s">
        <v>314</v>
      </c>
      <c r="F191" s="218">
        <v>38220</v>
      </c>
      <c r="G191" s="219">
        <v>45810</v>
      </c>
      <c r="H191" s="218">
        <v>33570</v>
      </c>
      <c r="I191" s="219">
        <v>41160</v>
      </c>
      <c r="J191" s="179" t="s">
        <v>182</v>
      </c>
      <c r="K191" s="220">
        <v>360</v>
      </c>
      <c r="L191" s="221">
        <v>430</v>
      </c>
      <c r="M191" s="222" t="s">
        <v>795</v>
      </c>
      <c r="N191" s="220">
        <v>310</v>
      </c>
      <c r="O191" s="221">
        <v>380</v>
      </c>
      <c r="P191" s="222" t="s">
        <v>795</v>
      </c>
      <c r="Q191" s="160" t="s">
        <v>182</v>
      </c>
      <c r="R191" s="275">
        <v>7590</v>
      </c>
      <c r="S191" s="276">
        <v>70</v>
      </c>
      <c r="T191" s="247" t="s">
        <v>184</v>
      </c>
      <c r="V191" s="187"/>
      <c r="W191" s="185">
        <v>532400</v>
      </c>
      <c r="X191" s="176"/>
      <c r="Y191" s="185">
        <v>5320</v>
      </c>
      <c r="Z191" s="176" t="s">
        <v>184</v>
      </c>
      <c r="AA191" s="176"/>
      <c r="AB191" s="177"/>
      <c r="AD191" s="281"/>
      <c r="AE191" s="281"/>
      <c r="AF191" s="176"/>
      <c r="AG191" s="176"/>
      <c r="AH191" s="177"/>
      <c r="AJ191" s="187" t="s">
        <v>213</v>
      </c>
      <c r="AK191" s="185"/>
      <c r="AL191" s="176" t="s">
        <v>182</v>
      </c>
      <c r="AM191" s="176">
        <v>30</v>
      </c>
      <c r="AN191" s="177" t="s">
        <v>316</v>
      </c>
      <c r="AO191" s="160" t="s">
        <v>182</v>
      </c>
      <c r="AP191" s="1550">
        <v>3100</v>
      </c>
      <c r="AQ191" s="1553">
        <v>3400</v>
      </c>
      <c r="AR191" s="1550">
        <v>2100</v>
      </c>
      <c r="AS191" s="1553">
        <v>2100</v>
      </c>
      <c r="AT191" s="1544" t="s">
        <v>664</v>
      </c>
      <c r="AU191" s="230" t="s">
        <v>697</v>
      </c>
      <c r="AV191" s="231">
        <v>6100</v>
      </c>
      <c r="AW191" s="232">
        <v>6800</v>
      </c>
      <c r="AX191" s="267">
        <v>4200</v>
      </c>
      <c r="AY191" s="252">
        <v>4200</v>
      </c>
      <c r="BA191" s="235">
        <v>3920</v>
      </c>
      <c r="BB191" s="160" t="s">
        <v>182</v>
      </c>
      <c r="BC191" s="1556">
        <v>4700</v>
      </c>
      <c r="BD191" s="160" t="s">
        <v>182</v>
      </c>
      <c r="BE191" s="187">
        <v>1980</v>
      </c>
      <c r="BF191" s="176" t="s">
        <v>182</v>
      </c>
      <c r="BG191" s="176">
        <v>10</v>
      </c>
      <c r="BH191" s="177" t="s">
        <v>184</v>
      </c>
      <c r="BJ191" s="253"/>
      <c r="BK191" s="160" t="s">
        <v>188</v>
      </c>
      <c r="BL191" s="193" t="s">
        <v>317</v>
      </c>
      <c r="BM191" s="194" t="s">
        <v>317</v>
      </c>
      <c r="BN191" s="194" t="s">
        <v>317</v>
      </c>
      <c r="BO191" s="195" t="s">
        <v>317</v>
      </c>
      <c r="BP191" s="160" t="s">
        <v>188</v>
      </c>
      <c r="BQ191" s="187"/>
      <c r="BR191" s="185"/>
      <c r="BS191" s="185"/>
      <c r="BT191" s="254"/>
      <c r="BU191" s="160" t="s">
        <v>188</v>
      </c>
      <c r="BV191" s="187"/>
      <c r="BW191" s="185"/>
      <c r="BX191" s="185"/>
      <c r="BY191" s="185"/>
      <c r="BZ191" s="254"/>
      <c r="CA191" s="160" t="s">
        <v>188</v>
      </c>
      <c r="CB191" s="187"/>
      <c r="CC191" s="185"/>
      <c r="CD191" s="185"/>
      <c r="CE191" s="185"/>
      <c r="CF191" s="254"/>
      <c r="CH191" s="253" t="s">
        <v>324</v>
      </c>
    </row>
    <row r="192" spans="1:86">
      <c r="A192" s="1563"/>
      <c r="B192" s="168"/>
      <c r="C192" s="241"/>
      <c r="D192" s="177" t="s">
        <v>318</v>
      </c>
      <c r="F192" s="242">
        <v>45810</v>
      </c>
      <c r="G192" s="243">
        <v>107230</v>
      </c>
      <c r="H192" s="242">
        <v>41160</v>
      </c>
      <c r="I192" s="243">
        <v>102580</v>
      </c>
      <c r="J192" s="179" t="s">
        <v>182</v>
      </c>
      <c r="K192" s="244">
        <v>430</v>
      </c>
      <c r="L192" s="245">
        <v>950</v>
      </c>
      <c r="M192" s="246" t="s">
        <v>795</v>
      </c>
      <c r="N192" s="244">
        <v>380</v>
      </c>
      <c r="O192" s="245">
        <v>910</v>
      </c>
      <c r="P192" s="246" t="s">
        <v>795</v>
      </c>
      <c r="Q192" s="160" t="s">
        <v>182</v>
      </c>
      <c r="R192" s="187">
        <v>7590</v>
      </c>
      <c r="S192" s="185">
        <v>70</v>
      </c>
      <c r="T192" s="247" t="s">
        <v>184</v>
      </c>
      <c r="V192" s="187"/>
      <c r="W192" s="185"/>
      <c r="X192" s="176"/>
      <c r="Y192" s="185"/>
      <c r="Z192" s="176"/>
      <c r="AA192" s="176"/>
      <c r="AB192" s="177"/>
      <c r="AD192" s="281"/>
      <c r="AE192" s="281"/>
      <c r="AF192" s="176"/>
      <c r="AG192" s="176"/>
      <c r="AH192" s="177"/>
      <c r="AJ192" s="187"/>
      <c r="AK192" s="185"/>
      <c r="AL192" s="176"/>
      <c r="AM192" s="176"/>
      <c r="AN192" s="177"/>
      <c r="AP192" s="1551"/>
      <c r="AQ192" s="1554"/>
      <c r="AR192" s="1551"/>
      <c r="AS192" s="1554"/>
      <c r="AT192" s="1544"/>
      <c r="AU192" s="172" t="s">
        <v>699</v>
      </c>
      <c r="AV192" s="249">
        <v>3300</v>
      </c>
      <c r="AW192" s="250">
        <v>3700</v>
      </c>
      <c r="AX192" s="267">
        <v>2300</v>
      </c>
      <c r="AY192" s="252">
        <v>2300</v>
      </c>
      <c r="BA192" s="277"/>
      <c r="BC192" s="1557"/>
      <c r="BE192" s="187"/>
      <c r="BF192" s="176"/>
      <c r="BG192" s="176"/>
      <c r="BH192" s="177"/>
      <c r="BJ192" s="253"/>
      <c r="BL192" s="193"/>
      <c r="BM192" s="194"/>
      <c r="BN192" s="194"/>
      <c r="BO192" s="195"/>
      <c r="BQ192" s="187">
        <v>1150</v>
      </c>
      <c r="BR192" s="185" t="s">
        <v>189</v>
      </c>
      <c r="BS192" s="185">
        <v>10</v>
      </c>
      <c r="BT192" s="254" t="s">
        <v>184</v>
      </c>
      <c r="BV192" s="187">
        <v>4140</v>
      </c>
      <c r="BW192" s="185" t="s">
        <v>189</v>
      </c>
      <c r="BX192" s="185">
        <v>40</v>
      </c>
      <c r="BY192" s="185" t="s">
        <v>184</v>
      </c>
      <c r="BZ192" s="254" t="s">
        <v>190</v>
      </c>
      <c r="CB192" s="187">
        <v>2670</v>
      </c>
      <c r="CC192" s="185" t="s">
        <v>189</v>
      </c>
      <c r="CD192" s="185">
        <v>20</v>
      </c>
      <c r="CE192" s="185" t="s">
        <v>184</v>
      </c>
      <c r="CF192" s="254" t="s">
        <v>190</v>
      </c>
      <c r="CH192" s="253"/>
    </row>
    <row r="193" spans="1:86">
      <c r="A193" s="1563"/>
      <c r="B193" s="168"/>
      <c r="C193" s="241" t="s">
        <v>319</v>
      </c>
      <c r="D193" s="177" t="s">
        <v>320</v>
      </c>
      <c r="F193" s="242">
        <v>107230</v>
      </c>
      <c r="G193" s="243">
        <v>183170</v>
      </c>
      <c r="H193" s="242">
        <v>102580</v>
      </c>
      <c r="I193" s="243">
        <v>178520</v>
      </c>
      <c r="J193" s="179" t="s">
        <v>182</v>
      </c>
      <c r="K193" s="244">
        <v>950</v>
      </c>
      <c r="L193" s="245">
        <v>1710</v>
      </c>
      <c r="M193" s="246" t="s">
        <v>795</v>
      </c>
      <c r="N193" s="244">
        <v>910</v>
      </c>
      <c r="O193" s="245">
        <v>1670</v>
      </c>
      <c r="P193" s="246" t="s">
        <v>795</v>
      </c>
      <c r="R193" s="182"/>
      <c r="S193" s="176"/>
      <c r="T193" s="177"/>
      <c r="V193" s="280"/>
      <c r="W193" s="279" t="s">
        <v>712</v>
      </c>
      <c r="X193" s="176"/>
      <c r="Y193" s="279" t="s">
        <v>712</v>
      </c>
      <c r="Z193" s="279"/>
      <c r="AA193" s="176"/>
      <c r="AB193" s="177"/>
      <c r="AD193" s="281"/>
      <c r="AE193" s="281"/>
      <c r="AF193" s="176"/>
      <c r="AG193" s="176"/>
      <c r="AH193" s="177"/>
      <c r="AJ193" s="187">
        <v>3120</v>
      </c>
      <c r="AK193" s="185" t="s">
        <v>321</v>
      </c>
      <c r="AL193" s="176"/>
      <c r="AM193" s="176"/>
      <c r="AN193" s="177"/>
      <c r="AP193" s="1551"/>
      <c r="AQ193" s="1554"/>
      <c r="AR193" s="1551"/>
      <c r="AS193" s="1554"/>
      <c r="AT193" s="1544"/>
      <c r="AU193" s="172" t="s">
        <v>700</v>
      </c>
      <c r="AV193" s="249">
        <v>2900</v>
      </c>
      <c r="AW193" s="250">
        <v>3200</v>
      </c>
      <c r="AX193" s="267">
        <v>2000</v>
      </c>
      <c r="AY193" s="252">
        <v>2000</v>
      </c>
      <c r="BA193" s="235" t="s">
        <v>674</v>
      </c>
      <c r="BC193" s="359"/>
      <c r="BE193" s="187"/>
      <c r="BF193" s="176"/>
      <c r="BG193" s="176"/>
      <c r="BH193" s="177"/>
      <c r="BJ193" s="253"/>
      <c r="BL193" s="193">
        <v>0.01</v>
      </c>
      <c r="BM193" s="194">
        <v>0.03</v>
      </c>
      <c r="BN193" s="194">
        <v>0.04</v>
      </c>
      <c r="BO193" s="195">
        <v>0.06</v>
      </c>
      <c r="BQ193" s="187"/>
      <c r="BR193" s="185"/>
      <c r="BS193" s="185"/>
      <c r="BT193" s="254"/>
      <c r="BV193" s="187"/>
      <c r="BW193" s="185"/>
      <c r="BX193" s="185"/>
      <c r="BY193" s="185"/>
      <c r="BZ193" s="254"/>
      <c r="CB193" s="187"/>
      <c r="CC193" s="185"/>
      <c r="CD193" s="185"/>
      <c r="CE193" s="185"/>
      <c r="CF193" s="254"/>
      <c r="CH193" s="253">
        <v>0.95</v>
      </c>
    </row>
    <row r="194" spans="1:86">
      <c r="A194" s="1563"/>
      <c r="B194" s="168"/>
      <c r="C194" s="241"/>
      <c r="D194" s="177" t="s">
        <v>322</v>
      </c>
      <c r="F194" s="256">
        <v>183170</v>
      </c>
      <c r="G194" s="257"/>
      <c r="H194" s="256">
        <v>178520</v>
      </c>
      <c r="I194" s="257"/>
      <c r="J194" s="179" t="s">
        <v>182</v>
      </c>
      <c r="K194" s="258">
        <v>1710</v>
      </c>
      <c r="L194" s="259"/>
      <c r="M194" s="260" t="s">
        <v>795</v>
      </c>
      <c r="N194" s="258">
        <v>1670</v>
      </c>
      <c r="O194" s="259"/>
      <c r="P194" s="260" t="s">
        <v>795</v>
      </c>
      <c r="R194" s="182"/>
      <c r="S194" s="176"/>
      <c r="T194" s="177"/>
      <c r="V194" s="187"/>
      <c r="W194" s="185">
        <v>569100</v>
      </c>
      <c r="X194" s="176"/>
      <c r="Y194" s="185">
        <v>5690</v>
      </c>
      <c r="Z194" s="176" t="s">
        <v>184</v>
      </c>
      <c r="AA194" s="176"/>
      <c r="AB194" s="177"/>
      <c r="AD194" s="281"/>
      <c r="AE194" s="281"/>
      <c r="AF194" s="176"/>
      <c r="AG194" s="176"/>
      <c r="AH194" s="177"/>
      <c r="AJ194" s="187"/>
      <c r="AK194" s="185"/>
      <c r="AL194" s="176"/>
      <c r="AM194" s="176"/>
      <c r="AN194" s="177"/>
      <c r="AP194" s="1552"/>
      <c r="AQ194" s="1555"/>
      <c r="AR194" s="1552"/>
      <c r="AS194" s="1555"/>
      <c r="AT194" s="1544"/>
      <c r="AU194" s="262" t="s">
        <v>701</v>
      </c>
      <c r="AV194" s="263">
        <v>2600</v>
      </c>
      <c r="AW194" s="264">
        <v>2900</v>
      </c>
      <c r="AX194" s="265">
        <v>1800</v>
      </c>
      <c r="AY194" s="266">
        <v>1800</v>
      </c>
      <c r="BA194" s="235">
        <v>3660</v>
      </c>
      <c r="BC194" s="359"/>
      <c r="BE194" s="187"/>
      <c r="BF194" s="176"/>
      <c r="BG194" s="176"/>
      <c r="BH194" s="177"/>
      <c r="BJ194" s="253"/>
      <c r="BL194" s="193"/>
      <c r="BM194" s="194"/>
      <c r="BN194" s="194"/>
      <c r="BO194" s="195"/>
      <c r="BQ194" s="187"/>
      <c r="BR194" s="185"/>
      <c r="BS194" s="185"/>
      <c r="BT194" s="254"/>
      <c r="BV194" s="187"/>
      <c r="BW194" s="185"/>
      <c r="BX194" s="185"/>
      <c r="BY194" s="185"/>
      <c r="BZ194" s="254"/>
      <c r="CB194" s="187"/>
      <c r="CC194" s="185"/>
      <c r="CD194" s="185"/>
      <c r="CE194" s="185"/>
      <c r="CF194" s="254"/>
      <c r="CH194" s="253"/>
    </row>
    <row r="195" spans="1:86" ht="63">
      <c r="A195" s="1563"/>
      <c r="B195" s="215" t="s">
        <v>338</v>
      </c>
      <c r="C195" s="216" t="s">
        <v>313</v>
      </c>
      <c r="D195" s="217" t="s">
        <v>314</v>
      </c>
      <c r="F195" s="218">
        <v>36510</v>
      </c>
      <c r="G195" s="219">
        <v>44100</v>
      </c>
      <c r="H195" s="218">
        <v>32250</v>
      </c>
      <c r="I195" s="219">
        <v>39840</v>
      </c>
      <c r="J195" s="179" t="s">
        <v>182</v>
      </c>
      <c r="K195" s="220">
        <v>340</v>
      </c>
      <c r="L195" s="221">
        <v>410</v>
      </c>
      <c r="M195" s="222" t="s">
        <v>795</v>
      </c>
      <c r="N195" s="220">
        <v>300</v>
      </c>
      <c r="O195" s="221">
        <v>370</v>
      </c>
      <c r="P195" s="222" t="s">
        <v>795</v>
      </c>
      <c r="Q195" s="160" t="s">
        <v>182</v>
      </c>
      <c r="R195" s="223">
        <v>7590</v>
      </c>
      <c r="S195" s="224">
        <v>70</v>
      </c>
      <c r="T195" s="225" t="s">
        <v>184</v>
      </c>
      <c r="V195" s="187"/>
      <c r="W195" s="185"/>
      <c r="X195" s="176"/>
      <c r="Y195" s="185"/>
      <c r="Z195" s="176"/>
      <c r="AA195" s="176"/>
      <c r="AB195" s="177"/>
      <c r="AD195" s="281"/>
      <c r="AE195" s="281"/>
      <c r="AF195" s="176"/>
      <c r="AG195" s="176"/>
      <c r="AH195" s="177"/>
      <c r="AJ195" s="187" t="s">
        <v>215</v>
      </c>
      <c r="AK195" s="185"/>
      <c r="AL195" s="176" t="s">
        <v>182</v>
      </c>
      <c r="AM195" s="176">
        <v>20</v>
      </c>
      <c r="AN195" s="177" t="s">
        <v>316</v>
      </c>
      <c r="AO195" s="160" t="s">
        <v>182</v>
      </c>
      <c r="AP195" s="1550">
        <v>2800</v>
      </c>
      <c r="AQ195" s="1553">
        <v>3100</v>
      </c>
      <c r="AR195" s="1550">
        <v>2000</v>
      </c>
      <c r="AS195" s="1553">
        <v>2000</v>
      </c>
      <c r="AT195" s="1544" t="s">
        <v>664</v>
      </c>
      <c r="AU195" s="230" t="s">
        <v>697</v>
      </c>
      <c r="AV195" s="231">
        <v>5500</v>
      </c>
      <c r="AW195" s="232">
        <v>6200</v>
      </c>
      <c r="AX195" s="267">
        <v>3900</v>
      </c>
      <c r="AY195" s="252">
        <v>3900</v>
      </c>
      <c r="BA195" s="277"/>
      <c r="BB195" s="160" t="s">
        <v>182</v>
      </c>
      <c r="BC195" s="1556">
        <v>4700</v>
      </c>
      <c r="BD195" s="160" t="s">
        <v>182</v>
      </c>
      <c r="BE195" s="228">
        <v>1820</v>
      </c>
      <c r="BF195" s="226" t="s">
        <v>182</v>
      </c>
      <c r="BG195" s="226">
        <v>10</v>
      </c>
      <c r="BH195" s="217" t="s">
        <v>184</v>
      </c>
      <c r="BJ195" s="253"/>
      <c r="BK195" s="160" t="s">
        <v>188</v>
      </c>
      <c r="BL195" s="237" t="s">
        <v>317</v>
      </c>
      <c r="BM195" s="238" t="s">
        <v>317</v>
      </c>
      <c r="BN195" s="238" t="s">
        <v>317</v>
      </c>
      <c r="BO195" s="239" t="s">
        <v>317</v>
      </c>
      <c r="BP195" s="160" t="s">
        <v>188</v>
      </c>
      <c r="BQ195" s="228"/>
      <c r="BR195" s="229"/>
      <c r="BS195" s="229"/>
      <c r="BT195" s="240"/>
      <c r="BU195" s="160" t="s">
        <v>188</v>
      </c>
      <c r="BV195" s="228"/>
      <c r="BW195" s="229"/>
      <c r="BX195" s="229"/>
      <c r="BY195" s="229"/>
      <c r="BZ195" s="240"/>
      <c r="CA195" s="160" t="s">
        <v>188</v>
      </c>
      <c r="CB195" s="228"/>
      <c r="CC195" s="229"/>
      <c r="CD195" s="229"/>
      <c r="CE195" s="229"/>
      <c r="CF195" s="240"/>
      <c r="CH195" s="236" t="s">
        <v>324</v>
      </c>
    </row>
    <row r="196" spans="1:86">
      <c r="A196" s="1563"/>
      <c r="B196" s="168"/>
      <c r="C196" s="241"/>
      <c r="D196" s="177" t="s">
        <v>318</v>
      </c>
      <c r="F196" s="242">
        <v>44100</v>
      </c>
      <c r="G196" s="243">
        <v>105520</v>
      </c>
      <c r="H196" s="242">
        <v>39840</v>
      </c>
      <c r="I196" s="243">
        <v>101260</v>
      </c>
      <c r="J196" s="179" t="s">
        <v>182</v>
      </c>
      <c r="K196" s="244">
        <v>410</v>
      </c>
      <c r="L196" s="245">
        <v>930</v>
      </c>
      <c r="M196" s="246" t="s">
        <v>795</v>
      </c>
      <c r="N196" s="244">
        <v>370</v>
      </c>
      <c r="O196" s="245">
        <v>890</v>
      </c>
      <c r="P196" s="246" t="s">
        <v>795</v>
      </c>
      <c r="Q196" s="160" t="s">
        <v>182</v>
      </c>
      <c r="R196" s="187">
        <v>7590</v>
      </c>
      <c r="S196" s="185">
        <v>70</v>
      </c>
      <c r="T196" s="247" t="s">
        <v>184</v>
      </c>
      <c r="V196" s="280"/>
      <c r="W196" s="279" t="s">
        <v>713</v>
      </c>
      <c r="X196" s="176"/>
      <c r="Y196" s="279" t="s">
        <v>713</v>
      </c>
      <c r="Z196" s="279"/>
      <c r="AA196" s="176"/>
      <c r="AB196" s="177"/>
      <c r="AD196" s="281"/>
      <c r="AE196" s="281"/>
      <c r="AF196" s="176"/>
      <c r="AG196" s="176"/>
      <c r="AH196" s="177"/>
      <c r="AJ196" s="187"/>
      <c r="AK196" s="185"/>
      <c r="AL196" s="176"/>
      <c r="AM196" s="176"/>
      <c r="AN196" s="177"/>
      <c r="AP196" s="1551"/>
      <c r="AQ196" s="1554"/>
      <c r="AR196" s="1551"/>
      <c r="AS196" s="1554"/>
      <c r="AT196" s="1544"/>
      <c r="AU196" s="172" t="s">
        <v>699</v>
      </c>
      <c r="AV196" s="249">
        <v>3000</v>
      </c>
      <c r="AW196" s="250">
        <v>3400</v>
      </c>
      <c r="AX196" s="267">
        <v>2100</v>
      </c>
      <c r="AY196" s="252">
        <v>2100</v>
      </c>
      <c r="BA196" s="235" t="s">
        <v>675</v>
      </c>
      <c r="BC196" s="1557"/>
      <c r="BE196" s="187"/>
      <c r="BF196" s="176"/>
      <c r="BG196" s="176"/>
      <c r="BH196" s="177"/>
      <c r="BJ196" s="253"/>
      <c r="BL196" s="193"/>
      <c r="BM196" s="194"/>
      <c r="BN196" s="194"/>
      <c r="BO196" s="195"/>
      <c r="BQ196" s="187">
        <v>1060</v>
      </c>
      <c r="BR196" s="185" t="s">
        <v>189</v>
      </c>
      <c r="BS196" s="185">
        <v>10</v>
      </c>
      <c r="BT196" s="254" t="s">
        <v>184</v>
      </c>
      <c r="BV196" s="187">
        <v>3790</v>
      </c>
      <c r="BW196" s="185" t="s">
        <v>189</v>
      </c>
      <c r="BX196" s="185">
        <v>30</v>
      </c>
      <c r="BY196" s="185" t="s">
        <v>184</v>
      </c>
      <c r="BZ196" s="254" t="s">
        <v>190</v>
      </c>
      <c r="CB196" s="187">
        <v>2450</v>
      </c>
      <c r="CC196" s="185" t="s">
        <v>189</v>
      </c>
      <c r="CD196" s="185">
        <v>20</v>
      </c>
      <c r="CE196" s="185" t="s">
        <v>184</v>
      </c>
      <c r="CF196" s="254" t="s">
        <v>190</v>
      </c>
      <c r="CH196" s="253"/>
    </row>
    <row r="197" spans="1:86">
      <c r="A197" s="1563"/>
      <c r="B197" s="168"/>
      <c r="C197" s="241" t="s">
        <v>319</v>
      </c>
      <c r="D197" s="177" t="s">
        <v>320</v>
      </c>
      <c r="F197" s="242">
        <v>105520</v>
      </c>
      <c r="G197" s="243">
        <v>181460</v>
      </c>
      <c r="H197" s="242">
        <v>101260</v>
      </c>
      <c r="I197" s="243">
        <v>177200</v>
      </c>
      <c r="J197" s="179" t="s">
        <v>182</v>
      </c>
      <c r="K197" s="244">
        <v>930</v>
      </c>
      <c r="L197" s="245">
        <v>1690</v>
      </c>
      <c r="M197" s="246" t="s">
        <v>795</v>
      </c>
      <c r="N197" s="244">
        <v>890</v>
      </c>
      <c r="O197" s="245">
        <v>1650</v>
      </c>
      <c r="P197" s="246" t="s">
        <v>795</v>
      </c>
      <c r="R197" s="182"/>
      <c r="S197" s="176"/>
      <c r="T197" s="177"/>
      <c r="V197" s="187"/>
      <c r="W197" s="185">
        <v>605900</v>
      </c>
      <c r="X197" s="176"/>
      <c r="Y197" s="185">
        <v>6050</v>
      </c>
      <c r="Z197" s="176" t="s">
        <v>184</v>
      </c>
      <c r="AA197" s="176"/>
      <c r="AB197" s="177"/>
      <c r="AD197" s="281"/>
      <c r="AE197" s="281"/>
      <c r="AF197" s="176"/>
      <c r="AG197" s="176"/>
      <c r="AH197" s="177"/>
      <c r="AJ197" s="187">
        <v>2600</v>
      </c>
      <c r="AK197" s="185" t="s">
        <v>321</v>
      </c>
      <c r="AL197" s="176"/>
      <c r="AM197" s="176"/>
      <c r="AN197" s="177"/>
      <c r="AP197" s="1551"/>
      <c r="AQ197" s="1554"/>
      <c r="AR197" s="1551"/>
      <c r="AS197" s="1554"/>
      <c r="AT197" s="1544"/>
      <c r="AU197" s="172" t="s">
        <v>700</v>
      </c>
      <c r="AV197" s="249">
        <v>2600</v>
      </c>
      <c r="AW197" s="250">
        <v>2900</v>
      </c>
      <c r="AX197" s="267">
        <v>1800</v>
      </c>
      <c r="AY197" s="252">
        <v>1800</v>
      </c>
      <c r="BA197" s="235">
        <v>3160</v>
      </c>
      <c r="BC197" s="359"/>
      <c r="BE197" s="187"/>
      <c r="BF197" s="176"/>
      <c r="BG197" s="176"/>
      <c r="BH197" s="177"/>
      <c r="BJ197" s="253"/>
      <c r="BL197" s="193">
        <v>0.02</v>
      </c>
      <c r="BM197" s="194">
        <v>0.03</v>
      </c>
      <c r="BN197" s="194">
        <v>0.05</v>
      </c>
      <c r="BO197" s="195">
        <v>0.06</v>
      </c>
      <c r="BQ197" s="187"/>
      <c r="BR197" s="185"/>
      <c r="BS197" s="185"/>
      <c r="BT197" s="254"/>
      <c r="BV197" s="187"/>
      <c r="BW197" s="185"/>
      <c r="BX197" s="185"/>
      <c r="BY197" s="185"/>
      <c r="BZ197" s="254"/>
      <c r="CB197" s="187"/>
      <c r="CC197" s="185"/>
      <c r="CD197" s="185"/>
      <c r="CE197" s="185"/>
      <c r="CF197" s="254"/>
      <c r="CH197" s="253">
        <v>0.95</v>
      </c>
    </row>
    <row r="198" spans="1:86">
      <c r="A198" s="1563"/>
      <c r="B198" s="269"/>
      <c r="C198" s="270"/>
      <c r="D198" s="184" t="s">
        <v>322</v>
      </c>
      <c r="F198" s="256">
        <v>181460</v>
      </c>
      <c r="G198" s="257"/>
      <c r="H198" s="256">
        <v>177200</v>
      </c>
      <c r="I198" s="257"/>
      <c r="J198" s="179" t="s">
        <v>182</v>
      </c>
      <c r="K198" s="258">
        <v>1690</v>
      </c>
      <c r="L198" s="259"/>
      <c r="M198" s="260" t="s">
        <v>795</v>
      </c>
      <c r="N198" s="258">
        <v>1650</v>
      </c>
      <c r="O198" s="259"/>
      <c r="P198" s="260" t="s">
        <v>795</v>
      </c>
      <c r="R198" s="183"/>
      <c r="S198" s="271"/>
      <c r="T198" s="184"/>
      <c r="V198" s="187"/>
      <c r="W198" s="185"/>
      <c r="X198" s="176"/>
      <c r="Y198" s="185"/>
      <c r="Z198" s="176"/>
      <c r="AA198" s="176"/>
      <c r="AB198" s="177"/>
      <c r="AD198" s="281"/>
      <c r="AE198" s="281"/>
      <c r="AF198" s="176"/>
      <c r="AG198" s="176"/>
      <c r="AH198" s="177"/>
      <c r="AJ198" s="187"/>
      <c r="AK198" s="185"/>
      <c r="AL198" s="176"/>
      <c r="AM198" s="176"/>
      <c r="AN198" s="177"/>
      <c r="AP198" s="1552"/>
      <c r="AQ198" s="1555"/>
      <c r="AR198" s="1552"/>
      <c r="AS198" s="1555"/>
      <c r="AT198" s="1544"/>
      <c r="AU198" s="262" t="s">
        <v>701</v>
      </c>
      <c r="AV198" s="263">
        <v>2400</v>
      </c>
      <c r="AW198" s="264">
        <v>2600</v>
      </c>
      <c r="AX198" s="265">
        <v>1600</v>
      </c>
      <c r="AY198" s="266">
        <v>1600</v>
      </c>
      <c r="BA198" s="277"/>
      <c r="BC198" s="359"/>
      <c r="BE198" s="186"/>
      <c r="BF198" s="271"/>
      <c r="BG198" s="271"/>
      <c r="BH198" s="184"/>
      <c r="BJ198" s="253"/>
      <c r="BL198" s="272"/>
      <c r="BM198" s="273"/>
      <c r="BN198" s="273"/>
      <c r="BO198" s="274"/>
      <c r="BQ198" s="186"/>
      <c r="BR198" s="196"/>
      <c r="BS198" s="196"/>
      <c r="BT198" s="197"/>
      <c r="BV198" s="186"/>
      <c r="BW198" s="196"/>
      <c r="BX198" s="196"/>
      <c r="BY198" s="196"/>
      <c r="BZ198" s="197"/>
      <c r="CB198" s="186"/>
      <c r="CC198" s="196"/>
      <c r="CD198" s="196"/>
      <c r="CE198" s="196"/>
      <c r="CF198" s="197"/>
      <c r="CH198" s="198"/>
    </row>
    <row r="199" spans="1:86" ht="63">
      <c r="A199" s="1563"/>
      <c r="B199" s="168" t="s">
        <v>339</v>
      </c>
      <c r="C199" s="241" t="s">
        <v>313</v>
      </c>
      <c r="D199" s="177" t="s">
        <v>314</v>
      </c>
      <c r="F199" s="218">
        <v>35070</v>
      </c>
      <c r="G199" s="219">
        <v>42660</v>
      </c>
      <c r="H199" s="218">
        <v>31140</v>
      </c>
      <c r="I199" s="219">
        <v>38730</v>
      </c>
      <c r="J199" s="179" t="s">
        <v>182</v>
      </c>
      <c r="K199" s="220">
        <v>330</v>
      </c>
      <c r="L199" s="221">
        <v>400</v>
      </c>
      <c r="M199" s="222" t="s">
        <v>795</v>
      </c>
      <c r="N199" s="220">
        <v>290</v>
      </c>
      <c r="O199" s="221">
        <v>360</v>
      </c>
      <c r="P199" s="222" t="s">
        <v>795</v>
      </c>
      <c r="Q199" s="160" t="s">
        <v>182</v>
      </c>
      <c r="R199" s="275">
        <v>7590</v>
      </c>
      <c r="S199" s="276">
        <v>70</v>
      </c>
      <c r="T199" s="247" t="s">
        <v>184</v>
      </c>
      <c r="V199" s="280"/>
      <c r="W199" s="279" t="s">
        <v>714</v>
      </c>
      <c r="X199" s="176"/>
      <c r="Y199" s="279" t="s">
        <v>714</v>
      </c>
      <c r="Z199" s="279"/>
      <c r="AA199" s="176"/>
      <c r="AB199" s="177"/>
      <c r="AD199" s="281"/>
      <c r="AE199" s="281"/>
      <c r="AF199" s="176"/>
      <c r="AG199" s="176"/>
      <c r="AH199" s="177"/>
      <c r="AJ199" s="187" t="s">
        <v>217</v>
      </c>
      <c r="AK199" s="185"/>
      <c r="AL199" s="176" t="s">
        <v>182</v>
      </c>
      <c r="AM199" s="176">
        <v>20</v>
      </c>
      <c r="AN199" s="177" t="s">
        <v>316</v>
      </c>
      <c r="AO199" s="160" t="s">
        <v>182</v>
      </c>
      <c r="AP199" s="1550">
        <v>2600</v>
      </c>
      <c r="AQ199" s="1553">
        <v>2900</v>
      </c>
      <c r="AR199" s="1550">
        <v>1800</v>
      </c>
      <c r="AS199" s="1553">
        <v>1800</v>
      </c>
      <c r="AT199" s="1544" t="s">
        <v>664</v>
      </c>
      <c r="AU199" s="230" t="s">
        <v>697</v>
      </c>
      <c r="AV199" s="231">
        <v>5100</v>
      </c>
      <c r="AW199" s="232">
        <v>5700</v>
      </c>
      <c r="AX199" s="267">
        <v>3500</v>
      </c>
      <c r="AY199" s="252">
        <v>3500</v>
      </c>
      <c r="BA199" s="235" t="s">
        <v>676</v>
      </c>
      <c r="BB199" s="160" t="s">
        <v>182</v>
      </c>
      <c r="BC199" s="1556">
        <v>4700</v>
      </c>
      <c r="BD199" s="160" t="s">
        <v>182</v>
      </c>
      <c r="BE199" s="187">
        <v>1670</v>
      </c>
      <c r="BF199" s="176" t="s">
        <v>182</v>
      </c>
      <c r="BG199" s="176">
        <v>10</v>
      </c>
      <c r="BH199" s="177" t="s">
        <v>184</v>
      </c>
      <c r="BJ199" s="253"/>
      <c r="BK199" s="160" t="s">
        <v>188</v>
      </c>
      <c r="BL199" s="193" t="s">
        <v>317</v>
      </c>
      <c r="BM199" s="194" t="s">
        <v>317</v>
      </c>
      <c r="BN199" s="194" t="s">
        <v>317</v>
      </c>
      <c r="BO199" s="195" t="s">
        <v>317</v>
      </c>
      <c r="BP199" s="160" t="s">
        <v>188</v>
      </c>
      <c r="BQ199" s="187"/>
      <c r="BR199" s="185"/>
      <c r="BS199" s="185"/>
      <c r="BT199" s="254"/>
      <c r="BU199" s="160" t="s">
        <v>188</v>
      </c>
      <c r="BV199" s="187"/>
      <c r="BW199" s="185"/>
      <c r="BX199" s="185"/>
      <c r="BY199" s="185"/>
      <c r="BZ199" s="254"/>
      <c r="CA199" s="160" t="s">
        <v>188</v>
      </c>
      <c r="CB199" s="187"/>
      <c r="CC199" s="185"/>
      <c r="CD199" s="185"/>
      <c r="CE199" s="185"/>
      <c r="CF199" s="254"/>
      <c r="CH199" s="253" t="s">
        <v>324</v>
      </c>
    </row>
    <row r="200" spans="1:86">
      <c r="A200" s="1563"/>
      <c r="B200" s="168"/>
      <c r="C200" s="241"/>
      <c r="D200" s="177" t="s">
        <v>318</v>
      </c>
      <c r="F200" s="242">
        <v>42660</v>
      </c>
      <c r="G200" s="243">
        <v>104080</v>
      </c>
      <c r="H200" s="242">
        <v>38730</v>
      </c>
      <c r="I200" s="243">
        <v>100150</v>
      </c>
      <c r="J200" s="179" t="s">
        <v>182</v>
      </c>
      <c r="K200" s="244">
        <v>400</v>
      </c>
      <c r="L200" s="245">
        <v>920</v>
      </c>
      <c r="M200" s="246" t="s">
        <v>795</v>
      </c>
      <c r="N200" s="244">
        <v>360</v>
      </c>
      <c r="O200" s="245">
        <v>880</v>
      </c>
      <c r="P200" s="246" t="s">
        <v>795</v>
      </c>
      <c r="Q200" s="160" t="s">
        <v>182</v>
      </c>
      <c r="R200" s="187">
        <v>7590</v>
      </c>
      <c r="S200" s="185">
        <v>70</v>
      </c>
      <c r="T200" s="247" t="s">
        <v>184</v>
      </c>
      <c r="V200" s="187"/>
      <c r="W200" s="185">
        <v>642600</v>
      </c>
      <c r="X200" s="176"/>
      <c r="Y200" s="185">
        <v>6420</v>
      </c>
      <c r="Z200" s="176" t="s">
        <v>184</v>
      </c>
      <c r="AA200" s="176"/>
      <c r="AB200" s="177"/>
      <c r="AD200" s="281"/>
      <c r="AE200" s="281"/>
      <c r="AF200" s="176"/>
      <c r="AG200" s="176"/>
      <c r="AH200" s="177"/>
      <c r="AJ200" s="187"/>
      <c r="AK200" s="185"/>
      <c r="AL200" s="176"/>
      <c r="AM200" s="176"/>
      <c r="AN200" s="177"/>
      <c r="AP200" s="1551"/>
      <c r="AQ200" s="1554"/>
      <c r="AR200" s="1551"/>
      <c r="AS200" s="1554"/>
      <c r="AT200" s="1544"/>
      <c r="AU200" s="172" t="s">
        <v>699</v>
      </c>
      <c r="AV200" s="249">
        <v>2800</v>
      </c>
      <c r="AW200" s="250">
        <v>3100</v>
      </c>
      <c r="AX200" s="267">
        <v>1900</v>
      </c>
      <c r="AY200" s="252">
        <v>1900</v>
      </c>
      <c r="BA200" s="235">
        <v>2810</v>
      </c>
      <c r="BC200" s="1557"/>
      <c r="BE200" s="187"/>
      <c r="BF200" s="176"/>
      <c r="BG200" s="176"/>
      <c r="BH200" s="177"/>
      <c r="BJ200" s="253"/>
      <c r="BL200" s="193"/>
      <c r="BM200" s="194"/>
      <c r="BN200" s="194"/>
      <c r="BO200" s="195"/>
      <c r="BQ200" s="187">
        <v>970</v>
      </c>
      <c r="BR200" s="185" t="s">
        <v>189</v>
      </c>
      <c r="BS200" s="185">
        <v>10</v>
      </c>
      <c r="BT200" s="254" t="s">
        <v>184</v>
      </c>
      <c r="BV200" s="187">
        <v>3500</v>
      </c>
      <c r="BW200" s="185" t="s">
        <v>189</v>
      </c>
      <c r="BX200" s="185">
        <v>30</v>
      </c>
      <c r="BY200" s="185" t="s">
        <v>184</v>
      </c>
      <c r="BZ200" s="254" t="s">
        <v>190</v>
      </c>
      <c r="CB200" s="187">
        <v>2260</v>
      </c>
      <c r="CC200" s="185" t="s">
        <v>189</v>
      </c>
      <c r="CD200" s="185">
        <v>20</v>
      </c>
      <c r="CE200" s="185" t="s">
        <v>184</v>
      </c>
      <c r="CF200" s="254" t="s">
        <v>190</v>
      </c>
      <c r="CH200" s="253"/>
    </row>
    <row r="201" spans="1:86">
      <c r="A201" s="1563"/>
      <c r="B201" s="168"/>
      <c r="C201" s="241" t="s">
        <v>319</v>
      </c>
      <c r="D201" s="177" t="s">
        <v>320</v>
      </c>
      <c r="F201" s="242">
        <v>104080</v>
      </c>
      <c r="G201" s="243">
        <v>180020</v>
      </c>
      <c r="H201" s="242">
        <v>100150</v>
      </c>
      <c r="I201" s="243">
        <v>176090</v>
      </c>
      <c r="J201" s="179" t="s">
        <v>182</v>
      </c>
      <c r="K201" s="244">
        <v>920</v>
      </c>
      <c r="L201" s="245">
        <v>1680</v>
      </c>
      <c r="M201" s="246" t="s">
        <v>795</v>
      </c>
      <c r="N201" s="244">
        <v>880</v>
      </c>
      <c r="O201" s="245">
        <v>1640</v>
      </c>
      <c r="P201" s="246" t="s">
        <v>795</v>
      </c>
      <c r="R201" s="182"/>
      <c r="S201" s="176"/>
      <c r="T201" s="177"/>
      <c r="V201" s="187"/>
      <c r="W201" s="185"/>
      <c r="X201" s="176"/>
      <c r="Y201" s="185"/>
      <c r="Z201" s="176"/>
      <c r="AA201" s="176"/>
      <c r="AB201" s="177"/>
      <c r="AD201" s="281"/>
      <c r="AE201" s="281"/>
      <c r="AF201" s="176"/>
      <c r="AG201" s="176"/>
      <c r="AH201" s="177"/>
      <c r="AJ201" s="187">
        <v>2230</v>
      </c>
      <c r="AK201" s="185" t="s">
        <v>321</v>
      </c>
      <c r="AL201" s="176"/>
      <c r="AM201" s="176"/>
      <c r="AN201" s="177"/>
      <c r="AP201" s="1551"/>
      <c r="AQ201" s="1554"/>
      <c r="AR201" s="1551"/>
      <c r="AS201" s="1554"/>
      <c r="AT201" s="1544"/>
      <c r="AU201" s="172" t="s">
        <v>700</v>
      </c>
      <c r="AV201" s="249">
        <v>2400</v>
      </c>
      <c r="AW201" s="250">
        <v>2700</v>
      </c>
      <c r="AX201" s="267">
        <v>1700</v>
      </c>
      <c r="AY201" s="252">
        <v>1700</v>
      </c>
      <c r="BA201" s="277"/>
      <c r="BC201" s="358"/>
      <c r="BE201" s="187"/>
      <c r="BF201" s="176"/>
      <c r="BG201" s="176"/>
      <c r="BH201" s="177"/>
      <c r="BJ201" s="253"/>
      <c r="BL201" s="193">
        <v>0.02</v>
      </c>
      <c r="BM201" s="194">
        <v>0.03</v>
      </c>
      <c r="BN201" s="194">
        <v>0.05</v>
      </c>
      <c r="BO201" s="195">
        <v>0.06</v>
      </c>
      <c r="BQ201" s="187"/>
      <c r="BR201" s="185"/>
      <c r="BS201" s="185"/>
      <c r="BT201" s="254"/>
      <c r="BV201" s="187"/>
      <c r="BW201" s="185"/>
      <c r="BX201" s="185"/>
      <c r="BY201" s="185"/>
      <c r="BZ201" s="254"/>
      <c r="CB201" s="187"/>
      <c r="CC201" s="185"/>
      <c r="CD201" s="185"/>
      <c r="CE201" s="185"/>
      <c r="CF201" s="254"/>
      <c r="CH201" s="253">
        <v>0.97</v>
      </c>
    </row>
    <row r="202" spans="1:86">
      <c r="A202" s="1563"/>
      <c r="B202" s="168"/>
      <c r="C202" s="241"/>
      <c r="D202" s="177" t="s">
        <v>322</v>
      </c>
      <c r="F202" s="256">
        <v>180020</v>
      </c>
      <c r="G202" s="257"/>
      <c r="H202" s="256">
        <v>176090</v>
      </c>
      <c r="I202" s="257"/>
      <c r="J202" s="179" t="s">
        <v>182</v>
      </c>
      <c r="K202" s="258">
        <v>1680</v>
      </c>
      <c r="L202" s="259"/>
      <c r="M202" s="260" t="s">
        <v>795</v>
      </c>
      <c r="N202" s="258">
        <v>1640</v>
      </c>
      <c r="O202" s="259"/>
      <c r="P202" s="260" t="s">
        <v>795</v>
      </c>
      <c r="R202" s="182"/>
      <c r="S202" s="176"/>
      <c r="T202" s="177"/>
      <c r="V202" s="280"/>
      <c r="W202" s="279" t="s">
        <v>715</v>
      </c>
      <c r="X202" s="176"/>
      <c r="Y202" s="279" t="s">
        <v>715</v>
      </c>
      <c r="Z202" s="279"/>
      <c r="AA202" s="176"/>
      <c r="AB202" s="177"/>
      <c r="AD202" s="281"/>
      <c r="AE202" s="281"/>
      <c r="AF202" s="176"/>
      <c r="AG202" s="176"/>
      <c r="AH202" s="177"/>
      <c r="AJ202" s="187"/>
      <c r="AK202" s="185"/>
      <c r="AL202" s="176"/>
      <c r="AM202" s="176"/>
      <c r="AN202" s="177"/>
      <c r="AP202" s="1552"/>
      <c r="AQ202" s="1555"/>
      <c r="AR202" s="1552"/>
      <c r="AS202" s="1555"/>
      <c r="AT202" s="1544"/>
      <c r="AU202" s="262" t="s">
        <v>701</v>
      </c>
      <c r="AV202" s="263">
        <v>2200</v>
      </c>
      <c r="AW202" s="264">
        <v>2400</v>
      </c>
      <c r="AX202" s="265">
        <v>1500</v>
      </c>
      <c r="AY202" s="266">
        <v>1500</v>
      </c>
      <c r="BA202" s="235" t="s">
        <v>677</v>
      </c>
      <c r="BC202" s="359"/>
      <c r="BE202" s="187"/>
      <c r="BF202" s="176"/>
      <c r="BG202" s="176"/>
      <c r="BH202" s="177"/>
      <c r="BJ202" s="253"/>
      <c r="BL202" s="193"/>
      <c r="BM202" s="194"/>
      <c r="BN202" s="194"/>
      <c r="BO202" s="195"/>
      <c r="BQ202" s="187"/>
      <c r="BR202" s="185"/>
      <c r="BS202" s="185"/>
      <c r="BT202" s="254"/>
      <c r="BV202" s="187"/>
      <c r="BW202" s="185"/>
      <c r="BX202" s="185"/>
      <c r="BY202" s="185"/>
      <c r="BZ202" s="254"/>
      <c r="CB202" s="187"/>
      <c r="CC202" s="185"/>
      <c r="CD202" s="185"/>
      <c r="CE202" s="185"/>
      <c r="CF202" s="254"/>
      <c r="CH202" s="253"/>
    </row>
    <row r="203" spans="1:86" ht="63">
      <c r="A203" s="1563"/>
      <c r="B203" s="215" t="s">
        <v>340</v>
      </c>
      <c r="C203" s="216" t="s">
        <v>313</v>
      </c>
      <c r="D203" s="217" t="s">
        <v>314</v>
      </c>
      <c r="F203" s="218">
        <v>33860</v>
      </c>
      <c r="G203" s="219">
        <v>41450</v>
      </c>
      <c r="H203" s="218">
        <v>30210</v>
      </c>
      <c r="I203" s="219">
        <v>37800</v>
      </c>
      <c r="J203" s="179" t="s">
        <v>182</v>
      </c>
      <c r="K203" s="220">
        <v>310</v>
      </c>
      <c r="L203" s="221">
        <v>380</v>
      </c>
      <c r="M203" s="222" t="s">
        <v>795</v>
      </c>
      <c r="N203" s="220">
        <v>280</v>
      </c>
      <c r="O203" s="221">
        <v>350</v>
      </c>
      <c r="P203" s="222" t="s">
        <v>795</v>
      </c>
      <c r="Q203" s="160" t="s">
        <v>182</v>
      </c>
      <c r="R203" s="223">
        <v>7590</v>
      </c>
      <c r="S203" s="224">
        <v>70</v>
      </c>
      <c r="T203" s="225" t="s">
        <v>184</v>
      </c>
      <c r="V203" s="187"/>
      <c r="W203" s="185">
        <v>679400</v>
      </c>
      <c r="X203" s="176"/>
      <c r="Y203" s="185">
        <v>6790</v>
      </c>
      <c r="Z203" s="176" t="s">
        <v>184</v>
      </c>
      <c r="AA203" s="176"/>
      <c r="AB203" s="177"/>
      <c r="AD203" s="281"/>
      <c r="AE203" s="281"/>
      <c r="AF203" s="176"/>
      <c r="AG203" s="176"/>
      <c r="AH203" s="177"/>
      <c r="AJ203" s="187" t="s">
        <v>219</v>
      </c>
      <c r="AK203" s="185"/>
      <c r="AL203" s="176" t="s">
        <v>182</v>
      </c>
      <c r="AM203" s="176">
        <v>10</v>
      </c>
      <c r="AN203" s="177" t="s">
        <v>316</v>
      </c>
      <c r="AO203" s="160" t="s">
        <v>182</v>
      </c>
      <c r="AP203" s="1550">
        <v>2800</v>
      </c>
      <c r="AQ203" s="1553">
        <v>3100</v>
      </c>
      <c r="AR203" s="1550">
        <v>1900</v>
      </c>
      <c r="AS203" s="1553">
        <v>1900</v>
      </c>
      <c r="AT203" s="1544" t="s">
        <v>664</v>
      </c>
      <c r="AU203" s="230" t="s">
        <v>697</v>
      </c>
      <c r="AV203" s="231">
        <v>5500</v>
      </c>
      <c r="AW203" s="232">
        <v>6200</v>
      </c>
      <c r="AX203" s="267">
        <v>3900</v>
      </c>
      <c r="AY203" s="252">
        <v>3900</v>
      </c>
      <c r="BA203" s="235">
        <v>2540</v>
      </c>
      <c r="BB203" s="160" t="s">
        <v>182</v>
      </c>
      <c r="BC203" s="1556">
        <v>4700</v>
      </c>
      <c r="BD203" s="160" t="s">
        <v>182</v>
      </c>
      <c r="BE203" s="228">
        <v>1560</v>
      </c>
      <c r="BF203" s="226" t="s">
        <v>182</v>
      </c>
      <c r="BG203" s="226">
        <v>10</v>
      </c>
      <c r="BH203" s="217" t="s">
        <v>184</v>
      </c>
      <c r="BJ203" s="253"/>
      <c r="BK203" s="160" t="s">
        <v>188</v>
      </c>
      <c r="BL203" s="237" t="s">
        <v>317</v>
      </c>
      <c r="BM203" s="238" t="s">
        <v>317</v>
      </c>
      <c r="BN203" s="238" t="s">
        <v>317</v>
      </c>
      <c r="BO203" s="239" t="s">
        <v>317</v>
      </c>
      <c r="BP203" s="160" t="s">
        <v>188</v>
      </c>
      <c r="BQ203" s="228"/>
      <c r="BR203" s="229"/>
      <c r="BS203" s="229"/>
      <c r="BT203" s="240"/>
      <c r="BU203" s="160" t="s">
        <v>188</v>
      </c>
      <c r="BV203" s="228"/>
      <c r="BW203" s="229"/>
      <c r="BX203" s="229"/>
      <c r="BY203" s="229"/>
      <c r="BZ203" s="240"/>
      <c r="CA203" s="160" t="s">
        <v>188</v>
      </c>
      <c r="CB203" s="228"/>
      <c r="CC203" s="229"/>
      <c r="CD203" s="229"/>
      <c r="CE203" s="229"/>
      <c r="CF203" s="240"/>
      <c r="CH203" s="236" t="s">
        <v>324</v>
      </c>
    </row>
    <row r="204" spans="1:86">
      <c r="A204" s="1563"/>
      <c r="B204" s="168"/>
      <c r="C204" s="241"/>
      <c r="D204" s="177" t="s">
        <v>318</v>
      </c>
      <c r="F204" s="242">
        <v>41450</v>
      </c>
      <c r="G204" s="243">
        <v>102870</v>
      </c>
      <c r="H204" s="242">
        <v>37800</v>
      </c>
      <c r="I204" s="243">
        <v>99220</v>
      </c>
      <c r="J204" s="179" t="s">
        <v>182</v>
      </c>
      <c r="K204" s="244">
        <v>380</v>
      </c>
      <c r="L204" s="245">
        <v>910</v>
      </c>
      <c r="M204" s="246" t="s">
        <v>795</v>
      </c>
      <c r="N204" s="244">
        <v>350</v>
      </c>
      <c r="O204" s="245">
        <v>870</v>
      </c>
      <c r="P204" s="246" t="s">
        <v>795</v>
      </c>
      <c r="Q204" s="160" t="s">
        <v>182</v>
      </c>
      <c r="R204" s="187">
        <v>7590</v>
      </c>
      <c r="S204" s="185">
        <v>70</v>
      </c>
      <c r="T204" s="247" t="s">
        <v>184</v>
      </c>
      <c r="V204" s="187"/>
      <c r="W204" s="185"/>
      <c r="X204" s="176"/>
      <c r="Y204" s="185"/>
      <c r="Z204" s="176"/>
      <c r="AA204" s="176"/>
      <c r="AB204" s="177"/>
      <c r="AD204" s="281"/>
      <c r="AE204" s="281"/>
      <c r="AF204" s="176"/>
      <c r="AG204" s="176"/>
      <c r="AH204" s="177"/>
      <c r="AJ204" s="187"/>
      <c r="AK204" s="185"/>
      <c r="AL204" s="176"/>
      <c r="AM204" s="176"/>
      <c r="AN204" s="177"/>
      <c r="AP204" s="1551"/>
      <c r="AQ204" s="1554"/>
      <c r="AR204" s="1551"/>
      <c r="AS204" s="1554"/>
      <c r="AT204" s="1544"/>
      <c r="AU204" s="172" t="s">
        <v>699</v>
      </c>
      <c r="AV204" s="249">
        <v>3000</v>
      </c>
      <c r="AW204" s="250">
        <v>3400</v>
      </c>
      <c r="AX204" s="267">
        <v>2100</v>
      </c>
      <c r="AY204" s="252">
        <v>2100</v>
      </c>
      <c r="BA204" s="277"/>
      <c r="BC204" s="1557"/>
      <c r="BE204" s="187"/>
      <c r="BF204" s="176"/>
      <c r="BG204" s="176"/>
      <c r="BH204" s="177"/>
      <c r="BJ204" s="253"/>
      <c r="BL204" s="193"/>
      <c r="BM204" s="194"/>
      <c r="BN204" s="194"/>
      <c r="BO204" s="195"/>
      <c r="BQ204" s="187">
        <v>900</v>
      </c>
      <c r="BR204" s="185" t="s">
        <v>189</v>
      </c>
      <c r="BS204" s="185">
        <v>9</v>
      </c>
      <c r="BT204" s="254" t="s">
        <v>184</v>
      </c>
      <c r="BV204" s="187">
        <v>3250</v>
      </c>
      <c r="BW204" s="185" t="s">
        <v>189</v>
      </c>
      <c r="BX204" s="185">
        <v>30</v>
      </c>
      <c r="BY204" s="185" t="s">
        <v>184</v>
      </c>
      <c r="BZ204" s="254" t="s">
        <v>190</v>
      </c>
      <c r="CB204" s="187">
        <v>2100</v>
      </c>
      <c r="CC204" s="185" t="s">
        <v>189</v>
      </c>
      <c r="CD204" s="185">
        <v>20</v>
      </c>
      <c r="CE204" s="185" t="s">
        <v>184</v>
      </c>
      <c r="CF204" s="254" t="s">
        <v>190</v>
      </c>
      <c r="CH204" s="253"/>
    </row>
    <row r="205" spans="1:86">
      <c r="A205" s="1563"/>
      <c r="B205" s="168"/>
      <c r="C205" s="241" t="s">
        <v>319</v>
      </c>
      <c r="D205" s="177" t="s">
        <v>320</v>
      </c>
      <c r="F205" s="242">
        <v>102870</v>
      </c>
      <c r="G205" s="243">
        <v>178810</v>
      </c>
      <c r="H205" s="242">
        <v>99220</v>
      </c>
      <c r="I205" s="243">
        <v>175160</v>
      </c>
      <c r="J205" s="179" t="s">
        <v>182</v>
      </c>
      <c r="K205" s="244">
        <v>910</v>
      </c>
      <c r="L205" s="245">
        <v>1670</v>
      </c>
      <c r="M205" s="246" t="s">
        <v>795</v>
      </c>
      <c r="N205" s="244">
        <v>870</v>
      </c>
      <c r="O205" s="245">
        <v>1630</v>
      </c>
      <c r="P205" s="246" t="s">
        <v>795</v>
      </c>
      <c r="R205" s="182"/>
      <c r="S205" s="176"/>
      <c r="T205" s="177"/>
      <c r="V205" s="280"/>
      <c r="W205" s="279" t="s">
        <v>716</v>
      </c>
      <c r="X205" s="176"/>
      <c r="Y205" s="279" t="s">
        <v>716</v>
      </c>
      <c r="Z205" s="279"/>
      <c r="AA205" s="176"/>
      <c r="AB205" s="177"/>
      <c r="AD205" s="281"/>
      <c r="AE205" s="281"/>
      <c r="AF205" s="176"/>
      <c r="AG205" s="176"/>
      <c r="AH205" s="177"/>
      <c r="AJ205" s="187">
        <v>1950</v>
      </c>
      <c r="AK205" s="185" t="s">
        <v>321</v>
      </c>
      <c r="AL205" s="176"/>
      <c r="AM205" s="176"/>
      <c r="AN205" s="177"/>
      <c r="AP205" s="1551"/>
      <c r="AQ205" s="1554"/>
      <c r="AR205" s="1551"/>
      <c r="AS205" s="1554"/>
      <c r="AT205" s="1544"/>
      <c r="AU205" s="172" t="s">
        <v>700</v>
      </c>
      <c r="AV205" s="249">
        <v>2600</v>
      </c>
      <c r="AW205" s="250">
        <v>2900</v>
      </c>
      <c r="AX205" s="267">
        <v>1800</v>
      </c>
      <c r="AY205" s="252">
        <v>1800</v>
      </c>
      <c r="BA205" s="235" t="s">
        <v>678</v>
      </c>
      <c r="BC205" s="359"/>
      <c r="BE205" s="187"/>
      <c r="BF205" s="176"/>
      <c r="BG205" s="176"/>
      <c r="BH205" s="177"/>
      <c r="BJ205" s="253"/>
      <c r="BL205" s="193">
        <v>0.01</v>
      </c>
      <c r="BM205" s="194">
        <v>0.03</v>
      </c>
      <c r="BN205" s="194">
        <v>0.04</v>
      </c>
      <c r="BO205" s="195">
        <v>0.06</v>
      </c>
      <c r="BQ205" s="187"/>
      <c r="BR205" s="185"/>
      <c r="BS205" s="185"/>
      <c r="BT205" s="254"/>
      <c r="BV205" s="187"/>
      <c r="BW205" s="185"/>
      <c r="BX205" s="185"/>
      <c r="BY205" s="185"/>
      <c r="BZ205" s="254"/>
      <c r="CB205" s="187"/>
      <c r="CC205" s="185"/>
      <c r="CD205" s="185"/>
      <c r="CE205" s="185"/>
      <c r="CF205" s="254"/>
      <c r="CH205" s="253">
        <v>0.97</v>
      </c>
    </row>
    <row r="206" spans="1:86">
      <c r="A206" s="1563"/>
      <c r="B206" s="269"/>
      <c r="C206" s="270"/>
      <c r="D206" s="184" t="s">
        <v>322</v>
      </c>
      <c r="F206" s="256">
        <v>178810</v>
      </c>
      <c r="G206" s="257"/>
      <c r="H206" s="256">
        <v>175160</v>
      </c>
      <c r="I206" s="257"/>
      <c r="J206" s="179" t="s">
        <v>182</v>
      </c>
      <c r="K206" s="258">
        <v>1670</v>
      </c>
      <c r="L206" s="259"/>
      <c r="M206" s="260" t="s">
        <v>795</v>
      </c>
      <c r="N206" s="258">
        <v>1630</v>
      </c>
      <c r="O206" s="259"/>
      <c r="P206" s="260" t="s">
        <v>795</v>
      </c>
      <c r="R206" s="183"/>
      <c r="S206" s="271"/>
      <c r="T206" s="184"/>
      <c r="V206" s="187"/>
      <c r="W206" s="185">
        <v>716100</v>
      </c>
      <c r="X206" s="176"/>
      <c r="Y206" s="185">
        <v>7160</v>
      </c>
      <c r="Z206" s="176" t="s">
        <v>184</v>
      </c>
      <c r="AA206" s="176"/>
      <c r="AB206" s="177"/>
      <c r="AD206" s="281"/>
      <c r="AE206" s="281"/>
      <c r="AF206" s="176"/>
      <c r="AG206" s="176"/>
      <c r="AH206" s="177"/>
      <c r="AJ206" s="187"/>
      <c r="AK206" s="185"/>
      <c r="AL206" s="176"/>
      <c r="AM206" s="176"/>
      <c r="AN206" s="177"/>
      <c r="AP206" s="1552"/>
      <c r="AQ206" s="1555"/>
      <c r="AR206" s="1552"/>
      <c r="AS206" s="1555"/>
      <c r="AT206" s="1544"/>
      <c r="AU206" s="262" t="s">
        <v>701</v>
      </c>
      <c r="AV206" s="263">
        <v>2400</v>
      </c>
      <c r="AW206" s="264">
        <v>2600</v>
      </c>
      <c r="AX206" s="265">
        <v>1600</v>
      </c>
      <c r="AY206" s="266">
        <v>1600</v>
      </c>
      <c r="BA206" s="235">
        <v>2440</v>
      </c>
      <c r="BC206" s="359"/>
      <c r="BE206" s="186"/>
      <c r="BF206" s="271"/>
      <c r="BG206" s="271"/>
      <c r="BH206" s="184"/>
      <c r="BJ206" s="253"/>
      <c r="BL206" s="272"/>
      <c r="BM206" s="273"/>
      <c r="BN206" s="273"/>
      <c r="BO206" s="274"/>
      <c r="BQ206" s="186"/>
      <c r="BR206" s="196"/>
      <c r="BS206" s="196"/>
      <c r="BT206" s="197"/>
      <c r="BV206" s="186"/>
      <c r="BW206" s="196"/>
      <c r="BX206" s="196"/>
      <c r="BY206" s="196"/>
      <c r="BZ206" s="197"/>
      <c r="CB206" s="186"/>
      <c r="CC206" s="196"/>
      <c r="CD206" s="196"/>
      <c r="CE206" s="196"/>
      <c r="CF206" s="197"/>
      <c r="CH206" s="198"/>
    </row>
    <row r="207" spans="1:86" ht="63">
      <c r="A207" s="1563"/>
      <c r="B207" s="168" t="s">
        <v>341</v>
      </c>
      <c r="C207" s="241" t="s">
        <v>313</v>
      </c>
      <c r="D207" s="177" t="s">
        <v>314</v>
      </c>
      <c r="F207" s="218">
        <v>32790</v>
      </c>
      <c r="G207" s="219">
        <v>40380</v>
      </c>
      <c r="H207" s="218">
        <v>29390</v>
      </c>
      <c r="I207" s="219">
        <v>36980</v>
      </c>
      <c r="J207" s="179" t="s">
        <v>182</v>
      </c>
      <c r="K207" s="220">
        <v>300</v>
      </c>
      <c r="L207" s="221">
        <v>370</v>
      </c>
      <c r="M207" s="222" t="s">
        <v>795</v>
      </c>
      <c r="N207" s="220">
        <v>270</v>
      </c>
      <c r="O207" s="221">
        <v>340</v>
      </c>
      <c r="P207" s="222" t="s">
        <v>795</v>
      </c>
      <c r="Q207" s="160" t="s">
        <v>182</v>
      </c>
      <c r="R207" s="275">
        <v>7590</v>
      </c>
      <c r="S207" s="276">
        <v>70</v>
      </c>
      <c r="T207" s="247" t="s">
        <v>184</v>
      </c>
      <c r="V207" s="182"/>
      <c r="W207" s="185"/>
      <c r="X207" s="176"/>
      <c r="Y207" s="185"/>
      <c r="Z207" s="176"/>
      <c r="AA207" s="176"/>
      <c r="AB207" s="177"/>
      <c r="AD207" s="281"/>
      <c r="AE207" s="281"/>
      <c r="AF207" s="176"/>
      <c r="AG207" s="176"/>
      <c r="AH207" s="177"/>
      <c r="AJ207" s="187" t="s">
        <v>221</v>
      </c>
      <c r="AK207" s="185"/>
      <c r="AL207" s="176" t="s">
        <v>182</v>
      </c>
      <c r="AM207" s="176">
        <v>10</v>
      </c>
      <c r="AN207" s="177" t="s">
        <v>316</v>
      </c>
      <c r="AO207" s="160" t="s">
        <v>182</v>
      </c>
      <c r="AP207" s="1550">
        <v>2600</v>
      </c>
      <c r="AQ207" s="1553">
        <v>2900</v>
      </c>
      <c r="AR207" s="1550">
        <v>1800</v>
      </c>
      <c r="AS207" s="1553">
        <v>1800</v>
      </c>
      <c r="AT207" s="1544" t="s">
        <v>664</v>
      </c>
      <c r="AU207" s="230" t="s">
        <v>697</v>
      </c>
      <c r="AV207" s="231">
        <v>5400</v>
      </c>
      <c r="AW207" s="232">
        <v>6000</v>
      </c>
      <c r="AX207" s="267">
        <v>3700</v>
      </c>
      <c r="AY207" s="252">
        <v>3700</v>
      </c>
      <c r="BA207" s="235"/>
      <c r="BB207" s="160" t="s">
        <v>182</v>
      </c>
      <c r="BC207" s="1556">
        <v>4700</v>
      </c>
      <c r="BD207" s="160" t="s">
        <v>182</v>
      </c>
      <c r="BE207" s="187">
        <v>1450</v>
      </c>
      <c r="BF207" s="176" t="s">
        <v>182</v>
      </c>
      <c r="BG207" s="176">
        <v>10</v>
      </c>
      <c r="BH207" s="177" t="s">
        <v>184</v>
      </c>
      <c r="BJ207" s="253"/>
      <c r="BK207" s="160" t="s">
        <v>188</v>
      </c>
      <c r="BL207" s="193" t="s">
        <v>317</v>
      </c>
      <c r="BM207" s="194" t="s">
        <v>317</v>
      </c>
      <c r="BN207" s="194" t="s">
        <v>317</v>
      </c>
      <c r="BO207" s="195" t="s">
        <v>317</v>
      </c>
      <c r="BP207" s="160" t="s">
        <v>188</v>
      </c>
      <c r="BQ207" s="187"/>
      <c r="BR207" s="185"/>
      <c r="BS207" s="185"/>
      <c r="BT207" s="254"/>
      <c r="BU207" s="160" t="s">
        <v>188</v>
      </c>
      <c r="BV207" s="187"/>
      <c r="BW207" s="185"/>
      <c r="BX207" s="185"/>
      <c r="BY207" s="185"/>
      <c r="BZ207" s="254"/>
      <c r="CA207" s="160" t="s">
        <v>188</v>
      </c>
      <c r="CB207" s="187"/>
      <c r="CC207" s="185"/>
      <c r="CD207" s="185"/>
      <c r="CE207" s="185"/>
      <c r="CF207" s="254"/>
      <c r="CH207" s="253" t="s">
        <v>324</v>
      </c>
    </row>
    <row r="208" spans="1:86">
      <c r="A208" s="1563"/>
      <c r="B208" s="168"/>
      <c r="C208" s="241"/>
      <c r="D208" s="177" t="s">
        <v>318</v>
      </c>
      <c r="F208" s="242">
        <v>40380</v>
      </c>
      <c r="G208" s="243">
        <v>101800</v>
      </c>
      <c r="H208" s="242">
        <v>36980</v>
      </c>
      <c r="I208" s="243">
        <v>98400</v>
      </c>
      <c r="J208" s="179" t="s">
        <v>182</v>
      </c>
      <c r="K208" s="244">
        <v>370</v>
      </c>
      <c r="L208" s="245">
        <v>900</v>
      </c>
      <c r="M208" s="246" t="s">
        <v>795</v>
      </c>
      <c r="N208" s="244">
        <v>340</v>
      </c>
      <c r="O208" s="245">
        <v>860</v>
      </c>
      <c r="P208" s="246" t="s">
        <v>795</v>
      </c>
      <c r="Q208" s="160" t="s">
        <v>182</v>
      </c>
      <c r="R208" s="187">
        <v>7590</v>
      </c>
      <c r="S208" s="185">
        <v>70</v>
      </c>
      <c r="T208" s="247" t="s">
        <v>184</v>
      </c>
      <c r="V208" s="182"/>
      <c r="W208" s="185"/>
      <c r="X208" s="176"/>
      <c r="Y208" s="185"/>
      <c r="Z208" s="176"/>
      <c r="AA208" s="176"/>
      <c r="AB208" s="177"/>
      <c r="AD208" s="281"/>
      <c r="AE208" s="281"/>
      <c r="AF208" s="176"/>
      <c r="AG208" s="176"/>
      <c r="AH208" s="177"/>
      <c r="AJ208" s="187"/>
      <c r="AK208" s="185"/>
      <c r="AL208" s="176"/>
      <c r="AM208" s="176"/>
      <c r="AN208" s="177"/>
      <c r="AP208" s="1551"/>
      <c r="AQ208" s="1554"/>
      <c r="AR208" s="1551"/>
      <c r="AS208" s="1554"/>
      <c r="AT208" s="1544"/>
      <c r="AU208" s="172" t="s">
        <v>699</v>
      </c>
      <c r="AV208" s="249">
        <v>2900</v>
      </c>
      <c r="AW208" s="250">
        <v>3300</v>
      </c>
      <c r="AX208" s="267">
        <v>2000</v>
      </c>
      <c r="AY208" s="252">
        <v>2000</v>
      </c>
      <c r="BA208" s="235" t="s">
        <v>679</v>
      </c>
      <c r="BC208" s="1557"/>
      <c r="BE208" s="187"/>
      <c r="BF208" s="176"/>
      <c r="BG208" s="176"/>
      <c r="BH208" s="177"/>
      <c r="BJ208" s="253"/>
      <c r="BL208" s="193"/>
      <c r="BM208" s="194"/>
      <c r="BN208" s="194"/>
      <c r="BO208" s="195"/>
      <c r="BQ208" s="187">
        <v>840</v>
      </c>
      <c r="BR208" s="185" t="s">
        <v>189</v>
      </c>
      <c r="BS208" s="185">
        <v>8</v>
      </c>
      <c r="BT208" s="254" t="s">
        <v>184</v>
      </c>
      <c r="BV208" s="187">
        <v>3030</v>
      </c>
      <c r="BW208" s="185" t="s">
        <v>189</v>
      </c>
      <c r="BX208" s="185">
        <v>30</v>
      </c>
      <c r="BY208" s="185" t="s">
        <v>184</v>
      </c>
      <c r="BZ208" s="254" t="s">
        <v>190</v>
      </c>
      <c r="CB208" s="187">
        <v>1960</v>
      </c>
      <c r="CC208" s="185" t="s">
        <v>189</v>
      </c>
      <c r="CD208" s="185">
        <v>20</v>
      </c>
      <c r="CE208" s="185" t="s">
        <v>184</v>
      </c>
      <c r="CF208" s="254" t="s">
        <v>190</v>
      </c>
      <c r="CH208" s="253"/>
    </row>
    <row r="209" spans="1:86">
      <c r="A209" s="1563"/>
      <c r="B209" s="168"/>
      <c r="C209" s="241" t="s">
        <v>319</v>
      </c>
      <c r="D209" s="177" t="s">
        <v>320</v>
      </c>
      <c r="F209" s="242">
        <v>101800</v>
      </c>
      <c r="G209" s="243">
        <v>177740</v>
      </c>
      <c r="H209" s="242">
        <v>98400</v>
      </c>
      <c r="I209" s="243">
        <v>174340</v>
      </c>
      <c r="J209" s="179" t="s">
        <v>182</v>
      </c>
      <c r="K209" s="244">
        <v>900</v>
      </c>
      <c r="L209" s="245">
        <v>1660</v>
      </c>
      <c r="M209" s="246" t="s">
        <v>795</v>
      </c>
      <c r="N209" s="244">
        <v>860</v>
      </c>
      <c r="O209" s="245">
        <v>1620</v>
      </c>
      <c r="P209" s="246" t="s">
        <v>795</v>
      </c>
      <c r="R209" s="182"/>
      <c r="S209" s="176"/>
      <c r="T209" s="177"/>
      <c r="V209" s="182"/>
      <c r="W209" s="185"/>
      <c r="X209" s="176"/>
      <c r="Y209" s="185"/>
      <c r="Z209" s="176"/>
      <c r="AA209" s="176"/>
      <c r="AB209" s="177"/>
      <c r="AD209" s="281"/>
      <c r="AE209" s="281"/>
      <c r="AF209" s="176"/>
      <c r="AG209" s="176"/>
      <c r="AH209" s="177"/>
      <c r="AJ209" s="187">
        <v>1730</v>
      </c>
      <c r="AK209" s="185" t="s">
        <v>321</v>
      </c>
      <c r="AL209" s="176"/>
      <c r="AM209" s="176"/>
      <c r="AN209" s="177"/>
      <c r="AP209" s="1551"/>
      <c r="AQ209" s="1554"/>
      <c r="AR209" s="1551"/>
      <c r="AS209" s="1554"/>
      <c r="AT209" s="1544"/>
      <c r="AU209" s="172" t="s">
        <v>700</v>
      </c>
      <c r="AV209" s="249">
        <v>2500</v>
      </c>
      <c r="AW209" s="250">
        <v>2800</v>
      </c>
      <c r="AX209" s="267">
        <v>1800</v>
      </c>
      <c r="AY209" s="252">
        <v>1800</v>
      </c>
      <c r="BA209" s="235">
        <v>2360</v>
      </c>
      <c r="BC209" s="359"/>
      <c r="BE209" s="187"/>
      <c r="BF209" s="176"/>
      <c r="BG209" s="176"/>
      <c r="BH209" s="177"/>
      <c r="BJ209" s="253"/>
      <c r="BL209" s="193">
        <v>0.01</v>
      </c>
      <c r="BM209" s="194">
        <v>0.03</v>
      </c>
      <c r="BN209" s="194">
        <v>0.04</v>
      </c>
      <c r="BO209" s="195">
        <v>0.06</v>
      </c>
      <c r="BQ209" s="187"/>
      <c r="BR209" s="185"/>
      <c r="BS209" s="185"/>
      <c r="BT209" s="254"/>
      <c r="BV209" s="187"/>
      <c r="BW209" s="185"/>
      <c r="BX209" s="185"/>
      <c r="BY209" s="185"/>
      <c r="BZ209" s="254"/>
      <c r="CB209" s="187"/>
      <c r="CC209" s="185"/>
      <c r="CD209" s="185"/>
      <c r="CE209" s="185"/>
      <c r="CF209" s="254"/>
      <c r="CH209" s="253">
        <v>0.98</v>
      </c>
    </row>
    <row r="210" spans="1:86">
      <c r="A210" s="1563"/>
      <c r="B210" s="168"/>
      <c r="C210" s="241"/>
      <c r="D210" s="177" t="s">
        <v>322</v>
      </c>
      <c r="F210" s="256">
        <v>177740</v>
      </c>
      <c r="G210" s="257"/>
      <c r="H210" s="256">
        <v>174340</v>
      </c>
      <c r="I210" s="257"/>
      <c r="J210" s="179" t="s">
        <v>182</v>
      </c>
      <c r="K210" s="258">
        <v>1660</v>
      </c>
      <c r="L210" s="259"/>
      <c r="M210" s="260" t="s">
        <v>795</v>
      </c>
      <c r="N210" s="258">
        <v>1620</v>
      </c>
      <c r="O210" s="259"/>
      <c r="P210" s="260" t="s">
        <v>795</v>
      </c>
      <c r="R210" s="182"/>
      <c r="S210" s="176"/>
      <c r="T210" s="177"/>
      <c r="V210" s="182"/>
      <c r="W210" s="185"/>
      <c r="X210" s="176"/>
      <c r="Y210" s="185"/>
      <c r="Z210" s="176"/>
      <c r="AA210" s="176"/>
      <c r="AB210" s="177"/>
      <c r="AD210" s="281"/>
      <c r="AE210" s="281"/>
      <c r="AF210" s="176"/>
      <c r="AG210" s="176"/>
      <c r="AH210" s="177"/>
      <c r="AJ210" s="187"/>
      <c r="AK210" s="185"/>
      <c r="AL210" s="176"/>
      <c r="AM210" s="176"/>
      <c r="AN210" s="177"/>
      <c r="AP210" s="1552"/>
      <c r="AQ210" s="1555"/>
      <c r="AR210" s="1552"/>
      <c r="AS210" s="1555"/>
      <c r="AT210" s="1544"/>
      <c r="AU210" s="262" t="s">
        <v>701</v>
      </c>
      <c r="AV210" s="263">
        <v>2300</v>
      </c>
      <c r="AW210" s="264">
        <v>2500</v>
      </c>
      <c r="AX210" s="265">
        <v>1600</v>
      </c>
      <c r="AY210" s="266">
        <v>1600</v>
      </c>
      <c r="BA210" s="235"/>
      <c r="BC210" s="359"/>
      <c r="BE210" s="187"/>
      <c r="BF210" s="176"/>
      <c r="BG210" s="176"/>
      <c r="BH210" s="177"/>
      <c r="BJ210" s="253"/>
      <c r="BL210" s="193"/>
      <c r="BM210" s="194"/>
      <c r="BN210" s="194"/>
      <c r="BO210" s="195"/>
      <c r="BQ210" s="187"/>
      <c r="BR210" s="185"/>
      <c r="BS210" s="185"/>
      <c r="BT210" s="254"/>
      <c r="BV210" s="187"/>
      <c r="BW210" s="185"/>
      <c r="BX210" s="185"/>
      <c r="BY210" s="185"/>
      <c r="BZ210" s="254"/>
      <c r="CB210" s="187"/>
      <c r="CC210" s="185"/>
      <c r="CD210" s="185"/>
      <c r="CE210" s="185"/>
      <c r="CF210" s="254"/>
      <c r="CH210" s="253"/>
    </row>
    <row r="211" spans="1:86" ht="63">
      <c r="A211" s="1563"/>
      <c r="B211" s="215" t="s">
        <v>342</v>
      </c>
      <c r="C211" s="216" t="s">
        <v>313</v>
      </c>
      <c r="D211" s="217" t="s">
        <v>314</v>
      </c>
      <c r="F211" s="218">
        <v>32720</v>
      </c>
      <c r="G211" s="219">
        <v>40310</v>
      </c>
      <c r="H211" s="218">
        <v>29530</v>
      </c>
      <c r="I211" s="219">
        <v>37120</v>
      </c>
      <c r="J211" s="179" t="s">
        <v>182</v>
      </c>
      <c r="K211" s="220">
        <v>300</v>
      </c>
      <c r="L211" s="221">
        <v>370</v>
      </c>
      <c r="M211" s="222" t="s">
        <v>795</v>
      </c>
      <c r="N211" s="220">
        <v>270</v>
      </c>
      <c r="O211" s="221">
        <v>340</v>
      </c>
      <c r="P211" s="222" t="s">
        <v>795</v>
      </c>
      <c r="Q211" s="160" t="s">
        <v>182</v>
      </c>
      <c r="R211" s="223">
        <v>7590</v>
      </c>
      <c r="S211" s="224">
        <v>70</v>
      </c>
      <c r="T211" s="225" t="s">
        <v>184</v>
      </c>
      <c r="V211" s="182"/>
      <c r="W211" s="185"/>
      <c r="X211" s="176"/>
      <c r="Y211" s="185"/>
      <c r="Z211" s="176"/>
      <c r="AA211" s="176"/>
      <c r="AB211" s="177"/>
      <c r="AD211" s="281"/>
      <c r="AE211" s="281"/>
      <c r="AF211" s="176"/>
      <c r="AG211" s="176"/>
      <c r="AH211" s="177"/>
      <c r="AJ211" s="187" t="s">
        <v>223</v>
      </c>
      <c r="AK211" s="185"/>
      <c r="AL211" s="176" t="s">
        <v>182</v>
      </c>
      <c r="AM211" s="176">
        <v>10</v>
      </c>
      <c r="AN211" s="177" t="s">
        <v>316</v>
      </c>
      <c r="AO211" s="160" t="s">
        <v>182</v>
      </c>
      <c r="AP211" s="1550">
        <v>2400</v>
      </c>
      <c r="AQ211" s="1553">
        <v>2700</v>
      </c>
      <c r="AR211" s="1550">
        <v>1700</v>
      </c>
      <c r="AS211" s="1553">
        <v>1700</v>
      </c>
      <c r="AT211" s="1544" t="s">
        <v>664</v>
      </c>
      <c r="AU211" s="230" t="s">
        <v>697</v>
      </c>
      <c r="AV211" s="231">
        <v>4800</v>
      </c>
      <c r="AW211" s="232">
        <v>5400</v>
      </c>
      <c r="AX211" s="267">
        <v>3400</v>
      </c>
      <c r="AY211" s="252">
        <v>3400</v>
      </c>
      <c r="BA211" s="235" t="s">
        <v>680</v>
      </c>
      <c r="BB211" s="160" t="s">
        <v>182</v>
      </c>
      <c r="BC211" s="1556">
        <v>4700</v>
      </c>
      <c r="BD211" s="160" t="s">
        <v>182</v>
      </c>
      <c r="BE211" s="228">
        <v>1360</v>
      </c>
      <c r="BF211" s="226" t="s">
        <v>182</v>
      </c>
      <c r="BG211" s="226">
        <v>10</v>
      </c>
      <c r="BH211" s="217" t="s">
        <v>184</v>
      </c>
      <c r="BJ211" s="253"/>
      <c r="BK211" s="160" t="s">
        <v>188</v>
      </c>
      <c r="BL211" s="237" t="s">
        <v>317</v>
      </c>
      <c r="BM211" s="238" t="s">
        <v>317</v>
      </c>
      <c r="BN211" s="238" t="s">
        <v>317</v>
      </c>
      <c r="BO211" s="239" t="s">
        <v>317</v>
      </c>
      <c r="BP211" s="160" t="s">
        <v>188</v>
      </c>
      <c r="BQ211" s="228"/>
      <c r="BR211" s="229"/>
      <c r="BS211" s="229"/>
      <c r="BT211" s="240"/>
      <c r="BU211" s="160" t="s">
        <v>188</v>
      </c>
      <c r="BV211" s="228"/>
      <c r="BW211" s="229"/>
      <c r="BX211" s="229"/>
      <c r="BY211" s="229"/>
      <c r="BZ211" s="240"/>
      <c r="CA211" s="160" t="s">
        <v>188</v>
      </c>
      <c r="CB211" s="228"/>
      <c r="CC211" s="229"/>
      <c r="CD211" s="229"/>
      <c r="CE211" s="229"/>
      <c r="CF211" s="240"/>
      <c r="CH211" s="236" t="s">
        <v>324</v>
      </c>
    </row>
    <row r="212" spans="1:86">
      <c r="A212" s="1563"/>
      <c r="B212" s="168"/>
      <c r="C212" s="241"/>
      <c r="D212" s="177" t="s">
        <v>318</v>
      </c>
      <c r="F212" s="242">
        <v>40310</v>
      </c>
      <c r="G212" s="243">
        <v>101730</v>
      </c>
      <c r="H212" s="242">
        <v>37120</v>
      </c>
      <c r="I212" s="243">
        <v>98540</v>
      </c>
      <c r="J212" s="179" t="s">
        <v>182</v>
      </c>
      <c r="K212" s="244">
        <v>370</v>
      </c>
      <c r="L212" s="245">
        <v>900</v>
      </c>
      <c r="M212" s="246" t="s">
        <v>795</v>
      </c>
      <c r="N212" s="244">
        <v>340</v>
      </c>
      <c r="O212" s="245">
        <v>860</v>
      </c>
      <c r="P212" s="246" t="s">
        <v>795</v>
      </c>
      <c r="Q212" s="160" t="s">
        <v>182</v>
      </c>
      <c r="R212" s="187">
        <v>7590</v>
      </c>
      <c r="S212" s="185">
        <v>70</v>
      </c>
      <c r="T212" s="247" t="s">
        <v>184</v>
      </c>
      <c r="V212" s="182"/>
      <c r="W212" s="185"/>
      <c r="X212" s="176"/>
      <c r="Y212" s="185"/>
      <c r="Z212" s="176"/>
      <c r="AA212" s="176"/>
      <c r="AB212" s="177"/>
      <c r="AD212" s="281"/>
      <c r="AE212" s="281"/>
      <c r="AF212" s="176"/>
      <c r="AG212" s="176"/>
      <c r="AH212" s="177"/>
      <c r="AJ212" s="187"/>
      <c r="AK212" s="185"/>
      <c r="AL212" s="176"/>
      <c r="AM212" s="176"/>
      <c r="AN212" s="177"/>
      <c r="AP212" s="1551"/>
      <c r="AQ212" s="1554"/>
      <c r="AR212" s="1551"/>
      <c r="AS212" s="1554"/>
      <c r="AT212" s="1544"/>
      <c r="AU212" s="172" t="s">
        <v>699</v>
      </c>
      <c r="AV212" s="249">
        <v>2600</v>
      </c>
      <c r="AW212" s="250">
        <v>2900</v>
      </c>
      <c r="AX212" s="267">
        <v>1800</v>
      </c>
      <c r="AY212" s="252">
        <v>1800</v>
      </c>
      <c r="BA212" s="235">
        <v>2150</v>
      </c>
      <c r="BC212" s="1557"/>
      <c r="BE212" s="187"/>
      <c r="BF212" s="176"/>
      <c r="BG212" s="176"/>
      <c r="BH212" s="177"/>
      <c r="BJ212" s="253"/>
      <c r="BL212" s="193"/>
      <c r="BM212" s="194"/>
      <c r="BN212" s="194"/>
      <c r="BO212" s="195"/>
      <c r="BQ212" s="187">
        <v>790</v>
      </c>
      <c r="BR212" s="185" t="s">
        <v>189</v>
      </c>
      <c r="BS212" s="185">
        <v>8</v>
      </c>
      <c r="BT212" s="254" t="s">
        <v>184</v>
      </c>
      <c r="BV212" s="187">
        <v>2840</v>
      </c>
      <c r="BW212" s="185" t="s">
        <v>189</v>
      </c>
      <c r="BX212" s="185">
        <v>20</v>
      </c>
      <c r="BY212" s="185" t="s">
        <v>184</v>
      </c>
      <c r="BZ212" s="254" t="s">
        <v>190</v>
      </c>
      <c r="CB212" s="187">
        <v>1840</v>
      </c>
      <c r="CC212" s="185" t="s">
        <v>189</v>
      </c>
      <c r="CD212" s="185">
        <v>10</v>
      </c>
      <c r="CE212" s="185" t="s">
        <v>184</v>
      </c>
      <c r="CF212" s="254" t="s">
        <v>190</v>
      </c>
      <c r="CH212" s="253"/>
    </row>
    <row r="213" spans="1:86">
      <c r="A213" s="1563"/>
      <c r="B213" s="168"/>
      <c r="C213" s="241" t="s">
        <v>319</v>
      </c>
      <c r="D213" s="177" t="s">
        <v>320</v>
      </c>
      <c r="F213" s="242">
        <v>101730</v>
      </c>
      <c r="G213" s="243">
        <v>177670</v>
      </c>
      <c r="H213" s="242">
        <v>98540</v>
      </c>
      <c r="I213" s="243">
        <v>174480</v>
      </c>
      <c r="J213" s="179" t="s">
        <v>182</v>
      </c>
      <c r="K213" s="244">
        <v>900</v>
      </c>
      <c r="L213" s="245">
        <v>1660</v>
      </c>
      <c r="M213" s="246" t="s">
        <v>795</v>
      </c>
      <c r="N213" s="244">
        <v>860</v>
      </c>
      <c r="O213" s="245">
        <v>1620</v>
      </c>
      <c r="P213" s="246" t="s">
        <v>795</v>
      </c>
      <c r="R213" s="182"/>
      <c r="S213" s="176"/>
      <c r="T213" s="177"/>
      <c r="V213" s="182"/>
      <c r="W213" s="185"/>
      <c r="X213" s="176"/>
      <c r="Y213" s="185"/>
      <c r="Z213" s="176"/>
      <c r="AA213" s="176"/>
      <c r="AB213" s="177"/>
      <c r="AD213" s="281"/>
      <c r="AE213" s="281"/>
      <c r="AF213" s="176"/>
      <c r="AG213" s="176"/>
      <c r="AH213" s="177"/>
      <c r="AJ213" s="187">
        <v>1560</v>
      </c>
      <c r="AK213" s="185" t="s">
        <v>321</v>
      </c>
      <c r="AL213" s="176"/>
      <c r="AM213" s="176"/>
      <c r="AN213" s="177"/>
      <c r="AP213" s="1551"/>
      <c r="AQ213" s="1554"/>
      <c r="AR213" s="1551"/>
      <c r="AS213" s="1554"/>
      <c r="AT213" s="1544"/>
      <c r="AU213" s="172" t="s">
        <v>700</v>
      </c>
      <c r="AV213" s="249">
        <v>2300</v>
      </c>
      <c r="AW213" s="250">
        <v>2500</v>
      </c>
      <c r="AX213" s="267">
        <v>1600</v>
      </c>
      <c r="AY213" s="252">
        <v>1600</v>
      </c>
      <c r="BA213" s="235"/>
      <c r="BC213" s="359"/>
      <c r="BE213" s="187"/>
      <c r="BF213" s="176"/>
      <c r="BG213" s="176"/>
      <c r="BH213" s="177"/>
      <c r="BJ213" s="253"/>
      <c r="BL213" s="193">
        <v>0.02</v>
      </c>
      <c r="BM213" s="194">
        <v>0.03</v>
      </c>
      <c r="BN213" s="194">
        <v>0.05</v>
      </c>
      <c r="BO213" s="195">
        <v>0.06</v>
      </c>
      <c r="BQ213" s="187"/>
      <c r="BR213" s="185"/>
      <c r="BS213" s="185"/>
      <c r="BT213" s="254"/>
      <c r="BV213" s="187"/>
      <c r="BW213" s="185"/>
      <c r="BX213" s="185"/>
      <c r="BY213" s="185"/>
      <c r="BZ213" s="254"/>
      <c r="CB213" s="187"/>
      <c r="CC213" s="185"/>
      <c r="CD213" s="185"/>
      <c r="CE213" s="185"/>
      <c r="CF213" s="254"/>
      <c r="CH213" s="253">
        <v>0.98</v>
      </c>
    </row>
    <row r="214" spans="1:86">
      <c r="A214" s="1563"/>
      <c r="B214" s="269"/>
      <c r="C214" s="270"/>
      <c r="D214" s="184" t="s">
        <v>322</v>
      </c>
      <c r="F214" s="256">
        <v>177670</v>
      </c>
      <c r="G214" s="257"/>
      <c r="H214" s="256">
        <v>174480</v>
      </c>
      <c r="I214" s="257"/>
      <c r="J214" s="179" t="s">
        <v>182</v>
      </c>
      <c r="K214" s="258">
        <v>1660</v>
      </c>
      <c r="L214" s="259"/>
      <c r="M214" s="260" t="s">
        <v>795</v>
      </c>
      <c r="N214" s="258">
        <v>1620</v>
      </c>
      <c r="O214" s="259"/>
      <c r="P214" s="260" t="s">
        <v>795</v>
      </c>
      <c r="R214" s="183"/>
      <c r="S214" s="271"/>
      <c r="T214" s="184"/>
      <c r="V214" s="182"/>
      <c r="W214" s="185"/>
      <c r="X214" s="176"/>
      <c r="Y214" s="185"/>
      <c r="Z214" s="176"/>
      <c r="AA214" s="176"/>
      <c r="AB214" s="177"/>
      <c r="AD214" s="281"/>
      <c r="AE214" s="281"/>
      <c r="AF214" s="176"/>
      <c r="AG214" s="176"/>
      <c r="AH214" s="177"/>
      <c r="AJ214" s="187"/>
      <c r="AK214" s="185"/>
      <c r="AL214" s="176"/>
      <c r="AM214" s="176"/>
      <c r="AN214" s="177"/>
      <c r="AP214" s="1552"/>
      <c r="AQ214" s="1555"/>
      <c r="AR214" s="1552"/>
      <c r="AS214" s="1555"/>
      <c r="AT214" s="1544"/>
      <c r="AU214" s="262" t="s">
        <v>701</v>
      </c>
      <c r="AV214" s="263">
        <v>2000</v>
      </c>
      <c r="AW214" s="264">
        <v>2300</v>
      </c>
      <c r="AX214" s="265">
        <v>1400</v>
      </c>
      <c r="AY214" s="266">
        <v>1400</v>
      </c>
      <c r="BA214" s="235"/>
      <c r="BC214" s="359"/>
      <c r="BE214" s="186"/>
      <c r="BF214" s="271"/>
      <c r="BG214" s="271"/>
      <c r="BH214" s="184"/>
      <c r="BJ214" s="253"/>
      <c r="BL214" s="272"/>
      <c r="BM214" s="273"/>
      <c r="BN214" s="273"/>
      <c r="BO214" s="274"/>
      <c r="BQ214" s="186"/>
      <c r="BR214" s="196"/>
      <c r="BS214" s="196"/>
      <c r="BT214" s="197"/>
      <c r="BV214" s="186"/>
      <c r="BW214" s="196"/>
      <c r="BX214" s="196"/>
      <c r="BY214" s="196"/>
      <c r="BZ214" s="197"/>
      <c r="CB214" s="186"/>
      <c r="CC214" s="196"/>
      <c r="CD214" s="196"/>
      <c r="CE214" s="196"/>
      <c r="CF214" s="197"/>
      <c r="CH214" s="198"/>
    </row>
    <row r="215" spans="1:86" ht="63">
      <c r="A215" s="1563"/>
      <c r="B215" s="168" t="s">
        <v>343</v>
      </c>
      <c r="C215" s="241" t="s">
        <v>313</v>
      </c>
      <c r="D215" s="177" t="s">
        <v>314</v>
      </c>
      <c r="F215" s="218">
        <v>31870</v>
      </c>
      <c r="G215" s="219">
        <v>39460</v>
      </c>
      <c r="H215" s="218">
        <v>28860</v>
      </c>
      <c r="I215" s="219">
        <v>36450</v>
      </c>
      <c r="J215" s="179" t="s">
        <v>182</v>
      </c>
      <c r="K215" s="220">
        <v>300</v>
      </c>
      <c r="L215" s="221">
        <v>370</v>
      </c>
      <c r="M215" s="222" t="s">
        <v>795</v>
      </c>
      <c r="N215" s="220">
        <v>270</v>
      </c>
      <c r="O215" s="221">
        <v>340</v>
      </c>
      <c r="P215" s="222" t="s">
        <v>795</v>
      </c>
      <c r="Q215" s="160" t="s">
        <v>182</v>
      </c>
      <c r="R215" s="275">
        <v>7590</v>
      </c>
      <c r="S215" s="276">
        <v>70</v>
      </c>
      <c r="T215" s="247" t="s">
        <v>184</v>
      </c>
      <c r="V215" s="182"/>
      <c r="W215" s="185"/>
      <c r="X215" s="176"/>
      <c r="Y215" s="185"/>
      <c r="Z215" s="176"/>
      <c r="AA215" s="176"/>
      <c r="AB215" s="177"/>
      <c r="AD215" s="281"/>
      <c r="AE215" s="281"/>
      <c r="AF215" s="176"/>
      <c r="AG215" s="176"/>
      <c r="AH215" s="177"/>
      <c r="AJ215" s="187" t="s">
        <v>225</v>
      </c>
      <c r="AK215" s="185"/>
      <c r="AL215" s="176" t="s">
        <v>182</v>
      </c>
      <c r="AM215" s="176">
        <v>10</v>
      </c>
      <c r="AN215" s="177" t="s">
        <v>316</v>
      </c>
      <c r="AO215" s="160" t="s">
        <v>182</v>
      </c>
      <c r="AP215" s="1550">
        <v>2600</v>
      </c>
      <c r="AQ215" s="1553">
        <v>2900</v>
      </c>
      <c r="AR215" s="1550">
        <v>1800</v>
      </c>
      <c r="AS215" s="1553">
        <v>1800</v>
      </c>
      <c r="AT215" s="1544" t="s">
        <v>664</v>
      </c>
      <c r="AU215" s="230" t="s">
        <v>697</v>
      </c>
      <c r="AV215" s="231">
        <v>5400</v>
      </c>
      <c r="AW215" s="232">
        <v>6000</v>
      </c>
      <c r="AX215" s="267">
        <v>3700</v>
      </c>
      <c r="AY215" s="252">
        <v>3700</v>
      </c>
      <c r="BA215" s="1545" t="s">
        <v>717</v>
      </c>
      <c r="BB215" s="160" t="s">
        <v>182</v>
      </c>
      <c r="BC215" s="1556">
        <v>4700</v>
      </c>
      <c r="BD215" s="160" t="s">
        <v>182</v>
      </c>
      <c r="BE215" s="187">
        <v>1280</v>
      </c>
      <c r="BF215" s="176" t="s">
        <v>182</v>
      </c>
      <c r="BG215" s="176">
        <v>10</v>
      </c>
      <c r="BH215" s="177" t="s">
        <v>184</v>
      </c>
      <c r="BJ215" s="253"/>
      <c r="BK215" s="160" t="s">
        <v>188</v>
      </c>
      <c r="BL215" s="193" t="s">
        <v>317</v>
      </c>
      <c r="BM215" s="194" t="s">
        <v>317</v>
      </c>
      <c r="BN215" s="194" t="s">
        <v>317</v>
      </c>
      <c r="BO215" s="195" t="s">
        <v>317</v>
      </c>
      <c r="BP215" s="160" t="s">
        <v>188</v>
      </c>
      <c r="BQ215" s="187"/>
      <c r="BR215" s="185"/>
      <c r="BS215" s="185"/>
      <c r="BT215" s="254"/>
      <c r="BU215" s="160" t="s">
        <v>188</v>
      </c>
      <c r="BV215" s="187"/>
      <c r="BW215" s="185"/>
      <c r="BX215" s="185"/>
      <c r="BY215" s="185"/>
      <c r="BZ215" s="254"/>
      <c r="CA215" s="160" t="s">
        <v>188</v>
      </c>
      <c r="CB215" s="187"/>
      <c r="CC215" s="185"/>
      <c r="CD215" s="185"/>
      <c r="CE215" s="185"/>
      <c r="CF215" s="254"/>
      <c r="CH215" s="253" t="s">
        <v>324</v>
      </c>
    </row>
    <row r="216" spans="1:86">
      <c r="A216" s="1563"/>
      <c r="B216" s="168"/>
      <c r="C216" s="241"/>
      <c r="D216" s="177" t="s">
        <v>318</v>
      </c>
      <c r="F216" s="242">
        <v>39460</v>
      </c>
      <c r="G216" s="243">
        <v>100880</v>
      </c>
      <c r="H216" s="242">
        <v>36450</v>
      </c>
      <c r="I216" s="243">
        <v>97870</v>
      </c>
      <c r="J216" s="179" t="s">
        <v>182</v>
      </c>
      <c r="K216" s="244">
        <v>370</v>
      </c>
      <c r="L216" s="245">
        <v>890</v>
      </c>
      <c r="M216" s="246" t="s">
        <v>795</v>
      </c>
      <c r="N216" s="244">
        <v>340</v>
      </c>
      <c r="O216" s="245">
        <v>860</v>
      </c>
      <c r="P216" s="246" t="s">
        <v>795</v>
      </c>
      <c r="Q216" s="160" t="s">
        <v>182</v>
      </c>
      <c r="R216" s="187">
        <v>7590</v>
      </c>
      <c r="S216" s="185">
        <v>70</v>
      </c>
      <c r="T216" s="247" t="s">
        <v>184</v>
      </c>
      <c r="V216" s="182"/>
      <c r="W216" s="185"/>
      <c r="X216" s="176"/>
      <c r="Y216" s="185"/>
      <c r="Z216" s="176"/>
      <c r="AA216" s="176"/>
      <c r="AB216" s="177"/>
      <c r="AD216" s="281"/>
      <c r="AE216" s="281"/>
      <c r="AF216" s="176"/>
      <c r="AG216" s="176"/>
      <c r="AH216" s="177"/>
      <c r="AJ216" s="187"/>
      <c r="AK216" s="185"/>
      <c r="AL216" s="176"/>
      <c r="AM216" s="176"/>
      <c r="AN216" s="177"/>
      <c r="AP216" s="1551"/>
      <c r="AQ216" s="1554"/>
      <c r="AR216" s="1551"/>
      <c r="AS216" s="1554"/>
      <c r="AT216" s="1544"/>
      <c r="AU216" s="172" t="s">
        <v>699</v>
      </c>
      <c r="AV216" s="249">
        <v>2900</v>
      </c>
      <c r="AW216" s="250">
        <v>3300</v>
      </c>
      <c r="AX216" s="267">
        <v>2000</v>
      </c>
      <c r="AY216" s="252">
        <v>2000</v>
      </c>
      <c r="BA216" s="1545"/>
      <c r="BC216" s="1557"/>
      <c r="BE216" s="187"/>
      <c r="BF216" s="176"/>
      <c r="BG216" s="176"/>
      <c r="BH216" s="177"/>
      <c r="BJ216" s="253"/>
      <c r="BL216" s="193"/>
      <c r="BM216" s="194"/>
      <c r="BN216" s="194"/>
      <c r="BO216" s="195"/>
      <c r="BQ216" s="187">
        <v>740</v>
      </c>
      <c r="BR216" s="185" t="s">
        <v>189</v>
      </c>
      <c r="BS216" s="185">
        <v>7</v>
      </c>
      <c r="BT216" s="254" t="s">
        <v>184</v>
      </c>
      <c r="BV216" s="187">
        <v>2680</v>
      </c>
      <c r="BW216" s="185" t="s">
        <v>189</v>
      </c>
      <c r="BX216" s="185">
        <v>20</v>
      </c>
      <c r="BY216" s="185" t="s">
        <v>184</v>
      </c>
      <c r="BZ216" s="254" t="s">
        <v>190</v>
      </c>
      <c r="CB216" s="187">
        <v>1730</v>
      </c>
      <c r="CC216" s="185" t="s">
        <v>189</v>
      </c>
      <c r="CD216" s="185">
        <v>10</v>
      </c>
      <c r="CE216" s="185" t="s">
        <v>184</v>
      </c>
      <c r="CF216" s="254" t="s">
        <v>190</v>
      </c>
      <c r="CH216" s="253"/>
    </row>
    <row r="217" spans="1:86">
      <c r="A217" s="1563"/>
      <c r="B217" s="168"/>
      <c r="C217" s="241" t="s">
        <v>319</v>
      </c>
      <c r="D217" s="177" t="s">
        <v>320</v>
      </c>
      <c r="F217" s="242">
        <v>100880</v>
      </c>
      <c r="G217" s="243">
        <v>176820</v>
      </c>
      <c r="H217" s="242">
        <v>97870</v>
      </c>
      <c r="I217" s="243">
        <v>173810</v>
      </c>
      <c r="J217" s="179" t="s">
        <v>182</v>
      </c>
      <c r="K217" s="244">
        <v>890</v>
      </c>
      <c r="L217" s="245">
        <v>1650</v>
      </c>
      <c r="M217" s="246" t="s">
        <v>795</v>
      </c>
      <c r="N217" s="244">
        <v>860</v>
      </c>
      <c r="O217" s="245">
        <v>1620</v>
      </c>
      <c r="P217" s="246" t="s">
        <v>795</v>
      </c>
      <c r="R217" s="182"/>
      <c r="S217" s="176"/>
      <c r="T217" s="177"/>
      <c r="V217" s="182"/>
      <c r="W217" s="185"/>
      <c r="X217" s="176"/>
      <c r="Y217" s="185"/>
      <c r="Z217" s="176"/>
      <c r="AA217" s="176"/>
      <c r="AB217" s="177"/>
      <c r="AD217" s="281"/>
      <c r="AE217" s="281"/>
      <c r="AF217" s="176"/>
      <c r="AG217" s="176"/>
      <c r="AH217" s="177"/>
      <c r="AJ217" s="187">
        <v>1420</v>
      </c>
      <c r="AK217" s="185" t="s">
        <v>321</v>
      </c>
      <c r="AL217" s="176"/>
      <c r="AM217" s="176"/>
      <c r="AN217" s="177"/>
      <c r="AP217" s="1551"/>
      <c r="AQ217" s="1554"/>
      <c r="AR217" s="1551"/>
      <c r="AS217" s="1554"/>
      <c r="AT217" s="1544"/>
      <c r="AU217" s="172" t="s">
        <v>700</v>
      </c>
      <c r="AV217" s="249">
        <v>2500</v>
      </c>
      <c r="AW217" s="250">
        <v>2800</v>
      </c>
      <c r="AX217" s="267">
        <v>1800</v>
      </c>
      <c r="AY217" s="252">
        <v>1800</v>
      </c>
      <c r="BA217" s="235"/>
      <c r="BC217" s="358"/>
      <c r="BE217" s="187"/>
      <c r="BF217" s="176"/>
      <c r="BG217" s="176"/>
      <c r="BH217" s="177"/>
      <c r="BJ217" s="253"/>
      <c r="BL217" s="193">
        <v>0.02</v>
      </c>
      <c r="BM217" s="194">
        <v>0.03</v>
      </c>
      <c r="BN217" s="194">
        <v>0.05</v>
      </c>
      <c r="BO217" s="195">
        <v>0.06</v>
      </c>
      <c r="BQ217" s="187"/>
      <c r="BR217" s="185"/>
      <c r="BS217" s="185"/>
      <c r="BT217" s="254"/>
      <c r="BV217" s="187"/>
      <c r="BW217" s="185"/>
      <c r="BX217" s="185"/>
      <c r="BY217" s="185"/>
      <c r="BZ217" s="254"/>
      <c r="CB217" s="187"/>
      <c r="CC217" s="185"/>
      <c r="CD217" s="185"/>
      <c r="CE217" s="185"/>
      <c r="CF217" s="254"/>
      <c r="CH217" s="253">
        <v>0.99</v>
      </c>
    </row>
    <row r="218" spans="1:86">
      <c r="A218" s="1563"/>
      <c r="B218" s="168"/>
      <c r="C218" s="241"/>
      <c r="D218" s="177" t="s">
        <v>322</v>
      </c>
      <c r="F218" s="256">
        <v>176820</v>
      </c>
      <c r="G218" s="257"/>
      <c r="H218" s="256">
        <v>173810</v>
      </c>
      <c r="I218" s="257"/>
      <c r="J218" s="179" t="s">
        <v>182</v>
      </c>
      <c r="K218" s="258">
        <v>1650</v>
      </c>
      <c r="L218" s="259"/>
      <c r="M218" s="260" t="s">
        <v>795</v>
      </c>
      <c r="N218" s="258">
        <v>1620</v>
      </c>
      <c r="O218" s="259"/>
      <c r="P218" s="260" t="s">
        <v>795</v>
      </c>
      <c r="R218" s="182"/>
      <c r="S218" s="176"/>
      <c r="T218" s="177"/>
      <c r="V218" s="182"/>
      <c r="W218" s="185"/>
      <c r="X218" s="176"/>
      <c r="Y218" s="185"/>
      <c r="Z218" s="176"/>
      <c r="AA218" s="176"/>
      <c r="AB218" s="177"/>
      <c r="AD218" s="281"/>
      <c r="AE218" s="281"/>
      <c r="AF218" s="176"/>
      <c r="AG218" s="176"/>
      <c r="AH218" s="177"/>
      <c r="AJ218" s="187"/>
      <c r="AK218" s="185"/>
      <c r="AL218" s="176"/>
      <c r="AM218" s="176"/>
      <c r="AN218" s="177"/>
      <c r="AP218" s="1552"/>
      <c r="AQ218" s="1555"/>
      <c r="AR218" s="1552"/>
      <c r="AS218" s="1555"/>
      <c r="AT218" s="1544"/>
      <c r="AU218" s="262" t="s">
        <v>701</v>
      </c>
      <c r="AV218" s="263">
        <v>2300</v>
      </c>
      <c r="AW218" s="264">
        <v>2500</v>
      </c>
      <c r="AX218" s="265">
        <v>1600</v>
      </c>
      <c r="AY218" s="266">
        <v>1600</v>
      </c>
      <c r="BA218" s="235"/>
      <c r="BC218" s="359"/>
      <c r="BE218" s="187"/>
      <c r="BF218" s="176"/>
      <c r="BG218" s="176"/>
      <c r="BH218" s="177"/>
      <c r="BJ218" s="253"/>
      <c r="BL218" s="193"/>
      <c r="BM218" s="194"/>
      <c r="BN218" s="194"/>
      <c r="BO218" s="195"/>
      <c r="BQ218" s="187"/>
      <c r="BR218" s="185"/>
      <c r="BS218" s="185"/>
      <c r="BT218" s="254"/>
      <c r="BV218" s="187"/>
      <c r="BW218" s="185"/>
      <c r="BX218" s="185"/>
      <c r="BY218" s="185"/>
      <c r="BZ218" s="254"/>
      <c r="CB218" s="187"/>
      <c r="CC218" s="185"/>
      <c r="CD218" s="185"/>
      <c r="CE218" s="185"/>
      <c r="CF218" s="254"/>
      <c r="CH218" s="253"/>
    </row>
    <row r="219" spans="1:86" ht="31.5">
      <c r="A219" s="1563"/>
      <c r="B219" s="215" t="s">
        <v>344</v>
      </c>
      <c r="C219" s="216" t="s">
        <v>313</v>
      </c>
      <c r="D219" s="217" t="s">
        <v>314</v>
      </c>
      <c r="F219" s="218">
        <v>31090</v>
      </c>
      <c r="G219" s="219">
        <v>38680</v>
      </c>
      <c r="H219" s="218">
        <v>28250</v>
      </c>
      <c r="I219" s="219">
        <v>35840</v>
      </c>
      <c r="J219" s="179" t="s">
        <v>182</v>
      </c>
      <c r="K219" s="220">
        <v>290</v>
      </c>
      <c r="L219" s="221">
        <v>360</v>
      </c>
      <c r="M219" s="222" t="s">
        <v>795</v>
      </c>
      <c r="N219" s="220">
        <v>260</v>
      </c>
      <c r="O219" s="221">
        <v>330</v>
      </c>
      <c r="P219" s="222" t="s">
        <v>795</v>
      </c>
      <c r="Q219" s="160" t="s">
        <v>182</v>
      </c>
      <c r="R219" s="223">
        <v>7590</v>
      </c>
      <c r="S219" s="224">
        <v>70</v>
      </c>
      <c r="T219" s="225" t="s">
        <v>184</v>
      </c>
      <c r="V219" s="182"/>
      <c r="W219" s="185"/>
      <c r="X219" s="176"/>
      <c r="Y219" s="185"/>
      <c r="Z219" s="176"/>
      <c r="AA219" s="176"/>
      <c r="AB219" s="177"/>
      <c r="AD219" s="281"/>
      <c r="AE219" s="281"/>
      <c r="AF219" s="176"/>
      <c r="AG219" s="176"/>
      <c r="AH219" s="177"/>
      <c r="AJ219" s="187"/>
      <c r="AK219" s="185"/>
      <c r="AL219" s="176"/>
      <c r="AM219" s="176"/>
      <c r="AN219" s="177"/>
      <c r="AO219" s="160" t="s">
        <v>182</v>
      </c>
      <c r="AP219" s="1550">
        <v>2500</v>
      </c>
      <c r="AQ219" s="1553">
        <v>2700</v>
      </c>
      <c r="AR219" s="1550">
        <v>1700</v>
      </c>
      <c r="AS219" s="1553">
        <v>1700</v>
      </c>
      <c r="AT219" s="1544" t="s">
        <v>664</v>
      </c>
      <c r="AU219" s="230" t="s">
        <v>697</v>
      </c>
      <c r="AV219" s="231">
        <v>4800</v>
      </c>
      <c r="AW219" s="232">
        <v>5400</v>
      </c>
      <c r="AX219" s="267">
        <v>3400</v>
      </c>
      <c r="AY219" s="252">
        <v>3400</v>
      </c>
      <c r="BA219" s="235"/>
      <c r="BB219" s="160" t="s">
        <v>182</v>
      </c>
      <c r="BC219" s="1556">
        <v>4700</v>
      </c>
      <c r="BD219" s="160" t="s">
        <v>182</v>
      </c>
      <c r="BE219" s="228">
        <v>1210</v>
      </c>
      <c r="BF219" s="226" t="s">
        <v>182</v>
      </c>
      <c r="BG219" s="226">
        <v>10</v>
      </c>
      <c r="BH219" s="217" t="s">
        <v>184</v>
      </c>
      <c r="BJ219" s="253"/>
      <c r="BK219" s="160" t="s">
        <v>188</v>
      </c>
      <c r="BL219" s="237" t="s">
        <v>317</v>
      </c>
      <c r="BM219" s="238" t="s">
        <v>317</v>
      </c>
      <c r="BN219" s="238" t="s">
        <v>317</v>
      </c>
      <c r="BO219" s="239" t="s">
        <v>317</v>
      </c>
      <c r="BP219" s="160" t="s">
        <v>188</v>
      </c>
      <c r="BQ219" s="228"/>
      <c r="BR219" s="229"/>
      <c r="BS219" s="229"/>
      <c r="BT219" s="240"/>
      <c r="BU219" s="160" t="s">
        <v>188</v>
      </c>
      <c r="BV219" s="228"/>
      <c r="BW219" s="229"/>
      <c r="BX219" s="229"/>
      <c r="BY219" s="229"/>
      <c r="BZ219" s="240"/>
      <c r="CA219" s="160" t="s">
        <v>188</v>
      </c>
      <c r="CB219" s="228"/>
      <c r="CC219" s="229"/>
      <c r="CD219" s="229"/>
      <c r="CE219" s="229"/>
      <c r="CF219" s="240"/>
      <c r="CH219" s="236" t="s">
        <v>324</v>
      </c>
    </row>
    <row r="220" spans="1:86">
      <c r="A220" s="1563"/>
      <c r="B220" s="168"/>
      <c r="C220" s="241"/>
      <c r="D220" s="177" t="s">
        <v>318</v>
      </c>
      <c r="F220" s="242">
        <v>38680</v>
      </c>
      <c r="G220" s="243">
        <v>100100</v>
      </c>
      <c r="H220" s="242">
        <v>35840</v>
      </c>
      <c r="I220" s="243">
        <v>97260</v>
      </c>
      <c r="J220" s="179" t="s">
        <v>182</v>
      </c>
      <c r="K220" s="244">
        <v>360</v>
      </c>
      <c r="L220" s="245">
        <v>880</v>
      </c>
      <c r="M220" s="246" t="s">
        <v>795</v>
      </c>
      <c r="N220" s="244">
        <v>330</v>
      </c>
      <c r="O220" s="245">
        <v>850</v>
      </c>
      <c r="P220" s="246" t="s">
        <v>795</v>
      </c>
      <c r="Q220" s="160" t="s">
        <v>182</v>
      </c>
      <c r="R220" s="187">
        <v>7590</v>
      </c>
      <c r="S220" s="185">
        <v>70</v>
      </c>
      <c r="T220" s="247" t="s">
        <v>184</v>
      </c>
      <c r="V220" s="182"/>
      <c r="W220" s="185"/>
      <c r="X220" s="176"/>
      <c r="Y220" s="185"/>
      <c r="Z220" s="176"/>
      <c r="AA220" s="176"/>
      <c r="AB220" s="177"/>
      <c r="AD220" s="281"/>
      <c r="AE220" s="281"/>
      <c r="AF220" s="176"/>
      <c r="AG220" s="176"/>
      <c r="AH220" s="177"/>
      <c r="AJ220" s="187"/>
      <c r="AK220" s="185"/>
      <c r="AL220" s="176"/>
      <c r="AM220" s="176"/>
      <c r="AN220" s="177"/>
      <c r="AP220" s="1551"/>
      <c r="AQ220" s="1554"/>
      <c r="AR220" s="1551"/>
      <c r="AS220" s="1554"/>
      <c r="AT220" s="1544"/>
      <c r="AU220" s="172" t="s">
        <v>699</v>
      </c>
      <c r="AV220" s="249">
        <v>2600</v>
      </c>
      <c r="AW220" s="250">
        <v>2900</v>
      </c>
      <c r="AX220" s="267">
        <v>1800</v>
      </c>
      <c r="AY220" s="252">
        <v>1800</v>
      </c>
      <c r="BA220" s="235"/>
      <c r="BC220" s="1557"/>
      <c r="BE220" s="187"/>
      <c r="BF220" s="176"/>
      <c r="BG220" s="176"/>
      <c r="BH220" s="177"/>
      <c r="BJ220" s="253"/>
      <c r="BL220" s="193"/>
      <c r="BM220" s="194"/>
      <c r="BN220" s="194"/>
      <c r="BO220" s="195"/>
      <c r="BQ220" s="187">
        <v>700</v>
      </c>
      <c r="BR220" s="185" t="s">
        <v>189</v>
      </c>
      <c r="BS220" s="185">
        <v>7</v>
      </c>
      <c r="BT220" s="254" t="s">
        <v>184</v>
      </c>
      <c r="BV220" s="187">
        <v>2530</v>
      </c>
      <c r="BW220" s="185" t="s">
        <v>189</v>
      </c>
      <c r="BX220" s="185">
        <v>20</v>
      </c>
      <c r="BY220" s="185" t="s">
        <v>184</v>
      </c>
      <c r="BZ220" s="254" t="s">
        <v>190</v>
      </c>
      <c r="CB220" s="187">
        <v>1630</v>
      </c>
      <c r="CC220" s="185" t="s">
        <v>189</v>
      </c>
      <c r="CD220" s="185">
        <v>10</v>
      </c>
      <c r="CE220" s="185" t="s">
        <v>184</v>
      </c>
      <c r="CF220" s="254" t="s">
        <v>190</v>
      </c>
      <c r="CH220" s="253"/>
    </row>
    <row r="221" spans="1:86">
      <c r="A221" s="1563"/>
      <c r="B221" s="168"/>
      <c r="C221" s="241" t="s">
        <v>319</v>
      </c>
      <c r="D221" s="177" t="s">
        <v>320</v>
      </c>
      <c r="F221" s="242">
        <v>100100</v>
      </c>
      <c r="G221" s="243">
        <v>176040</v>
      </c>
      <c r="H221" s="242">
        <v>97260</v>
      </c>
      <c r="I221" s="243">
        <v>173200</v>
      </c>
      <c r="J221" s="179" t="s">
        <v>182</v>
      </c>
      <c r="K221" s="244">
        <v>880</v>
      </c>
      <c r="L221" s="245">
        <v>1640</v>
      </c>
      <c r="M221" s="246" t="s">
        <v>795</v>
      </c>
      <c r="N221" s="244">
        <v>850</v>
      </c>
      <c r="O221" s="245">
        <v>1610</v>
      </c>
      <c r="P221" s="246" t="s">
        <v>795</v>
      </c>
      <c r="R221" s="182"/>
      <c r="S221" s="176"/>
      <c r="T221" s="177"/>
      <c r="V221" s="182"/>
      <c r="W221" s="185"/>
      <c r="X221" s="176"/>
      <c r="Y221" s="185"/>
      <c r="Z221" s="176"/>
      <c r="AA221" s="176"/>
      <c r="AB221" s="177"/>
      <c r="AD221" s="281"/>
      <c r="AE221" s="281"/>
      <c r="AF221" s="176"/>
      <c r="AG221" s="176"/>
      <c r="AH221" s="177"/>
      <c r="AJ221" s="187"/>
      <c r="AK221" s="185"/>
      <c r="AL221" s="176"/>
      <c r="AM221" s="176"/>
      <c r="AN221" s="177"/>
      <c r="AP221" s="1551"/>
      <c r="AQ221" s="1554"/>
      <c r="AR221" s="1551"/>
      <c r="AS221" s="1554"/>
      <c r="AT221" s="1544"/>
      <c r="AU221" s="172" t="s">
        <v>700</v>
      </c>
      <c r="AV221" s="249">
        <v>2300</v>
      </c>
      <c r="AW221" s="250">
        <v>2500</v>
      </c>
      <c r="AX221" s="267">
        <v>1600</v>
      </c>
      <c r="AY221" s="252">
        <v>1600</v>
      </c>
      <c r="BA221" s="235"/>
      <c r="BC221" s="359"/>
      <c r="BE221" s="187"/>
      <c r="BF221" s="176"/>
      <c r="BG221" s="176"/>
      <c r="BH221" s="177"/>
      <c r="BJ221" s="253"/>
      <c r="BL221" s="193">
        <v>0.02</v>
      </c>
      <c r="BM221" s="194">
        <v>0.03</v>
      </c>
      <c r="BN221" s="194">
        <v>0.05</v>
      </c>
      <c r="BO221" s="195">
        <v>0.06</v>
      </c>
      <c r="BQ221" s="187"/>
      <c r="BR221" s="185"/>
      <c r="BS221" s="185"/>
      <c r="BT221" s="254"/>
      <c r="BV221" s="187"/>
      <c r="BW221" s="185"/>
      <c r="BX221" s="185"/>
      <c r="BY221" s="185"/>
      <c r="BZ221" s="254"/>
      <c r="CB221" s="187"/>
      <c r="CC221" s="185"/>
      <c r="CD221" s="185"/>
      <c r="CE221" s="185"/>
      <c r="CF221" s="254"/>
      <c r="CH221" s="253">
        <v>0.99</v>
      </c>
    </row>
    <row r="222" spans="1:86">
      <c r="A222" s="1563"/>
      <c r="B222" s="269"/>
      <c r="C222" s="270"/>
      <c r="D222" s="184" t="s">
        <v>322</v>
      </c>
      <c r="F222" s="256">
        <v>176040</v>
      </c>
      <c r="G222" s="257"/>
      <c r="H222" s="256">
        <v>173200</v>
      </c>
      <c r="I222" s="257"/>
      <c r="J222" s="179" t="s">
        <v>182</v>
      </c>
      <c r="K222" s="258">
        <v>1640</v>
      </c>
      <c r="L222" s="259"/>
      <c r="M222" s="260" t="s">
        <v>795</v>
      </c>
      <c r="N222" s="258">
        <v>1610</v>
      </c>
      <c r="O222" s="259"/>
      <c r="P222" s="260" t="s">
        <v>795</v>
      </c>
      <c r="R222" s="183"/>
      <c r="S222" s="271"/>
      <c r="T222" s="184"/>
      <c r="V222" s="182"/>
      <c r="W222" s="185"/>
      <c r="X222" s="176"/>
      <c r="Y222" s="185"/>
      <c r="Z222" s="176"/>
      <c r="AA222" s="176"/>
      <c r="AB222" s="177"/>
      <c r="AD222" s="281"/>
      <c r="AE222" s="281"/>
      <c r="AF222" s="176"/>
      <c r="AG222" s="176"/>
      <c r="AH222" s="177"/>
      <c r="AJ222" s="187"/>
      <c r="AK222" s="185"/>
      <c r="AL222" s="176"/>
      <c r="AM222" s="176"/>
      <c r="AN222" s="177"/>
      <c r="AP222" s="1552"/>
      <c r="AQ222" s="1555"/>
      <c r="AR222" s="1552"/>
      <c r="AS222" s="1555"/>
      <c r="AT222" s="1544"/>
      <c r="AU222" s="262" t="s">
        <v>701</v>
      </c>
      <c r="AV222" s="263">
        <v>2000</v>
      </c>
      <c r="AW222" s="264">
        <v>2300</v>
      </c>
      <c r="AX222" s="283">
        <v>1400</v>
      </c>
      <c r="AY222" s="266">
        <v>1400</v>
      </c>
      <c r="BA222" s="282"/>
      <c r="BC222" s="359"/>
      <c r="BE222" s="186"/>
      <c r="BF222" s="271"/>
      <c r="BG222" s="271"/>
      <c r="BH222" s="184"/>
      <c r="BJ222" s="198"/>
      <c r="BL222" s="272"/>
      <c r="BM222" s="273"/>
      <c r="BN222" s="273"/>
      <c r="BO222" s="274"/>
      <c r="BQ222" s="186"/>
      <c r="BR222" s="196"/>
      <c r="BS222" s="196"/>
      <c r="BT222" s="197"/>
      <c r="BV222" s="186"/>
      <c r="BW222" s="196"/>
      <c r="BX222" s="196"/>
      <c r="BY222" s="196"/>
      <c r="BZ222" s="197"/>
      <c r="CB222" s="186"/>
      <c r="CC222" s="196"/>
      <c r="CD222" s="196"/>
      <c r="CE222" s="196"/>
      <c r="CF222" s="197"/>
      <c r="CH222" s="198"/>
    </row>
    <row r="223" spans="1:86" ht="63">
      <c r="A223" s="1563" t="s">
        <v>228</v>
      </c>
      <c r="B223" s="168" t="s">
        <v>345</v>
      </c>
      <c r="C223" s="241" t="s">
        <v>313</v>
      </c>
      <c r="D223" s="177" t="s">
        <v>314</v>
      </c>
      <c r="F223" s="218">
        <v>232700</v>
      </c>
      <c r="G223" s="219">
        <v>240110</v>
      </c>
      <c r="H223" s="218">
        <v>182650</v>
      </c>
      <c r="I223" s="219">
        <v>190060</v>
      </c>
      <c r="J223" s="179" t="s">
        <v>182</v>
      </c>
      <c r="K223" s="220">
        <v>2300</v>
      </c>
      <c r="L223" s="221">
        <v>2370</v>
      </c>
      <c r="M223" s="222" t="s">
        <v>795</v>
      </c>
      <c r="N223" s="220">
        <v>1800</v>
      </c>
      <c r="O223" s="221">
        <v>1870</v>
      </c>
      <c r="P223" s="222" t="s">
        <v>795</v>
      </c>
      <c r="Q223" s="160" t="s">
        <v>182</v>
      </c>
      <c r="R223" s="275">
        <v>7410</v>
      </c>
      <c r="S223" s="276">
        <v>70</v>
      </c>
      <c r="T223" s="247" t="s">
        <v>184</v>
      </c>
      <c r="U223" s="160" t="s">
        <v>182</v>
      </c>
      <c r="V223" s="1576" t="s">
        <v>315</v>
      </c>
      <c r="W223" s="1577"/>
      <c r="X223" s="226" t="s">
        <v>182</v>
      </c>
      <c r="Y223" s="1577" t="s">
        <v>315</v>
      </c>
      <c r="Z223" s="1577"/>
      <c r="AA223" s="226"/>
      <c r="AB223" s="217"/>
      <c r="AC223" s="160" t="s">
        <v>182</v>
      </c>
      <c r="AD223" s="1546">
        <v>54290</v>
      </c>
      <c r="AE223" s="227"/>
      <c r="AF223" s="226" t="s">
        <v>182</v>
      </c>
      <c r="AG223" s="226">
        <v>470</v>
      </c>
      <c r="AH223" s="217" t="s">
        <v>184</v>
      </c>
      <c r="AI223" s="160" t="s">
        <v>182</v>
      </c>
      <c r="AJ223" s="228" t="s">
        <v>186</v>
      </c>
      <c r="AK223" s="229"/>
      <c r="AL223" s="226" t="s">
        <v>182</v>
      </c>
      <c r="AM223" s="226">
        <v>300</v>
      </c>
      <c r="AN223" s="217" t="s">
        <v>316</v>
      </c>
      <c r="AO223" s="160" t="s">
        <v>182</v>
      </c>
      <c r="AP223" s="1550">
        <v>15800</v>
      </c>
      <c r="AQ223" s="1553">
        <v>17400</v>
      </c>
      <c r="AR223" s="1550">
        <v>11000</v>
      </c>
      <c r="AS223" s="1553">
        <v>11000</v>
      </c>
      <c r="AT223" s="1544" t="s">
        <v>664</v>
      </c>
      <c r="AU223" s="230" t="s">
        <v>697</v>
      </c>
      <c r="AV223" s="231">
        <v>31600</v>
      </c>
      <c r="AW223" s="232">
        <v>35200</v>
      </c>
      <c r="AX223" s="233">
        <v>22100</v>
      </c>
      <c r="AY223" s="234">
        <v>22100</v>
      </c>
      <c r="AZ223" s="160" t="s">
        <v>182</v>
      </c>
      <c r="BA223" s="235"/>
      <c r="BB223" s="160" t="s">
        <v>182</v>
      </c>
      <c r="BC223" s="1556">
        <v>4700</v>
      </c>
      <c r="BD223" s="160" t="s">
        <v>182</v>
      </c>
      <c r="BE223" s="187">
        <v>21610</v>
      </c>
      <c r="BF223" s="176" t="s">
        <v>182</v>
      </c>
      <c r="BG223" s="176">
        <v>210</v>
      </c>
      <c r="BH223" s="177" t="s">
        <v>184</v>
      </c>
      <c r="BI223" s="160" t="s">
        <v>188</v>
      </c>
      <c r="BJ223" s="253"/>
      <c r="BK223" s="160" t="s">
        <v>188</v>
      </c>
      <c r="BL223" s="193" t="s">
        <v>317</v>
      </c>
      <c r="BM223" s="194" t="s">
        <v>317</v>
      </c>
      <c r="BN223" s="194" t="s">
        <v>317</v>
      </c>
      <c r="BO223" s="195" t="s">
        <v>317</v>
      </c>
      <c r="BP223" s="160" t="s">
        <v>188</v>
      </c>
      <c r="BQ223" s="187"/>
      <c r="BR223" s="185"/>
      <c r="BS223" s="185"/>
      <c r="BT223" s="254"/>
      <c r="BU223" s="160" t="s">
        <v>188</v>
      </c>
      <c r="BV223" s="187"/>
      <c r="BW223" s="185"/>
      <c r="BX223" s="185"/>
      <c r="BY223" s="185"/>
      <c r="BZ223" s="254"/>
      <c r="CA223" s="160" t="s">
        <v>188</v>
      </c>
      <c r="CB223" s="187"/>
      <c r="CC223" s="185"/>
      <c r="CD223" s="185"/>
      <c r="CE223" s="185"/>
      <c r="CF223" s="254"/>
      <c r="CH223" s="253" t="s">
        <v>324</v>
      </c>
    </row>
    <row r="224" spans="1:86">
      <c r="A224" s="1563"/>
      <c r="B224" s="168"/>
      <c r="C224" s="241"/>
      <c r="D224" s="177" t="s">
        <v>318</v>
      </c>
      <c r="F224" s="242">
        <v>240110</v>
      </c>
      <c r="G224" s="243">
        <v>300290</v>
      </c>
      <c r="H224" s="242">
        <v>190060</v>
      </c>
      <c r="I224" s="243">
        <v>250240</v>
      </c>
      <c r="J224" s="179" t="s">
        <v>182</v>
      </c>
      <c r="K224" s="244">
        <v>2370</v>
      </c>
      <c r="L224" s="245">
        <v>2890</v>
      </c>
      <c r="M224" s="246" t="s">
        <v>795</v>
      </c>
      <c r="N224" s="244">
        <v>1870</v>
      </c>
      <c r="O224" s="245">
        <v>2390</v>
      </c>
      <c r="P224" s="246" t="s">
        <v>795</v>
      </c>
      <c r="Q224" s="160" t="s">
        <v>182</v>
      </c>
      <c r="R224" s="187">
        <v>7410</v>
      </c>
      <c r="S224" s="185">
        <v>70</v>
      </c>
      <c r="T224" s="247" t="s">
        <v>184</v>
      </c>
      <c r="V224" s="1578"/>
      <c r="W224" s="1579"/>
      <c r="X224" s="176"/>
      <c r="Y224" s="1579"/>
      <c r="Z224" s="1579"/>
      <c r="AA224" s="176"/>
      <c r="AB224" s="177"/>
      <c r="AD224" s="1547"/>
      <c r="AE224" s="248">
        <v>52560</v>
      </c>
      <c r="AF224" s="176"/>
      <c r="AG224" s="176"/>
      <c r="AH224" s="177"/>
      <c r="AJ224" s="187"/>
      <c r="AK224" s="185"/>
      <c r="AL224" s="176"/>
      <c r="AM224" s="176"/>
      <c r="AN224" s="177"/>
      <c r="AP224" s="1551"/>
      <c r="AQ224" s="1554"/>
      <c r="AR224" s="1551"/>
      <c r="AS224" s="1554"/>
      <c r="AT224" s="1544"/>
      <c r="AU224" s="172" t="s">
        <v>699</v>
      </c>
      <c r="AV224" s="249">
        <v>17400</v>
      </c>
      <c r="AW224" s="250">
        <v>19400</v>
      </c>
      <c r="AX224" s="251">
        <v>12200</v>
      </c>
      <c r="AY224" s="252">
        <v>12200</v>
      </c>
      <c r="BA224" s="235"/>
      <c r="BC224" s="1557"/>
      <c r="BE224" s="187"/>
      <c r="BF224" s="176"/>
      <c r="BG224" s="176"/>
      <c r="BH224" s="177"/>
      <c r="BJ224" s="253"/>
      <c r="BL224" s="193"/>
      <c r="BM224" s="194"/>
      <c r="BN224" s="194"/>
      <c r="BO224" s="195"/>
      <c r="BQ224" s="187">
        <v>12720</v>
      </c>
      <c r="BR224" s="185" t="s">
        <v>189</v>
      </c>
      <c r="BS224" s="185">
        <v>120</v>
      </c>
      <c r="BT224" s="254" t="s">
        <v>184</v>
      </c>
      <c r="BV224" s="187">
        <v>44490</v>
      </c>
      <c r="BW224" s="185" t="s">
        <v>189</v>
      </c>
      <c r="BX224" s="185">
        <v>440</v>
      </c>
      <c r="BY224" s="185" t="s">
        <v>184</v>
      </c>
      <c r="BZ224" s="254" t="s">
        <v>190</v>
      </c>
      <c r="CB224" s="187">
        <v>28360</v>
      </c>
      <c r="CC224" s="185" t="s">
        <v>189</v>
      </c>
      <c r="CD224" s="185">
        <v>280</v>
      </c>
      <c r="CE224" s="185" t="s">
        <v>184</v>
      </c>
      <c r="CF224" s="254" t="s">
        <v>190</v>
      </c>
      <c r="CH224" s="253"/>
    </row>
    <row r="225" spans="1:86">
      <c r="A225" s="1563"/>
      <c r="B225" s="168"/>
      <c r="C225" s="241" t="s">
        <v>319</v>
      </c>
      <c r="D225" s="177" t="s">
        <v>320</v>
      </c>
      <c r="F225" s="242">
        <v>300290</v>
      </c>
      <c r="G225" s="243">
        <v>374450</v>
      </c>
      <c r="H225" s="242">
        <v>250240</v>
      </c>
      <c r="I225" s="243">
        <v>324400</v>
      </c>
      <c r="J225" s="179" t="s">
        <v>182</v>
      </c>
      <c r="K225" s="244">
        <v>2890</v>
      </c>
      <c r="L225" s="245">
        <v>3630</v>
      </c>
      <c r="M225" s="246" t="s">
        <v>795</v>
      </c>
      <c r="N225" s="244">
        <v>2390</v>
      </c>
      <c r="O225" s="245">
        <v>3130</v>
      </c>
      <c r="P225" s="246" t="s">
        <v>795</v>
      </c>
      <c r="R225" s="182"/>
      <c r="S225" s="176"/>
      <c r="T225" s="177"/>
      <c r="V225" s="1578"/>
      <c r="W225" s="1579"/>
      <c r="X225" s="176"/>
      <c r="Y225" s="1579"/>
      <c r="Z225" s="1579"/>
      <c r="AA225" s="176"/>
      <c r="AB225" s="177"/>
      <c r="AC225" s="160" t="s">
        <v>182</v>
      </c>
      <c r="AD225" s="1548">
        <v>52560</v>
      </c>
      <c r="AE225" s="255"/>
      <c r="AF225" s="176"/>
      <c r="AG225" s="176"/>
      <c r="AH225" s="177"/>
      <c r="AJ225" s="187">
        <v>30520</v>
      </c>
      <c r="AK225" s="185" t="s">
        <v>321</v>
      </c>
      <c r="AL225" s="176"/>
      <c r="AM225" s="176"/>
      <c r="AN225" s="177"/>
      <c r="AP225" s="1551"/>
      <c r="AQ225" s="1554"/>
      <c r="AR225" s="1551"/>
      <c r="AS225" s="1554"/>
      <c r="AT225" s="1544"/>
      <c r="AU225" s="172" t="s">
        <v>700</v>
      </c>
      <c r="AV225" s="249">
        <v>15200</v>
      </c>
      <c r="AW225" s="250">
        <v>16900</v>
      </c>
      <c r="AX225" s="251">
        <v>10600</v>
      </c>
      <c r="AY225" s="252">
        <v>10600</v>
      </c>
      <c r="BA225" s="235"/>
      <c r="BC225" s="358"/>
      <c r="BE225" s="187"/>
      <c r="BF225" s="176"/>
      <c r="BG225" s="176"/>
      <c r="BH225" s="177"/>
      <c r="BJ225" s="253"/>
      <c r="BL225" s="193">
        <v>0.01</v>
      </c>
      <c r="BM225" s="194">
        <v>0.02</v>
      </c>
      <c r="BN225" s="194">
        <v>0.04</v>
      </c>
      <c r="BO225" s="195">
        <v>0.05</v>
      </c>
      <c r="BQ225" s="187"/>
      <c r="BR225" s="185"/>
      <c r="BS225" s="185"/>
      <c r="BT225" s="254"/>
      <c r="BV225" s="187"/>
      <c r="BW225" s="185"/>
      <c r="BX225" s="185"/>
      <c r="BY225" s="185"/>
      <c r="BZ225" s="254"/>
      <c r="CB225" s="187"/>
      <c r="CC225" s="185"/>
      <c r="CD225" s="185"/>
      <c r="CE225" s="185"/>
      <c r="CF225" s="254"/>
      <c r="CH225" s="253">
        <v>0.61</v>
      </c>
    </row>
    <row r="226" spans="1:86">
      <c r="A226" s="1563"/>
      <c r="B226" s="168"/>
      <c r="C226" s="241"/>
      <c r="D226" s="177" t="s">
        <v>322</v>
      </c>
      <c r="F226" s="256">
        <v>374450</v>
      </c>
      <c r="G226" s="257"/>
      <c r="H226" s="256">
        <v>324400</v>
      </c>
      <c r="I226" s="257"/>
      <c r="J226" s="179" t="s">
        <v>182</v>
      </c>
      <c r="K226" s="258">
        <v>3630</v>
      </c>
      <c r="L226" s="259"/>
      <c r="M226" s="260" t="s">
        <v>795</v>
      </c>
      <c r="N226" s="258">
        <v>3130</v>
      </c>
      <c r="O226" s="259"/>
      <c r="P226" s="260" t="s">
        <v>795</v>
      </c>
      <c r="R226" s="182"/>
      <c r="S226" s="176"/>
      <c r="T226" s="177"/>
      <c r="V226" s="1578"/>
      <c r="W226" s="1579"/>
      <c r="X226" s="176"/>
      <c r="Y226" s="1579"/>
      <c r="Z226" s="1579"/>
      <c r="AA226" s="176"/>
      <c r="AB226" s="177"/>
      <c r="AD226" s="1549"/>
      <c r="AE226" s="261"/>
      <c r="AF226" s="271"/>
      <c r="AG226" s="271"/>
      <c r="AH226" s="184"/>
      <c r="AJ226" s="187"/>
      <c r="AK226" s="185"/>
      <c r="AL226" s="176"/>
      <c r="AM226" s="176"/>
      <c r="AN226" s="177"/>
      <c r="AP226" s="1552"/>
      <c r="AQ226" s="1555"/>
      <c r="AR226" s="1552"/>
      <c r="AS226" s="1555"/>
      <c r="AT226" s="1544"/>
      <c r="AU226" s="262" t="s">
        <v>701</v>
      </c>
      <c r="AV226" s="263">
        <v>13600</v>
      </c>
      <c r="AW226" s="264">
        <v>15100</v>
      </c>
      <c r="AX226" s="265">
        <v>9500</v>
      </c>
      <c r="AY226" s="266">
        <v>9500</v>
      </c>
      <c r="BA226" s="235"/>
      <c r="BC226" s="359"/>
      <c r="BE226" s="187"/>
      <c r="BF226" s="176"/>
      <c r="BG226" s="176"/>
      <c r="BH226" s="177"/>
      <c r="BJ226" s="253"/>
      <c r="BL226" s="193"/>
      <c r="BM226" s="194"/>
      <c r="BN226" s="194"/>
      <c r="BO226" s="195"/>
      <c r="BQ226" s="187"/>
      <c r="BR226" s="185"/>
      <c r="BS226" s="185"/>
      <c r="BT226" s="254"/>
      <c r="BV226" s="187"/>
      <c r="BW226" s="185"/>
      <c r="BX226" s="185"/>
      <c r="BY226" s="185"/>
      <c r="BZ226" s="254"/>
      <c r="CB226" s="187"/>
      <c r="CC226" s="185"/>
      <c r="CD226" s="185"/>
      <c r="CE226" s="185"/>
      <c r="CF226" s="254"/>
      <c r="CH226" s="253"/>
    </row>
    <row r="227" spans="1:86" ht="63">
      <c r="A227" s="1563"/>
      <c r="B227" s="215" t="s">
        <v>323</v>
      </c>
      <c r="C227" s="216" t="s">
        <v>313</v>
      </c>
      <c r="D227" s="217" t="s">
        <v>314</v>
      </c>
      <c r="F227" s="218">
        <v>126290</v>
      </c>
      <c r="G227" s="219">
        <v>133700</v>
      </c>
      <c r="H227" s="218">
        <v>101270</v>
      </c>
      <c r="I227" s="219">
        <v>108680</v>
      </c>
      <c r="J227" s="179" t="s">
        <v>182</v>
      </c>
      <c r="K227" s="220">
        <v>1240</v>
      </c>
      <c r="L227" s="221">
        <v>1310</v>
      </c>
      <c r="M227" s="222" t="s">
        <v>795</v>
      </c>
      <c r="N227" s="220">
        <v>990</v>
      </c>
      <c r="O227" s="221">
        <v>1060</v>
      </c>
      <c r="P227" s="222" t="s">
        <v>795</v>
      </c>
      <c r="Q227" s="160" t="s">
        <v>182</v>
      </c>
      <c r="R227" s="223">
        <v>7410</v>
      </c>
      <c r="S227" s="224">
        <v>70</v>
      </c>
      <c r="T227" s="225" t="s">
        <v>184</v>
      </c>
      <c r="V227" s="1578"/>
      <c r="W227" s="1579"/>
      <c r="X227" s="176"/>
      <c r="Y227" s="1579"/>
      <c r="Z227" s="1579"/>
      <c r="AA227" s="176"/>
      <c r="AB227" s="177"/>
      <c r="AC227" s="160" t="s">
        <v>182</v>
      </c>
      <c r="AD227" s="1546">
        <v>30600</v>
      </c>
      <c r="AE227" s="227"/>
      <c r="AF227" s="176" t="s">
        <v>182</v>
      </c>
      <c r="AG227" s="176">
        <v>230</v>
      </c>
      <c r="AH227" s="177" t="s">
        <v>184</v>
      </c>
      <c r="AJ227" s="187" t="s">
        <v>194</v>
      </c>
      <c r="AK227" s="185"/>
      <c r="AL227" s="176" t="s">
        <v>182</v>
      </c>
      <c r="AM227" s="176">
        <v>180</v>
      </c>
      <c r="AN227" s="177" t="s">
        <v>316</v>
      </c>
      <c r="AO227" s="160" t="s">
        <v>182</v>
      </c>
      <c r="AP227" s="1550">
        <v>7900</v>
      </c>
      <c r="AQ227" s="1553">
        <v>8700</v>
      </c>
      <c r="AR227" s="1550">
        <v>5500</v>
      </c>
      <c r="AS227" s="1553">
        <v>5500</v>
      </c>
      <c r="AT227" s="1544" t="s">
        <v>664</v>
      </c>
      <c r="AU227" s="230" t="s">
        <v>697</v>
      </c>
      <c r="AV227" s="231">
        <v>15800</v>
      </c>
      <c r="AW227" s="232">
        <v>17600</v>
      </c>
      <c r="AX227" s="267">
        <v>11000</v>
      </c>
      <c r="AY227" s="252">
        <v>11000</v>
      </c>
      <c r="BA227" s="235"/>
      <c r="BB227" s="160" t="s">
        <v>182</v>
      </c>
      <c r="BC227" s="1556">
        <v>4700</v>
      </c>
      <c r="BD227" s="160" t="s">
        <v>182</v>
      </c>
      <c r="BE227" s="228">
        <v>10810</v>
      </c>
      <c r="BF227" s="226" t="s">
        <v>182</v>
      </c>
      <c r="BG227" s="226">
        <v>100</v>
      </c>
      <c r="BH227" s="217" t="s">
        <v>184</v>
      </c>
      <c r="BJ227" s="253"/>
      <c r="BK227" s="160" t="s">
        <v>188</v>
      </c>
      <c r="BL227" s="237" t="s">
        <v>317</v>
      </c>
      <c r="BM227" s="238" t="s">
        <v>317</v>
      </c>
      <c r="BN227" s="238" t="s">
        <v>317</v>
      </c>
      <c r="BO227" s="239" t="s">
        <v>317</v>
      </c>
      <c r="BP227" s="160" t="s">
        <v>188</v>
      </c>
      <c r="BQ227" s="228"/>
      <c r="BR227" s="229"/>
      <c r="BS227" s="229"/>
      <c r="BT227" s="240"/>
      <c r="BU227" s="160" t="s">
        <v>188</v>
      </c>
      <c r="BV227" s="228"/>
      <c r="BW227" s="229"/>
      <c r="BX227" s="229"/>
      <c r="BY227" s="229"/>
      <c r="BZ227" s="240"/>
      <c r="CA227" s="160" t="s">
        <v>188</v>
      </c>
      <c r="CB227" s="228"/>
      <c r="CC227" s="229"/>
      <c r="CD227" s="229"/>
      <c r="CE227" s="229"/>
      <c r="CF227" s="240"/>
      <c r="CH227" s="236" t="s">
        <v>324</v>
      </c>
    </row>
    <row r="228" spans="1:86">
      <c r="A228" s="1563"/>
      <c r="B228" s="168"/>
      <c r="C228" s="241"/>
      <c r="D228" s="177" t="s">
        <v>318</v>
      </c>
      <c r="F228" s="242">
        <v>133700</v>
      </c>
      <c r="G228" s="243">
        <v>193880</v>
      </c>
      <c r="H228" s="242">
        <v>108680</v>
      </c>
      <c r="I228" s="243">
        <v>168860</v>
      </c>
      <c r="J228" s="179" t="s">
        <v>182</v>
      </c>
      <c r="K228" s="244">
        <v>1310</v>
      </c>
      <c r="L228" s="245">
        <v>1820</v>
      </c>
      <c r="M228" s="246" t="s">
        <v>795</v>
      </c>
      <c r="N228" s="244">
        <v>1060</v>
      </c>
      <c r="O228" s="245">
        <v>1570</v>
      </c>
      <c r="P228" s="246" t="s">
        <v>795</v>
      </c>
      <c r="Q228" s="160" t="s">
        <v>182</v>
      </c>
      <c r="R228" s="187">
        <v>7410</v>
      </c>
      <c r="S228" s="185">
        <v>70</v>
      </c>
      <c r="T228" s="247" t="s">
        <v>184</v>
      </c>
      <c r="V228" s="1578"/>
      <c r="W228" s="1579"/>
      <c r="X228" s="176"/>
      <c r="Y228" s="1579"/>
      <c r="Z228" s="1579"/>
      <c r="AA228" s="176"/>
      <c r="AB228" s="177"/>
      <c r="AD228" s="1547"/>
      <c r="AE228" s="248">
        <v>28870</v>
      </c>
      <c r="AF228" s="176"/>
      <c r="AG228" s="176"/>
      <c r="AH228" s="177"/>
      <c r="AJ228" s="187"/>
      <c r="AK228" s="185"/>
      <c r="AL228" s="176"/>
      <c r="AM228" s="176"/>
      <c r="AN228" s="177"/>
      <c r="AP228" s="1551"/>
      <c r="AQ228" s="1554"/>
      <c r="AR228" s="1551"/>
      <c r="AS228" s="1554"/>
      <c r="AT228" s="1544"/>
      <c r="AU228" s="172" t="s">
        <v>699</v>
      </c>
      <c r="AV228" s="249">
        <v>8700</v>
      </c>
      <c r="AW228" s="250">
        <v>9700</v>
      </c>
      <c r="AX228" s="267">
        <v>6100</v>
      </c>
      <c r="AY228" s="252">
        <v>6100</v>
      </c>
      <c r="BA228" s="235"/>
      <c r="BC228" s="1557"/>
      <c r="BE228" s="187"/>
      <c r="BF228" s="176"/>
      <c r="BG228" s="176"/>
      <c r="BH228" s="177"/>
      <c r="BJ228" s="253"/>
      <c r="BL228" s="193"/>
      <c r="BM228" s="194"/>
      <c r="BN228" s="194"/>
      <c r="BO228" s="195"/>
      <c r="BQ228" s="187">
        <v>6360</v>
      </c>
      <c r="BR228" s="185" t="s">
        <v>189</v>
      </c>
      <c r="BS228" s="185">
        <v>60</v>
      </c>
      <c r="BT228" s="254" t="s">
        <v>184</v>
      </c>
      <c r="BV228" s="187">
        <v>22240</v>
      </c>
      <c r="BW228" s="185" t="s">
        <v>189</v>
      </c>
      <c r="BX228" s="185">
        <v>220</v>
      </c>
      <c r="BY228" s="185" t="s">
        <v>184</v>
      </c>
      <c r="BZ228" s="254" t="s">
        <v>190</v>
      </c>
      <c r="CB228" s="187">
        <v>14180</v>
      </c>
      <c r="CC228" s="185" t="s">
        <v>189</v>
      </c>
      <c r="CD228" s="185">
        <v>140</v>
      </c>
      <c r="CE228" s="185" t="s">
        <v>184</v>
      </c>
      <c r="CF228" s="254" t="s">
        <v>190</v>
      </c>
      <c r="CH228" s="253"/>
    </row>
    <row r="229" spans="1:86">
      <c r="A229" s="1563"/>
      <c r="B229" s="168"/>
      <c r="C229" s="241" t="s">
        <v>319</v>
      </c>
      <c r="D229" s="177" t="s">
        <v>320</v>
      </c>
      <c r="F229" s="242">
        <v>193880</v>
      </c>
      <c r="G229" s="243">
        <v>268040</v>
      </c>
      <c r="H229" s="242">
        <v>168860</v>
      </c>
      <c r="I229" s="243">
        <v>243020</v>
      </c>
      <c r="J229" s="179" t="s">
        <v>182</v>
      </c>
      <c r="K229" s="244">
        <v>1820</v>
      </c>
      <c r="L229" s="245">
        <v>2560</v>
      </c>
      <c r="M229" s="246" t="s">
        <v>795</v>
      </c>
      <c r="N229" s="244">
        <v>1570</v>
      </c>
      <c r="O229" s="245">
        <v>2310</v>
      </c>
      <c r="P229" s="246" t="s">
        <v>795</v>
      </c>
      <c r="R229" s="182"/>
      <c r="S229" s="176"/>
      <c r="T229" s="177"/>
      <c r="V229" s="1578"/>
      <c r="W229" s="1579"/>
      <c r="X229" s="176"/>
      <c r="Y229" s="1579"/>
      <c r="Z229" s="1579"/>
      <c r="AA229" s="176"/>
      <c r="AB229" s="177"/>
      <c r="AC229" s="160" t="s">
        <v>182</v>
      </c>
      <c r="AD229" s="1548">
        <v>28870</v>
      </c>
      <c r="AE229" s="255"/>
      <c r="AF229" s="176"/>
      <c r="AG229" s="176"/>
      <c r="AH229" s="177"/>
      <c r="AJ229" s="187">
        <v>18310</v>
      </c>
      <c r="AK229" s="185" t="s">
        <v>321</v>
      </c>
      <c r="AL229" s="176"/>
      <c r="AM229" s="176"/>
      <c r="AN229" s="177"/>
      <c r="AP229" s="1551"/>
      <c r="AQ229" s="1554"/>
      <c r="AR229" s="1551"/>
      <c r="AS229" s="1554"/>
      <c r="AT229" s="1544"/>
      <c r="AU229" s="172" t="s">
        <v>700</v>
      </c>
      <c r="AV229" s="249">
        <v>7600</v>
      </c>
      <c r="AW229" s="250">
        <v>8400</v>
      </c>
      <c r="AX229" s="267">
        <v>5300</v>
      </c>
      <c r="AY229" s="252">
        <v>5300</v>
      </c>
      <c r="BA229" s="268"/>
      <c r="BC229" s="359"/>
      <c r="BE229" s="187"/>
      <c r="BF229" s="176"/>
      <c r="BG229" s="176"/>
      <c r="BH229" s="177"/>
      <c r="BJ229" s="253"/>
      <c r="BL229" s="193">
        <v>0.01</v>
      </c>
      <c r="BM229" s="194">
        <v>0.03</v>
      </c>
      <c r="BN229" s="194">
        <v>0.04</v>
      </c>
      <c r="BO229" s="195">
        <v>0.05</v>
      </c>
      <c r="BQ229" s="187"/>
      <c r="BR229" s="185"/>
      <c r="BS229" s="185"/>
      <c r="BT229" s="254"/>
      <c r="BV229" s="187"/>
      <c r="BW229" s="185"/>
      <c r="BX229" s="185"/>
      <c r="BY229" s="185"/>
      <c r="BZ229" s="254"/>
      <c r="CB229" s="187"/>
      <c r="CC229" s="185"/>
      <c r="CD229" s="185"/>
      <c r="CE229" s="185"/>
      <c r="CF229" s="254"/>
      <c r="CH229" s="253">
        <v>0.79</v>
      </c>
    </row>
    <row r="230" spans="1:86">
      <c r="A230" s="1563"/>
      <c r="B230" s="269"/>
      <c r="C230" s="270"/>
      <c r="D230" s="184" t="s">
        <v>322</v>
      </c>
      <c r="F230" s="256">
        <v>268040</v>
      </c>
      <c r="G230" s="257"/>
      <c r="H230" s="256">
        <v>243020</v>
      </c>
      <c r="I230" s="257"/>
      <c r="J230" s="179" t="s">
        <v>182</v>
      </c>
      <c r="K230" s="258">
        <v>2560</v>
      </c>
      <c r="L230" s="259"/>
      <c r="M230" s="260" t="s">
        <v>795</v>
      </c>
      <c r="N230" s="258">
        <v>2310</v>
      </c>
      <c r="O230" s="259"/>
      <c r="P230" s="260" t="s">
        <v>795</v>
      </c>
      <c r="R230" s="183"/>
      <c r="S230" s="271"/>
      <c r="T230" s="184"/>
      <c r="V230" s="1578"/>
      <c r="W230" s="1579"/>
      <c r="X230" s="176"/>
      <c r="Y230" s="1579"/>
      <c r="Z230" s="1579"/>
      <c r="AA230" s="176"/>
      <c r="AB230" s="177"/>
      <c r="AD230" s="1549"/>
      <c r="AE230" s="261"/>
      <c r="AF230" s="176"/>
      <c r="AG230" s="176"/>
      <c r="AH230" s="177"/>
      <c r="AJ230" s="187"/>
      <c r="AK230" s="185"/>
      <c r="AL230" s="176"/>
      <c r="AM230" s="176"/>
      <c r="AN230" s="177"/>
      <c r="AP230" s="1552"/>
      <c r="AQ230" s="1555"/>
      <c r="AR230" s="1552"/>
      <c r="AS230" s="1555"/>
      <c r="AT230" s="1544"/>
      <c r="AU230" s="262" t="s">
        <v>701</v>
      </c>
      <c r="AV230" s="263">
        <v>6800</v>
      </c>
      <c r="AW230" s="264">
        <v>7500</v>
      </c>
      <c r="AX230" s="265">
        <v>4700</v>
      </c>
      <c r="AY230" s="266">
        <v>4700</v>
      </c>
      <c r="BA230" s="268"/>
      <c r="BC230" s="359"/>
      <c r="BE230" s="186"/>
      <c r="BF230" s="271"/>
      <c r="BG230" s="271"/>
      <c r="BH230" s="184"/>
      <c r="BJ230" s="253"/>
      <c r="BL230" s="272"/>
      <c r="BM230" s="273"/>
      <c r="BN230" s="273"/>
      <c r="BO230" s="274"/>
      <c r="BQ230" s="186"/>
      <c r="BR230" s="196"/>
      <c r="BS230" s="196"/>
      <c r="BT230" s="197"/>
      <c r="BV230" s="186"/>
      <c r="BW230" s="196"/>
      <c r="BX230" s="196"/>
      <c r="BY230" s="196"/>
      <c r="BZ230" s="197"/>
      <c r="CB230" s="186"/>
      <c r="CC230" s="196"/>
      <c r="CD230" s="196"/>
      <c r="CE230" s="196"/>
      <c r="CF230" s="197"/>
      <c r="CH230" s="198"/>
    </row>
    <row r="231" spans="1:86" ht="63">
      <c r="A231" s="1563"/>
      <c r="B231" s="168" t="s">
        <v>325</v>
      </c>
      <c r="C231" s="241" t="s">
        <v>313</v>
      </c>
      <c r="D231" s="177" t="s">
        <v>314</v>
      </c>
      <c r="F231" s="218">
        <v>90720</v>
      </c>
      <c r="G231" s="219">
        <v>98130</v>
      </c>
      <c r="H231" s="218">
        <v>74030</v>
      </c>
      <c r="I231" s="219">
        <v>81440</v>
      </c>
      <c r="J231" s="179" t="s">
        <v>182</v>
      </c>
      <c r="K231" s="220">
        <v>880</v>
      </c>
      <c r="L231" s="221">
        <v>950</v>
      </c>
      <c r="M231" s="222" t="s">
        <v>795</v>
      </c>
      <c r="N231" s="220">
        <v>720</v>
      </c>
      <c r="O231" s="221">
        <v>790</v>
      </c>
      <c r="P231" s="222" t="s">
        <v>795</v>
      </c>
      <c r="Q231" s="160" t="s">
        <v>182</v>
      </c>
      <c r="R231" s="275">
        <v>7410</v>
      </c>
      <c r="S231" s="276">
        <v>70</v>
      </c>
      <c r="T231" s="247" t="s">
        <v>184</v>
      </c>
      <c r="V231" s="1578"/>
      <c r="W231" s="1579"/>
      <c r="X231" s="176"/>
      <c r="Y231" s="1579"/>
      <c r="Z231" s="1579"/>
      <c r="AA231" s="176"/>
      <c r="AB231" s="177"/>
      <c r="AC231" s="160" t="s">
        <v>182</v>
      </c>
      <c r="AD231" s="1546">
        <v>22700</v>
      </c>
      <c r="AE231" s="227"/>
      <c r="AF231" s="226" t="s">
        <v>182</v>
      </c>
      <c r="AG231" s="226">
        <v>150</v>
      </c>
      <c r="AH231" s="217" t="s">
        <v>184</v>
      </c>
      <c r="AJ231" s="187" t="s">
        <v>196</v>
      </c>
      <c r="AK231" s="185"/>
      <c r="AL231" s="176" t="s">
        <v>182</v>
      </c>
      <c r="AM231" s="176">
        <v>130</v>
      </c>
      <c r="AN231" s="177" t="s">
        <v>316</v>
      </c>
      <c r="AO231" s="160" t="s">
        <v>182</v>
      </c>
      <c r="AP231" s="1550">
        <v>5500</v>
      </c>
      <c r="AQ231" s="1553">
        <v>6000</v>
      </c>
      <c r="AR231" s="1550">
        <v>3800</v>
      </c>
      <c r="AS231" s="1553">
        <v>3800</v>
      </c>
      <c r="AT231" s="1544" t="s">
        <v>664</v>
      </c>
      <c r="AU231" s="230" t="s">
        <v>697</v>
      </c>
      <c r="AV231" s="231">
        <v>10900</v>
      </c>
      <c r="AW231" s="232">
        <v>12200</v>
      </c>
      <c r="AX231" s="267">
        <v>7600</v>
      </c>
      <c r="AY231" s="252">
        <v>7600</v>
      </c>
      <c r="BA231" s="268"/>
      <c r="BB231" s="160" t="s">
        <v>182</v>
      </c>
      <c r="BC231" s="1556">
        <v>4700</v>
      </c>
      <c r="BD231" s="160" t="s">
        <v>182</v>
      </c>
      <c r="BE231" s="187">
        <v>7200</v>
      </c>
      <c r="BF231" s="176" t="s">
        <v>182</v>
      </c>
      <c r="BG231" s="176">
        <v>70</v>
      </c>
      <c r="BH231" s="177" t="s">
        <v>184</v>
      </c>
      <c r="BJ231" s="253"/>
      <c r="BK231" s="160" t="s">
        <v>188</v>
      </c>
      <c r="BL231" s="193" t="s">
        <v>317</v>
      </c>
      <c r="BM231" s="194" t="s">
        <v>317</v>
      </c>
      <c r="BN231" s="194" t="s">
        <v>317</v>
      </c>
      <c r="BO231" s="195" t="s">
        <v>317</v>
      </c>
      <c r="BP231" s="160" t="s">
        <v>188</v>
      </c>
      <c r="BQ231" s="187"/>
      <c r="BR231" s="185"/>
      <c r="BS231" s="185"/>
      <c r="BT231" s="254"/>
      <c r="BU231" s="160" t="s">
        <v>188</v>
      </c>
      <c r="BV231" s="187"/>
      <c r="BW231" s="185"/>
      <c r="BX231" s="185"/>
      <c r="BY231" s="185"/>
      <c r="BZ231" s="254"/>
      <c r="CA231" s="160" t="s">
        <v>188</v>
      </c>
      <c r="CB231" s="187"/>
      <c r="CC231" s="185"/>
      <c r="CD231" s="185"/>
      <c r="CE231" s="185"/>
      <c r="CF231" s="254"/>
      <c r="CH231" s="253" t="s">
        <v>324</v>
      </c>
    </row>
    <row r="232" spans="1:86">
      <c r="A232" s="1563"/>
      <c r="B232" s="168"/>
      <c r="C232" s="241"/>
      <c r="D232" s="177" t="s">
        <v>318</v>
      </c>
      <c r="F232" s="242">
        <v>98130</v>
      </c>
      <c r="G232" s="243">
        <v>158310</v>
      </c>
      <c r="H232" s="242">
        <v>81440</v>
      </c>
      <c r="I232" s="243">
        <v>141620</v>
      </c>
      <c r="J232" s="179" t="s">
        <v>182</v>
      </c>
      <c r="K232" s="244">
        <v>950</v>
      </c>
      <c r="L232" s="245">
        <v>1470</v>
      </c>
      <c r="M232" s="246" t="s">
        <v>795</v>
      </c>
      <c r="N232" s="244">
        <v>790</v>
      </c>
      <c r="O232" s="245">
        <v>1300</v>
      </c>
      <c r="P232" s="246" t="s">
        <v>795</v>
      </c>
      <c r="Q232" s="160" t="s">
        <v>182</v>
      </c>
      <c r="R232" s="187">
        <v>7410</v>
      </c>
      <c r="S232" s="185">
        <v>70</v>
      </c>
      <c r="T232" s="247" t="s">
        <v>184</v>
      </c>
      <c r="V232" s="1578"/>
      <c r="W232" s="1579"/>
      <c r="X232" s="176"/>
      <c r="Y232" s="1579"/>
      <c r="Z232" s="1579"/>
      <c r="AA232" s="176"/>
      <c r="AB232" s="177"/>
      <c r="AD232" s="1547"/>
      <c r="AE232" s="248">
        <v>20970</v>
      </c>
      <c r="AF232" s="176"/>
      <c r="AG232" s="176"/>
      <c r="AH232" s="177"/>
      <c r="AJ232" s="187"/>
      <c r="AK232" s="185"/>
      <c r="AL232" s="176"/>
      <c r="AM232" s="176"/>
      <c r="AN232" s="177"/>
      <c r="AP232" s="1551"/>
      <c r="AQ232" s="1554"/>
      <c r="AR232" s="1551"/>
      <c r="AS232" s="1554"/>
      <c r="AT232" s="1544"/>
      <c r="AU232" s="172" t="s">
        <v>699</v>
      </c>
      <c r="AV232" s="249">
        <v>6000</v>
      </c>
      <c r="AW232" s="250">
        <v>6700</v>
      </c>
      <c r="AX232" s="267">
        <v>4200</v>
      </c>
      <c r="AY232" s="252">
        <v>4200</v>
      </c>
      <c r="BA232" s="1545" t="s">
        <v>702</v>
      </c>
      <c r="BC232" s="1557"/>
      <c r="BE232" s="187"/>
      <c r="BF232" s="176"/>
      <c r="BG232" s="176"/>
      <c r="BH232" s="177"/>
      <c r="BJ232" s="253"/>
      <c r="BL232" s="193"/>
      <c r="BM232" s="194"/>
      <c r="BN232" s="194"/>
      <c r="BO232" s="195"/>
      <c r="BQ232" s="187">
        <v>4240</v>
      </c>
      <c r="BR232" s="185" t="s">
        <v>189</v>
      </c>
      <c r="BS232" s="185">
        <v>40</v>
      </c>
      <c r="BT232" s="254" t="s">
        <v>184</v>
      </c>
      <c r="BV232" s="187">
        <v>14830</v>
      </c>
      <c r="BW232" s="185" t="s">
        <v>189</v>
      </c>
      <c r="BX232" s="185">
        <v>140</v>
      </c>
      <c r="BY232" s="185" t="s">
        <v>184</v>
      </c>
      <c r="BZ232" s="254" t="s">
        <v>190</v>
      </c>
      <c r="CB232" s="187">
        <v>9450</v>
      </c>
      <c r="CC232" s="185" t="s">
        <v>189</v>
      </c>
      <c r="CD232" s="185">
        <v>90</v>
      </c>
      <c r="CE232" s="185" t="s">
        <v>184</v>
      </c>
      <c r="CF232" s="254" t="s">
        <v>190</v>
      </c>
      <c r="CH232" s="253"/>
    </row>
    <row r="233" spans="1:86">
      <c r="A233" s="1563"/>
      <c r="B233" s="168"/>
      <c r="C233" s="241" t="s">
        <v>319</v>
      </c>
      <c r="D233" s="177" t="s">
        <v>320</v>
      </c>
      <c r="F233" s="242">
        <v>158310</v>
      </c>
      <c r="G233" s="243">
        <v>232470</v>
      </c>
      <c r="H233" s="242">
        <v>141620</v>
      </c>
      <c r="I233" s="243">
        <v>215780</v>
      </c>
      <c r="J233" s="179" t="s">
        <v>182</v>
      </c>
      <c r="K233" s="244">
        <v>1470</v>
      </c>
      <c r="L233" s="245">
        <v>2210</v>
      </c>
      <c r="M233" s="246" t="s">
        <v>795</v>
      </c>
      <c r="N233" s="244">
        <v>1300</v>
      </c>
      <c r="O233" s="245">
        <v>2040</v>
      </c>
      <c r="P233" s="246" t="s">
        <v>795</v>
      </c>
      <c r="R233" s="182"/>
      <c r="S233" s="176"/>
      <c r="T233" s="177"/>
      <c r="V233" s="1578"/>
      <c r="W233" s="1579"/>
      <c r="X233" s="176"/>
      <c r="Y233" s="1579"/>
      <c r="Z233" s="1579"/>
      <c r="AA233" s="176"/>
      <c r="AB233" s="177"/>
      <c r="AC233" s="160" t="s">
        <v>182</v>
      </c>
      <c r="AD233" s="1548">
        <v>20970</v>
      </c>
      <c r="AE233" s="255"/>
      <c r="AF233" s="176"/>
      <c r="AG233" s="176">
        <v>0</v>
      </c>
      <c r="AH233" s="177"/>
      <c r="AJ233" s="187">
        <v>13080</v>
      </c>
      <c r="AK233" s="185" t="s">
        <v>321</v>
      </c>
      <c r="AL233" s="176"/>
      <c r="AM233" s="176"/>
      <c r="AN233" s="177"/>
      <c r="AP233" s="1551"/>
      <c r="AQ233" s="1554"/>
      <c r="AR233" s="1551"/>
      <c r="AS233" s="1554"/>
      <c r="AT233" s="1544"/>
      <c r="AU233" s="172" t="s">
        <v>700</v>
      </c>
      <c r="AV233" s="249">
        <v>5200</v>
      </c>
      <c r="AW233" s="250">
        <v>5800</v>
      </c>
      <c r="AX233" s="267">
        <v>3600</v>
      </c>
      <c r="AY233" s="252">
        <v>3600</v>
      </c>
      <c r="BA233" s="1545"/>
      <c r="BC233" s="359"/>
      <c r="BE233" s="187"/>
      <c r="BF233" s="176"/>
      <c r="BG233" s="176"/>
      <c r="BH233" s="177"/>
      <c r="BJ233" s="253"/>
      <c r="BL233" s="193">
        <v>0.01</v>
      </c>
      <c r="BM233" s="194">
        <v>0.03</v>
      </c>
      <c r="BN233" s="194">
        <v>0.04</v>
      </c>
      <c r="BO233" s="195">
        <v>0.05</v>
      </c>
      <c r="BQ233" s="187"/>
      <c r="BR233" s="185"/>
      <c r="BS233" s="185"/>
      <c r="BT233" s="254"/>
      <c r="BV233" s="187"/>
      <c r="BW233" s="185"/>
      <c r="BX233" s="185"/>
      <c r="BY233" s="185"/>
      <c r="BZ233" s="254"/>
      <c r="CB233" s="187"/>
      <c r="CC233" s="185"/>
      <c r="CD233" s="185"/>
      <c r="CE233" s="185"/>
      <c r="CF233" s="254"/>
      <c r="CH233" s="253">
        <v>0.87</v>
      </c>
    </row>
    <row r="234" spans="1:86">
      <c r="A234" s="1563"/>
      <c r="B234" s="168"/>
      <c r="C234" s="241"/>
      <c r="D234" s="177" t="s">
        <v>322</v>
      </c>
      <c r="F234" s="256">
        <v>232470</v>
      </c>
      <c r="G234" s="257"/>
      <c r="H234" s="256">
        <v>215780</v>
      </c>
      <c r="I234" s="257"/>
      <c r="J234" s="179" t="s">
        <v>182</v>
      </c>
      <c r="K234" s="258">
        <v>2210</v>
      </c>
      <c r="L234" s="259"/>
      <c r="M234" s="260" t="s">
        <v>795</v>
      </c>
      <c r="N234" s="258">
        <v>2040</v>
      </c>
      <c r="O234" s="259"/>
      <c r="P234" s="260" t="s">
        <v>795</v>
      </c>
      <c r="R234" s="182"/>
      <c r="S234" s="176"/>
      <c r="T234" s="177"/>
      <c r="V234" s="1578"/>
      <c r="W234" s="1579"/>
      <c r="X234" s="176"/>
      <c r="Y234" s="1579"/>
      <c r="Z234" s="1579"/>
      <c r="AA234" s="176"/>
      <c r="AB234" s="177"/>
      <c r="AD234" s="1549"/>
      <c r="AE234" s="261"/>
      <c r="AF234" s="271"/>
      <c r="AG234" s="271"/>
      <c r="AH234" s="184"/>
      <c r="AJ234" s="187"/>
      <c r="AK234" s="185"/>
      <c r="AL234" s="176"/>
      <c r="AM234" s="176"/>
      <c r="AN234" s="177"/>
      <c r="AP234" s="1552"/>
      <c r="AQ234" s="1555"/>
      <c r="AR234" s="1552"/>
      <c r="AS234" s="1555"/>
      <c r="AT234" s="1544"/>
      <c r="AU234" s="262" t="s">
        <v>701</v>
      </c>
      <c r="AV234" s="263">
        <v>4700</v>
      </c>
      <c r="AW234" s="264">
        <v>5200</v>
      </c>
      <c r="AX234" s="265">
        <v>3300</v>
      </c>
      <c r="AY234" s="266">
        <v>3300</v>
      </c>
      <c r="BA234" s="1545"/>
      <c r="BC234" s="359"/>
      <c r="BE234" s="187"/>
      <c r="BF234" s="176"/>
      <c r="BG234" s="176"/>
      <c r="BH234" s="177"/>
      <c r="BJ234" s="253"/>
      <c r="BL234" s="193"/>
      <c r="BM234" s="194"/>
      <c r="BN234" s="194"/>
      <c r="BO234" s="195"/>
      <c r="BQ234" s="187"/>
      <c r="BR234" s="185"/>
      <c r="BS234" s="185"/>
      <c r="BT234" s="254"/>
      <c r="BV234" s="187"/>
      <c r="BW234" s="185"/>
      <c r="BX234" s="185"/>
      <c r="BY234" s="185"/>
      <c r="BZ234" s="254"/>
      <c r="CB234" s="187"/>
      <c r="CC234" s="185"/>
      <c r="CD234" s="185"/>
      <c r="CE234" s="185"/>
      <c r="CF234" s="254"/>
      <c r="CH234" s="253"/>
    </row>
    <row r="235" spans="1:86" ht="63">
      <c r="A235" s="1563"/>
      <c r="B235" s="215" t="s">
        <v>326</v>
      </c>
      <c r="C235" s="216" t="s">
        <v>313</v>
      </c>
      <c r="D235" s="217" t="s">
        <v>314</v>
      </c>
      <c r="F235" s="218">
        <v>73170</v>
      </c>
      <c r="G235" s="219">
        <v>80580</v>
      </c>
      <c r="H235" s="218">
        <v>60650</v>
      </c>
      <c r="I235" s="219">
        <v>68060</v>
      </c>
      <c r="J235" s="179" t="s">
        <v>182</v>
      </c>
      <c r="K235" s="220">
        <v>710</v>
      </c>
      <c r="L235" s="221">
        <v>780</v>
      </c>
      <c r="M235" s="222" t="s">
        <v>795</v>
      </c>
      <c r="N235" s="220">
        <v>580</v>
      </c>
      <c r="O235" s="221">
        <v>650</v>
      </c>
      <c r="P235" s="222" t="s">
        <v>795</v>
      </c>
      <c r="Q235" s="160" t="s">
        <v>182</v>
      </c>
      <c r="R235" s="223">
        <v>7410</v>
      </c>
      <c r="S235" s="224">
        <v>70</v>
      </c>
      <c r="T235" s="225" t="s">
        <v>184</v>
      </c>
      <c r="V235" s="1578"/>
      <c r="W235" s="1579"/>
      <c r="X235" s="176"/>
      <c r="Y235" s="1579"/>
      <c r="Z235" s="1579"/>
      <c r="AA235" s="176"/>
      <c r="AB235" s="177"/>
      <c r="AC235" s="160" t="s">
        <v>182</v>
      </c>
      <c r="AD235" s="1546">
        <v>18750</v>
      </c>
      <c r="AE235" s="227"/>
      <c r="AF235" s="176" t="s">
        <v>182</v>
      </c>
      <c r="AG235" s="176">
        <v>110</v>
      </c>
      <c r="AH235" s="177" t="s">
        <v>184</v>
      </c>
      <c r="AJ235" s="187" t="s">
        <v>198</v>
      </c>
      <c r="AK235" s="185"/>
      <c r="AL235" s="176" t="s">
        <v>182</v>
      </c>
      <c r="AM235" s="176">
        <v>100</v>
      </c>
      <c r="AN235" s="177" t="s">
        <v>316</v>
      </c>
      <c r="AO235" s="160" t="s">
        <v>182</v>
      </c>
      <c r="AP235" s="1550">
        <v>4800</v>
      </c>
      <c r="AQ235" s="1553">
        <v>5300</v>
      </c>
      <c r="AR235" s="1550">
        <v>3300</v>
      </c>
      <c r="AS235" s="1553">
        <v>3300</v>
      </c>
      <c r="AT235" s="1544" t="s">
        <v>664</v>
      </c>
      <c r="AU235" s="230" t="s">
        <v>697</v>
      </c>
      <c r="AV235" s="231">
        <v>9800</v>
      </c>
      <c r="AW235" s="232">
        <v>10900</v>
      </c>
      <c r="AX235" s="267">
        <v>6800</v>
      </c>
      <c r="AY235" s="252">
        <v>6800</v>
      </c>
      <c r="BA235" s="235" t="s">
        <v>662</v>
      </c>
      <c r="BB235" s="160" t="s">
        <v>182</v>
      </c>
      <c r="BC235" s="1556">
        <v>4700</v>
      </c>
      <c r="BD235" s="160" t="s">
        <v>182</v>
      </c>
      <c r="BE235" s="228">
        <v>5400</v>
      </c>
      <c r="BF235" s="226" t="s">
        <v>182</v>
      </c>
      <c r="BG235" s="226">
        <v>50</v>
      </c>
      <c r="BH235" s="217" t="s">
        <v>184</v>
      </c>
      <c r="BJ235" s="253"/>
      <c r="BK235" s="160" t="s">
        <v>188</v>
      </c>
      <c r="BL235" s="237" t="s">
        <v>317</v>
      </c>
      <c r="BM235" s="238" t="s">
        <v>317</v>
      </c>
      <c r="BN235" s="238" t="s">
        <v>317</v>
      </c>
      <c r="BO235" s="239" t="s">
        <v>317</v>
      </c>
      <c r="BP235" s="160" t="s">
        <v>188</v>
      </c>
      <c r="BQ235" s="228"/>
      <c r="BR235" s="229"/>
      <c r="BS235" s="229"/>
      <c r="BT235" s="240"/>
      <c r="BU235" s="160" t="s">
        <v>188</v>
      </c>
      <c r="BV235" s="228"/>
      <c r="BW235" s="229"/>
      <c r="BX235" s="229"/>
      <c r="BY235" s="229"/>
      <c r="BZ235" s="240"/>
      <c r="CA235" s="160" t="s">
        <v>188</v>
      </c>
      <c r="CB235" s="228"/>
      <c r="CC235" s="229"/>
      <c r="CD235" s="229"/>
      <c r="CE235" s="229"/>
      <c r="CF235" s="240"/>
      <c r="CH235" s="236" t="s">
        <v>324</v>
      </c>
    </row>
    <row r="236" spans="1:86">
      <c r="A236" s="1563"/>
      <c r="B236" s="168"/>
      <c r="C236" s="241"/>
      <c r="D236" s="177" t="s">
        <v>318</v>
      </c>
      <c r="F236" s="242">
        <v>80580</v>
      </c>
      <c r="G236" s="243">
        <v>140760</v>
      </c>
      <c r="H236" s="242">
        <v>68060</v>
      </c>
      <c r="I236" s="243">
        <v>128240</v>
      </c>
      <c r="J236" s="179" t="s">
        <v>182</v>
      </c>
      <c r="K236" s="244">
        <v>780</v>
      </c>
      <c r="L236" s="245">
        <v>1290</v>
      </c>
      <c r="M236" s="246" t="s">
        <v>795</v>
      </c>
      <c r="N236" s="244">
        <v>650</v>
      </c>
      <c r="O236" s="245">
        <v>1170</v>
      </c>
      <c r="P236" s="246" t="s">
        <v>795</v>
      </c>
      <c r="Q236" s="160" t="s">
        <v>182</v>
      </c>
      <c r="R236" s="187">
        <v>7410</v>
      </c>
      <c r="S236" s="185">
        <v>70</v>
      </c>
      <c r="T236" s="247" t="s">
        <v>184</v>
      </c>
      <c r="V236" s="182"/>
      <c r="W236" s="185"/>
      <c r="X236" s="176"/>
      <c r="Y236" s="185"/>
      <c r="Z236" s="176"/>
      <c r="AA236" s="176"/>
      <c r="AB236" s="177"/>
      <c r="AD236" s="1547"/>
      <c r="AE236" s="248">
        <v>17020</v>
      </c>
      <c r="AF236" s="176"/>
      <c r="AG236" s="176"/>
      <c r="AH236" s="177"/>
      <c r="AJ236" s="187"/>
      <c r="AK236" s="185"/>
      <c r="AL236" s="176"/>
      <c r="AM236" s="176"/>
      <c r="AN236" s="177"/>
      <c r="AP236" s="1551"/>
      <c r="AQ236" s="1554"/>
      <c r="AR236" s="1551"/>
      <c r="AS236" s="1554"/>
      <c r="AT236" s="1544"/>
      <c r="AU236" s="172" t="s">
        <v>699</v>
      </c>
      <c r="AV236" s="249">
        <v>5400</v>
      </c>
      <c r="AW236" s="250">
        <v>6000</v>
      </c>
      <c r="AX236" s="267">
        <v>3700</v>
      </c>
      <c r="AY236" s="252">
        <v>3700</v>
      </c>
      <c r="BA236" s="235">
        <v>27330</v>
      </c>
      <c r="BC236" s="1557"/>
      <c r="BE236" s="187"/>
      <c r="BF236" s="176"/>
      <c r="BG236" s="176"/>
      <c r="BH236" s="177"/>
      <c r="BJ236" s="253"/>
      <c r="BL236" s="193"/>
      <c r="BM236" s="194"/>
      <c r="BN236" s="194"/>
      <c r="BO236" s="195"/>
      <c r="BQ236" s="187">
        <v>3180</v>
      </c>
      <c r="BR236" s="185" t="s">
        <v>189</v>
      </c>
      <c r="BS236" s="185">
        <v>30</v>
      </c>
      <c r="BT236" s="254" t="s">
        <v>184</v>
      </c>
      <c r="BV236" s="187">
        <v>11120</v>
      </c>
      <c r="BW236" s="185" t="s">
        <v>189</v>
      </c>
      <c r="BX236" s="185">
        <v>110</v>
      </c>
      <c r="BY236" s="185" t="s">
        <v>184</v>
      </c>
      <c r="BZ236" s="254" t="s">
        <v>190</v>
      </c>
      <c r="CB236" s="187">
        <v>7090</v>
      </c>
      <c r="CC236" s="185" t="s">
        <v>189</v>
      </c>
      <c r="CD236" s="185">
        <v>70</v>
      </c>
      <c r="CE236" s="185" t="s">
        <v>184</v>
      </c>
      <c r="CF236" s="254" t="s">
        <v>190</v>
      </c>
      <c r="CH236" s="253"/>
    </row>
    <row r="237" spans="1:86">
      <c r="A237" s="1563"/>
      <c r="B237" s="168"/>
      <c r="C237" s="241" t="s">
        <v>319</v>
      </c>
      <c r="D237" s="177" t="s">
        <v>320</v>
      </c>
      <c r="F237" s="242">
        <v>140760</v>
      </c>
      <c r="G237" s="243">
        <v>214920</v>
      </c>
      <c r="H237" s="242">
        <v>128240</v>
      </c>
      <c r="I237" s="243">
        <v>202400</v>
      </c>
      <c r="J237" s="179" t="s">
        <v>182</v>
      </c>
      <c r="K237" s="244">
        <v>1290</v>
      </c>
      <c r="L237" s="245">
        <v>2030</v>
      </c>
      <c r="M237" s="246" t="s">
        <v>795</v>
      </c>
      <c r="N237" s="244">
        <v>1170</v>
      </c>
      <c r="O237" s="245">
        <v>1910</v>
      </c>
      <c r="P237" s="246" t="s">
        <v>795</v>
      </c>
      <c r="R237" s="182"/>
      <c r="S237" s="176"/>
      <c r="T237" s="177"/>
      <c r="V237" s="182"/>
      <c r="W237" s="185"/>
      <c r="X237" s="176"/>
      <c r="Y237" s="185"/>
      <c r="Z237" s="176"/>
      <c r="AA237" s="176"/>
      <c r="AB237" s="177"/>
      <c r="AC237" s="160" t="s">
        <v>182</v>
      </c>
      <c r="AD237" s="1548">
        <v>17020</v>
      </c>
      <c r="AE237" s="255"/>
      <c r="AF237" s="176"/>
      <c r="AG237" s="176">
        <v>0</v>
      </c>
      <c r="AH237" s="177"/>
      <c r="AJ237" s="187">
        <v>10170</v>
      </c>
      <c r="AK237" s="185" t="s">
        <v>321</v>
      </c>
      <c r="AL237" s="176"/>
      <c r="AM237" s="176"/>
      <c r="AN237" s="177"/>
      <c r="AP237" s="1551"/>
      <c r="AQ237" s="1554"/>
      <c r="AR237" s="1551"/>
      <c r="AS237" s="1554"/>
      <c r="AT237" s="1544"/>
      <c r="AU237" s="172" t="s">
        <v>700</v>
      </c>
      <c r="AV237" s="249">
        <v>4700</v>
      </c>
      <c r="AW237" s="250">
        <v>5200</v>
      </c>
      <c r="AX237" s="267">
        <v>3300</v>
      </c>
      <c r="AY237" s="252">
        <v>3300</v>
      </c>
      <c r="BA237" s="277"/>
      <c r="BC237" s="359"/>
      <c r="BE237" s="187"/>
      <c r="BF237" s="176"/>
      <c r="BG237" s="176"/>
      <c r="BH237" s="177"/>
      <c r="BJ237" s="253"/>
      <c r="BL237" s="193">
        <v>0.01</v>
      </c>
      <c r="BM237" s="194">
        <v>0.03</v>
      </c>
      <c r="BN237" s="194">
        <v>0.04</v>
      </c>
      <c r="BO237" s="195">
        <v>0.05</v>
      </c>
      <c r="BQ237" s="187"/>
      <c r="BR237" s="185"/>
      <c r="BS237" s="185"/>
      <c r="BT237" s="254"/>
      <c r="BV237" s="187"/>
      <c r="BW237" s="185"/>
      <c r="BX237" s="185"/>
      <c r="BY237" s="185"/>
      <c r="BZ237" s="254"/>
      <c r="CB237" s="187"/>
      <c r="CC237" s="185"/>
      <c r="CD237" s="185"/>
      <c r="CE237" s="185"/>
      <c r="CF237" s="254"/>
      <c r="CH237" s="253">
        <v>0.96</v>
      </c>
    </row>
    <row r="238" spans="1:86">
      <c r="A238" s="1563"/>
      <c r="B238" s="269"/>
      <c r="C238" s="270"/>
      <c r="D238" s="184" t="s">
        <v>322</v>
      </c>
      <c r="F238" s="256">
        <v>214920</v>
      </c>
      <c r="G238" s="257"/>
      <c r="H238" s="256">
        <v>202400</v>
      </c>
      <c r="I238" s="257"/>
      <c r="J238" s="179" t="s">
        <v>182</v>
      </c>
      <c r="K238" s="258">
        <v>2030</v>
      </c>
      <c r="L238" s="259"/>
      <c r="M238" s="260" t="s">
        <v>795</v>
      </c>
      <c r="N238" s="258">
        <v>1910</v>
      </c>
      <c r="O238" s="259"/>
      <c r="P238" s="260" t="s">
        <v>795</v>
      </c>
      <c r="R238" s="183"/>
      <c r="S238" s="271"/>
      <c r="T238" s="184"/>
      <c r="V238" s="280"/>
      <c r="W238" s="279" t="s">
        <v>703</v>
      </c>
      <c r="X238" s="176"/>
      <c r="Y238" s="279" t="s">
        <v>703</v>
      </c>
      <c r="Z238" s="279"/>
      <c r="AA238" s="176"/>
      <c r="AB238" s="177"/>
      <c r="AD238" s="1549"/>
      <c r="AE238" s="261"/>
      <c r="AF238" s="176"/>
      <c r="AG238" s="176"/>
      <c r="AH238" s="177"/>
      <c r="AJ238" s="187"/>
      <c r="AK238" s="185"/>
      <c r="AL238" s="176"/>
      <c r="AM238" s="176"/>
      <c r="AN238" s="177"/>
      <c r="AP238" s="1552"/>
      <c r="AQ238" s="1555"/>
      <c r="AR238" s="1552"/>
      <c r="AS238" s="1555"/>
      <c r="AT238" s="1544"/>
      <c r="AU238" s="262" t="s">
        <v>701</v>
      </c>
      <c r="AV238" s="263">
        <v>4200</v>
      </c>
      <c r="AW238" s="264">
        <v>4600</v>
      </c>
      <c r="AX238" s="265">
        <v>2900</v>
      </c>
      <c r="AY238" s="266">
        <v>2900</v>
      </c>
      <c r="BA238" s="235" t="s">
        <v>665</v>
      </c>
      <c r="BC238" s="359"/>
      <c r="BE238" s="186"/>
      <c r="BF238" s="271"/>
      <c r="BG238" s="271"/>
      <c r="BH238" s="184"/>
      <c r="BJ238" s="253"/>
      <c r="BL238" s="272"/>
      <c r="BM238" s="273"/>
      <c r="BN238" s="273"/>
      <c r="BO238" s="274"/>
      <c r="BQ238" s="186"/>
      <c r="BR238" s="196"/>
      <c r="BS238" s="196"/>
      <c r="BT238" s="197"/>
      <c r="BV238" s="186"/>
      <c r="BW238" s="196"/>
      <c r="BX238" s="196"/>
      <c r="BY238" s="196"/>
      <c r="BZ238" s="197"/>
      <c r="CB238" s="186"/>
      <c r="CC238" s="196"/>
      <c r="CD238" s="196"/>
      <c r="CE238" s="196"/>
      <c r="CF238" s="197"/>
      <c r="CH238" s="198"/>
    </row>
    <row r="239" spans="1:86" ht="63">
      <c r="A239" s="1563"/>
      <c r="B239" s="168" t="s">
        <v>327</v>
      </c>
      <c r="C239" s="241" t="s">
        <v>313</v>
      </c>
      <c r="D239" s="177" t="s">
        <v>314</v>
      </c>
      <c r="F239" s="218">
        <v>68040</v>
      </c>
      <c r="G239" s="219">
        <v>75450</v>
      </c>
      <c r="H239" s="218">
        <v>58030</v>
      </c>
      <c r="I239" s="219">
        <v>65440</v>
      </c>
      <c r="J239" s="179" t="s">
        <v>182</v>
      </c>
      <c r="K239" s="220">
        <v>660</v>
      </c>
      <c r="L239" s="221">
        <v>730</v>
      </c>
      <c r="M239" s="222" t="s">
        <v>795</v>
      </c>
      <c r="N239" s="220">
        <v>560</v>
      </c>
      <c r="O239" s="221">
        <v>630</v>
      </c>
      <c r="P239" s="222" t="s">
        <v>795</v>
      </c>
      <c r="Q239" s="160" t="s">
        <v>182</v>
      </c>
      <c r="R239" s="275">
        <v>7410</v>
      </c>
      <c r="S239" s="276">
        <v>70</v>
      </c>
      <c r="T239" s="247" t="s">
        <v>184</v>
      </c>
      <c r="V239" s="187"/>
      <c r="W239" s="185">
        <v>251800</v>
      </c>
      <c r="X239" s="176"/>
      <c r="Y239" s="185">
        <v>2510</v>
      </c>
      <c r="Z239" s="176" t="s">
        <v>184</v>
      </c>
      <c r="AA239" s="176"/>
      <c r="AB239" s="177"/>
      <c r="AC239" s="160" t="s">
        <v>182</v>
      </c>
      <c r="AD239" s="1546">
        <v>16380</v>
      </c>
      <c r="AE239" s="227"/>
      <c r="AF239" s="226" t="s">
        <v>182</v>
      </c>
      <c r="AG239" s="226">
        <v>90</v>
      </c>
      <c r="AH239" s="217" t="s">
        <v>184</v>
      </c>
      <c r="AJ239" s="187" t="s">
        <v>201</v>
      </c>
      <c r="AK239" s="185"/>
      <c r="AL239" s="176" t="s">
        <v>182</v>
      </c>
      <c r="AM239" s="176">
        <v>70</v>
      </c>
      <c r="AN239" s="177" t="s">
        <v>316</v>
      </c>
      <c r="AO239" s="160" t="s">
        <v>182</v>
      </c>
      <c r="AP239" s="1550">
        <v>4300</v>
      </c>
      <c r="AQ239" s="1553">
        <v>4800</v>
      </c>
      <c r="AR239" s="1550">
        <v>3000</v>
      </c>
      <c r="AS239" s="1553">
        <v>3000</v>
      </c>
      <c r="AT239" s="1544" t="s">
        <v>664</v>
      </c>
      <c r="AU239" s="230" t="s">
        <v>697</v>
      </c>
      <c r="AV239" s="231">
        <v>8800</v>
      </c>
      <c r="AW239" s="232">
        <v>9800</v>
      </c>
      <c r="AX239" s="267">
        <v>6100</v>
      </c>
      <c r="AY239" s="252">
        <v>6100</v>
      </c>
      <c r="BA239" s="235">
        <v>16800</v>
      </c>
      <c r="BB239" s="160" t="s">
        <v>182</v>
      </c>
      <c r="BC239" s="1556">
        <v>4700</v>
      </c>
      <c r="BD239" s="160" t="s">
        <v>182</v>
      </c>
      <c r="BE239" s="187">
        <v>4320</v>
      </c>
      <c r="BF239" s="176" t="s">
        <v>182</v>
      </c>
      <c r="BG239" s="176">
        <v>40</v>
      </c>
      <c r="BH239" s="177" t="s">
        <v>184</v>
      </c>
      <c r="BJ239" s="253"/>
      <c r="BK239" s="160" t="s">
        <v>188</v>
      </c>
      <c r="BL239" s="193" t="s">
        <v>317</v>
      </c>
      <c r="BM239" s="194" t="s">
        <v>317</v>
      </c>
      <c r="BN239" s="194" t="s">
        <v>317</v>
      </c>
      <c r="BO239" s="195" t="s">
        <v>317</v>
      </c>
      <c r="BP239" s="160" t="s">
        <v>188</v>
      </c>
      <c r="BQ239" s="187"/>
      <c r="BR239" s="185"/>
      <c r="BS239" s="185"/>
      <c r="BT239" s="254"/>
      <c r="BU239" s="160" t="s">
        <v>188</v>
      </c>
      <c r="BV239" s="187"/>
      <c r="BW239" s="185"/>
      <c r="BX239" s="185"/>
      <c r="BY239" s="185"/>
      <c r="BZ239" s="254"/>
      <c r="CA239" s="160" t="s">
        <v>188</v>
      </c>
      <c r="CB239" s="187"/>
      <c r="CC239" s="185"/>
      <c r="CD239" s="185"/>
      <c r="CE239" s="185"/>
      <c r="CF239" s="254"/>
      <c r="CH239" s="253" t="s">
        <v>324</v>
      </c>
    </row>
    <row r="240" spans="1:86">
      <c r="A240" s="1563"/>
      <c r="B240" s="168"/>
      <c r="C240" s="241"/>
      <c r="D240" s="177" t="s">
        <v>318</v>
      </c>
      <c r="F240" s="242">
        <v>75450</v>
      </c>
      <c r="G240" s="243">
        <v>135630</v>
      </c>
      <c r="H240" s="242">
        <v>65440</v>
      </c>
      <c r="I240" s="243">
        <v>125620</v>
      </c>
      <c r="J240" s="179" t="s">
        <v>182</v>
      </c>
      <c r="K240" s="244">
        <v>730</v>
      </c>
      <c r="L240" s="245">
        <v>1240</v>
      </c>
      <c r="M240" s="246" t="s">
        <v>795</v>
      </c>
      <c r="N240" s="244">
        <v>630</v>
      </c>
      <c r="O240" s="245">
        <v>1140</v>
      </c>
      <c r="P240" s="246" t="s">
        <v>795</v>
      </c>
      <c r="Q240" s="160" t="s">
        <v>182</v>
      </c>
      <c r="R240" s="187">
        <v>7410</v>
      </c>
      <c r="S240" s="185">
        <v>70</v>
      </c>
      <c r="T240" s="247" t="s">
        <v>184</v>
      </c>
      <c r="V240" s="187"/>
      <c r="W240" s="185"/>
      <c r="X240" s="176"/>
      <c r="Y240" s="185"/>
      <c r="Z240" s="176"/>
      <c r="AA240" s="176"/>
      <c r="AB240" s="177"/>
      <c r="AD240" s="1547"/>
      <c r="AE240" s="248">
        <v>14660</v>
      </c>
      <c r="AF240" s="176"/>
      <c r="AG240" s="176"/>
      <c r="AH240" s="177"/>
      <c r="AJ240" s="187"/>
      <c r="AK240" s="185"/>
      <c r="AL240" s="176"/>
      <c r="AM240" s="176"/>
      <c r="AN240" s="177"/>
      <c r="AP240" s="1551"/>
      <c r="AQ240" s="1554"/>
      <c r="AR240" s="1551"/>
      <c r="AS240" s="1554"/>
      <c r="AT240" s="1544"/>
      <c r="AU240" s="172" t="s">
        <v>699</v>
      </c>
      <c r="AV240" s="249">
        <v>4800</v>
      </c>
      <c r="AW240" s="250">
        <v>5400</v>
      </c>
      <c r="AX240" s="267">
        <v>3400</v>
      </c>
      <c r="AY240" s="252">
        <v>3400</v>
      </c>
      <c r="BA240" s="277"/>
      <c r="BC240" s="1557"/>
      <c r="BE240" s="187"/>
      <c r="BF240" s="176"/>
      <c r="BG240" s="176"/>
      <c r="BH240" s="177"/>
      <c r="BJ240" s="253"/>
      <c r="BL240" s="193"/>
      <c r="BM240" s="194"/>
      <c r="BN240" s="194"/>
      <c r="BO240" s="195"/>
      <c r="BQ240" s="187">
        <v>2540</v>
      </c>
      <c r="BR240" s="185" t="s">
        <v>189</v>
      </c>
      <c r="BS240" s="185">
        <v>20</v>
      </c>
      <c r="BT240" s="254" t="s">
        <v>184</v>
      </c>
      <c r="BV240" s="187">
        <v>8900</v>
      </c>
      <c r="BW240" s="185" t="s">
        <v>189</v>
      </c>
      <c r="BX240" s="185">
        <v>80</v>
      </c>
      <c r="BY240" s="185" t="s">
        <v>184</v>
      </c>
      <c r="BZ240" s="254" t="s">
        <v>190</v>
      </c>
      <c r="CB240" s="187">
        <v>5670</v>
      </c>
      <c r="CC240" s="185" t="s">
        <v>189</v>
      </c>
      <c r="CD240" s="185">
        <v>50</v>
      </c>
      <c r="CE240" s="185" t="s">
        <v>184</v>
      </c>
      <c r="CF240" s="254" t="s">
        <v>190</v>
      </c>
      <c r="CH240" s="253"/>
    </row>
    <row r="241" spans="1:86">
      <c r="A241" s="1563"/>
      <c r="B241" s="168"/>
      <c r="C241" s="241" t="s">
        <v>319</v>
      </c>
      <c r="D241" s="177" t="s">
        <v>320</v>
      </c>
      <c r="F241" s="242">
        <v>135630</v>
      </c>
      <c r="G241" s="243">
        <v>209790</v>
      </c>
      <c r="H241" s="242">
        <v>125620</v>
      </c>
      <c r="I241" s="243">
        <v>199780</v>
      </c>
      <c r="J241" s="179" t="s">
        <v>182</v>
      </c>
      <c r="K241" s="244">
        <v>1240</v>
      </c>
      <c r="L241" s="245">
        <v>1980</v>
      </c>
      <c r="M241" s="246" t="s">
        <v>795</v>
      </c>
      <c r="N241" s="244">
        <v>1140</v>
      </c>
      <c r="O241" s="245">
        <v>1880</v>
      </c>
      <c r="P241" s="246" t="s">
        <v>795</v>
      </c>
      <c r="R241" s="182"/>
      <c r="S241" s="176"/>
      <c r="T241" s="177"/>
      <c r="V241" s="280"/>
      <c r="W241" s="279" t="s">
        <v>704</v>
      </c>
      <c r="X241" s="176"/>
      <c r="Y241" s="279" t="s">
        <v>704</v>
      </c>
      <c r="Z241" s="279"/>
      <c r="AA241" s="176"/>
      <c r="AB241" s="177"/>
      <c r="AC241" s="160" t="s">
        <v>182</v>
      </c>
      <c r="AD241" s="1548">
        <v>14660</v>
      </c>
      <c r="AE241" s="255"/>
      <c r="AF241" s="176"/>
      <c r="AG241" s="176">
        <v>0</v>
      </c>
      <c r="AH241" s="177"/>
      <c r="AJ241" s="187">
        <v>7630</v>
      </c>
      <c r="AK241" s="185" t="s">
        <v>321</v>
      </c>
      <c r="AL241" s="176"/>
      <c r="AM241" s="176"/>
      <c r="AN241" s="177"/>
      <c r="AP241" s="1551"/>
      <c r="AQ241" s="1554"/>
      <c r="AR241" s="1551"/>
      <c r="AS241" s="1554"/>
      <c r="AT241" s="1544"/>
      <c r="AU241" s="172" t="s">
        <v>700</v>
      </c>
      <c r="AV241" s="249">
        <v>4200</v>
      </c>
      <c r="AW241" s="250">
        <v>4700</v>
      </c>
      <c r="AX241" s="267">
        <v>2900</v>
      </c>
      <c r="AY241" s="252">
        <v>2900</v>
      </c>
      <c r="BA241" s="235" t="s">
        <v>666</v>
      </c>
      <c r="BC241" s="358"/>
      <c r="BE241" s="187"/>
      <c r="BF241" s="176"/>
      <c r="BG241" s="176"/>
      <c r="BH241" s="177"/>
      <c r="BJ241" s="253"/>
      <c r="BL241" s="193">
        <v>0.01</v>
      </c>
      <c r="BM241" s="194">
        <v>0.03</v>
      </c>
      <c r="BN241" s="194">
        <v>0.04</v>
      </c>
      <c r="BO241" s="195">
        <v>0.06</v>
      </c>
      <c r="BQ241" s="187"/>
      <c r="BR241" s="185"/>
      <c r="BS241" s="185"/>
      <c r="BT241" s="254"/>
      <c r="BV241" s="187"/>
      <c r="BW241" s="185"/>
      <c r="BX241" s="185"/>
      <c r="BY241" s="185"/>
      <c r="BZ241" s="254"/>
      <c r="CB241" s="187"/>
      <c r="CC241" s="185"/>
      <c r="CD241" s="185"/>
      <c r="CE241" s="185"/>
      <c r="CF241" s="254"/>
      <c r="CH241" s="253">
        <v>0.92</v>
      </c>
    </row>
    <row r="242" spans="1:86">
      <c r="A242" s="1563"/>
      <c r="B242" s="168"/>
      <c r="C242" s="241"/>
      <c r="D242" s="177" t="s">
        <v>322</v>
      </c>
      <c r="F242" s="256">
        <v>209790</v>
      </c>
      <c r="G242" s="257"/>
      <c r="H242" s="256">
        <v>199780</v>
      </c>
      <c r="I242" s="257"/>
      <c r="J242" s="179" t="s">
        <v>182</v>
      </c>
      <c r="K242" s="258">
        <v>1980</v>
      </c>
      <c r="L242" s="259"/>
      <c r="M242" s="260" t="s">
        <v>795</v>
      </c>
      <c r="N242" s="258">
        <v>1880</v>
      </c>
      <c r="O242" s="259"/>
      <c r="P242" s="260" t="s">
        <v>795</v>
      </c>
      <c r="R242" s="182"/>
      <c r="S242" s="176"/>
      <c r="T242" s="177"/>
      <c r="V242" s="187"/>
      <c r="W242" s="185">
        <v>269500</v>
      </c>
      <c r="X242" s="176"/>
      <c r="Y242" s="185">
        <v>2690</v>
      </c>
      <c r="Z242" s="176" t="s">
        <v>184</v>
      </c>
      <c r="AA242" s="176"/>
      <c r="AB242" s="177"/>
      <c r="AD242" s="1549"/>
      <c r="AE242" s="261"/>
      <c r="AF242" s="271"/>
      <c r="AG242" s="271"/>
      <c r="AH242" s="184"/>
      <c r="AJ242" s="187"/>
      <c r="AK242" s="185"/>
      <c r="AL242" s="176"/>
      <c r="AM242" s="176"/>
      <c r="AN242" s="177"/>
      <c r="AP242" s="1552"/>
      <c r="AQ242" s="1555"/>
      <c r="AR242" s="1552"/>
      <c r="AS242" s="1555"/>
      <c r="AT242" s="1544"/>
      <c r="AU242" s="262" t="s">
        <v>701</v>
      </c>
      <c r="AV242" s="263">
        <v>3800</v>
      </c>
      <c r="AW242" s="264">
        <v>4200</v>
      </c>
      <c r="AX242" s="265">
        <v>2600</v>
      </c>
      <c r="AY242" s="266">
        <v>2600</v>
      </c>
      <c r="BA242" s="235">
        <v>12280</v>
      </c>
      <c r="BC242" s="359"/>
      <c r="BE242" s="187"/>
      <c r="BF242" s="176"/>
      <c r="BG242" s="176"/>
      <c r="BH242" s="177"/>
      <c r="BJ242" s="253"/>
      <c r="BL242" s="193"/>
      <c r="BM242" s="194"/>
      <c r="BN242" s="194"/>
      <c r="BO242" s="195"/>
      <c r="BQ242" s="187"/>
      <c r="BR242" s="185"/>
      <c r="BS242" s="185"/>
      <c r="BT242" s="254"/>
      <c r="BV242" s="187"/>
      <c r="BW242" s="185"/>
      <c r="BX242" s="185"/>
      <c r="BY242" s="185"/>
      <c r="BZ242" s="254"/>
      <c r="CB242" s="187"/>
      <c r="CC242" s="185"/>
      <c r="CD242" s="185"/>
      <c r="CE242" s="185"/>
      <c r="CF242" s="254"/>
      <c r="CH242" s="253"/>
    </row>
    <row r="243" spans="1:86" ht="63">
      <c r="A243" s="1563"/>
      <c r="B243" s="215" t="s">
        <v>328</v>
      </c>
      <c r="C243" s="216" t="s">
        <v>313</v>
      </c>
      <c r="D243" s="217" t="s">
        <v>314</v>
      </c>
      <c r="F243" s="218">
        <v>59510</v>
      </c>
      <c r="G243" s="219">
        <v>66920</v>
      </c>
      <c r="H243" s="218">
        <v>51170</v>
      </c>
      <c r="I243" s="219">
        <v>58580</v>
      </c>
      <c r="J243" s="179" t="s">
        <v>182</v>
      </c>
      <c r="K243" s="220">
        <v>570</v>
      </c>
      <c r="L243" s="221">
        <v>640</v>
      </c>
      <c r="M243" s="222" t="s">
        <v>795</v>
      </c>
      <c r="N243" s="220">
        <v>490</v>
      </c>
      <c r="O243" s="221">
        <v>560</v>
      </c>
      <c r="P243" s="222" t="s">
        <v>795</v>
      </c>
      <c r="Q243" s="160" t="s">
        <v>182</v>
      </c>
      <c r="R243" s="223">
        <v>7410</v>
      </c>
      <c r="S243" s="224">
        <v>70</v>
      </c>
      <c r="T243" s="225" t="s">
        <v>184</v>
      </c>
      <c r="V243" s="187"/>
      <c r="W243" s="185"/>
      <c r="X243" s="176"/>
      <c r="Y243" s="185"/>
      <c r="Z243" s="176"/>
      <c r="AA243" s="176"/>
      <c r="AB243" s="177"/>
      <c r="AC243" s="160" t="s">
        <v>182</v>
      </c>
      <c r="AD243" s="1546">
        <v>14800</v>
      </c>
      <c r="AE243" s="227"/>
      <c r="AF243" s="176" t="s">
        <v>182</v>
      </c>
      <c r="AG243" s="176">
        <v>70</v>
      </c>
      <c r="AH243" s="177" t="s">
        <v>184</v>
      </c>
      <c r="AJ243" s="187" t="s">
        <v>203</v>
      </c>
      <c r="AK243" s="185"/>
      <c r="AL243" s="176" t="s">
        <v>182</v>
      </c>
      <c r="AM243" s="176">
        <v>60</v>
      </c>
      <c r="AN243" s="177" t="s">
        <v>316</v>
      </c>
      <c r="AO243" s="160" t="s">
        <v>182</v>
      </c>
      <c r="AP243" s="1550">
        <v>3600</v>
      </c>
      <c r="AQ243" s="1553">
        <v>4000</v>
      </c>
      <c r="AR243" s="1550">
        <v>2500</v>
      </c>
      <c r="AS243" s="1553">
        <v>2500</v>
      </c>
      <c r="AT243" s="1544" t="s">
        <v>664</v>
      </c>
      <c r="AU243" s="230" t="s">
        <v>697</v>
      </c>
      <c r="AV243" s="231">
        <v>7200</v>
      </c>
      <c r="AW243" s="232">
        <v>8100</v>
      </c>
      <c r="AX243" s="267">
        <v>5100</v>
      </c>
      <c r="AY243" s="252">
        <v>5100</v>
      </c>
      <c r="BA243" s="277"/>
      <c r="BB243" s="160" t="s">
        <v>182</v>
      </c>
      <c r="BC243" s="1556">
        <v>4700</v>
      </c>
      <c r="BD243" s="160" t="s">
        <v>182</v>
      </c>
      <c r="BE243" s="228">
        <v>3600</v>
      </c>
      <c r="BF243" s="226" t="s">
        <v>182</v>
      </c>
      <c r="BG243" s="226">
        <v>30</v>
      </c>
      <c r="BH243" s="217" t="s">
        <v>184</v>
      </c>
      <c r="BJ243" s="253"/>
      <c r="BK243" s="160" t="s">
        <v>188</v>
      </c>
      <c r="BL243" s="237" t="s">
        <v>317</v>
      </c>
      <c r="BM243" s="238" t="s">
        <v>317</v>
      </c>
      <c r="BN243" s="238" t="s">
        <v>317</v>
      </c>
      <c r="BO243" s="239" t="s">
        <v>317</v>
      </c>
      <c r="BP243" s="160" t="s">
        <v>188</v>
      </c>
      <c r="BQ243" s="228"/>
      <c r="BR243" s="229"/>
      <c r="BS243" s="229"/>
      <c r="BT243" s="240"/>
      <c r="BU243" s="160" t="s">
        <v>188</v>
      </c>
      <c r="BV243" s="228"/>
      <c r="BW243" s="229"/>
      <c r="BX243" s="229"/>
      <c r="BY243" s="229"/>
      <c r="BZ243" s="240"/>
      <c r="CA243" s="160" t="s">
        <v>188</v>
      </c>
      <c r="CB243" s="228"/>
      <c r="CC243" s="229"/>
      <c r="CD243" s="229"/>
      <c r="CE243" s="229"/>
      <c r="CF243" s="240"/>
      <c r="CH243" s="236" t="s">
        <v>324</v>
      </c>
    </row>
    <row r="244" spans="1:86">
      <c r="A244" s="1563"/>
      <c r="B244" s="168"/>
      <c r="C244" s="241"/>
      <c r="D244" s="177" t="s">
        <v>318</v>
      </c>
      <c r="F244" s="242">
        <v>66920</v>
      </c>
      <c r="G244" s="243">
        <v>127100</v>
      </c>
      <c r="H244" s="242">
        <v>58580</v>
      </c>
      <c r="I244" s="243">
        <v>118760</v>
      </c>
      <c r="J244" s="179" t="s">
        <v>182</v>
      </c>
      <c r="K244" s="244">
        <v>640</v>
      </c>
      <c r="L244" s="245">
        <v>1150</v>
      </c>
      <c r="M244" s="246" t="s">
        <v>795</v>
      </c>
      <c r="N244" s="244">
        <v>560</v>
      </c>
      <c r="O244" s="245">
        <v>1070</v>
      </c>
      <c r="P244" s="246" t="s">
        <v>795</v>
      </c>
      <c r="Q244" s="160" t="s">
        <v>182</v>
      </c>
      <c r="R244" s="187">
        <v>7410</v>
      </c>
      <c r="S244" s="185">
        <v>70</v>
      </c>
      <c r="T244" s="247" t="s">
        <v>184</v>
      </c>
      <c r="V244" s="280"/>
      <c r="W244" s="279" t="s">
        <v>705</v>
      </c>
      <c r="X244" s="176"/>
      <c r="Y244" s="279" t="s">
        <v>705</v>
      </c>
      <c r="Z244" s="279"/>
      <c r="AA244" s="176"/>
      <c r="AB244" s="177"/>
      <c r="AD244" s="1547"/>
      <c r="AE244" s="248">
        <v>13080</v>
      </c>
      <c r="AF244" s="176"/>
      <c r="AG244" s="176"/>
      <c r="AH244" s="177"/>
      <c r="AJ244" s="187"/>
      <c r="AK244" s="185"/>
      <c r="AL244" s="176"/>
      <c r="AM244" s="176"/>
      <c r="AN244" s="177"/>
      <c r="AP244" s="1551"/>
      <c r="AQ244" s="1554"/>
      <c r="AR244" s="1551"/>
      <c r="AS244" s="1554"/>
      <c r="AT244" s="1544"/>
      <c r="AU244" s="172" t="s">
        <v>699</v>
      </c>
      <c r="AV244" s="249">
        <v>4000</v>
      </c>
      <c r="AW244" s="250">
        <v>4400</v>
      </c>
      <c r="AX244" s="267">
        <v>2800</v>
      </c>
      <c r="AY244" s="252">
        <v>2800</v>
      </c>
      <c r="BA244" s="235" t="s">
        <v>667</v>
      </c>
      <c r="BC244" s="1557"/>
      <c r="BE244" s="187"/>
      <c r="BF244" s="176"/>
      <c r="BG244" s="176"/>
      <c r="BH244" s="177"/>
      <c r="BJ244" s="253"/>
      <c r="BL244" s="193"/>
      <c r="BM244" s="194"/>
      <c r="BN244" s="194"/>
      <c r="BO244" s="195"/>
      <c r="BQ244" s="187">
        <v>2120</v>
      </c>
      <c r="BR244" s="185" t="s">
        <v>189</v>
      </c>
      <c r="BS244" s="185">
        <v>20</v>
      </c>
      <c r="BT244" s="254" t="s">
        <v>184</v>
      </c>
      <c r="BV244" s="187">
        <v>7410</v>
      </c>
      <c r="BW244" s="185" t="s">
        <v>189</v>
      </c>
      <c r="BX244" s="185">
        <v>70</v>
      </c>
      <c r="BY244" s="185" t="s">
        <v>184</v>
      </c>
      <c r="BZ244" s="254" t="s">
        <v>190</v>
      </c>
      <c r="CB244" s="187">
        <v>4720</v>
      </c>
      <c r="CC244" s="185" t="s">
        <v>189</v>
      </c>
      <c r="CD244" s="185">
        <v>40</v>
      </c>
      <c r="CE244" s="185" t="s">
        <v>184</v>
      </c>
      <c r="CF244" s="254" t="s">
        <v>190</v>
      </c>
      <c r="CH244" s="253"/>
    </row>
    <row r="245" spans="1:86">
      <c r="A245" s="1563"/>
      <c r="B245" s="168"/>
      <c r="C245" s="241" t="s">
        <v>319</v>
      </c>
      <c r="D245" s="177" t="s">
        <v>320</v>
      </c>
      <c r="F245" s="242">
        <v>127100</v>
      </c>
      <c r="G245" s="243">
        <v>201260</v>
      </c>
      <c r="H245" s="242">
        <v>118760</v>
      </c>
      <c r="I245" s="243">
        <v>192920</v>
      </c>
      <c r="J245" s="179" t="s">
        <v>182</v>
      </c>
      <c r="K245" s="244">
        <v>1150</v>
      </c>
      <c r="L245" s="245">
        <v>1890</v>
      </c>
      <c r="M245" s="246" t="s">
        <v>795</v>
      </c>
      <c r="N245" s="244">
        <v>1070</v>
      </c>
      <c r="O245" s="245">
        <v>1810</v>
      </c>
      <c r="P245" s="246" t="s">
        <v>795</v>
      </c>
      <c r="R245" s="182"/>
      <c r="S245" s="176"/>
      <c r="T245" s="177"/>
      <c r="V245" s="187"/>
      <c r="W245" s="185">
        <v>305100</v>
      </c>
      <c r="X245" s="176"/>
      <c r="Y245" s="185">
        <v>3050</v>
      </c>
      <c r="Z245" s="176" t="s">
        <v>184</v>
      </c>
      <c r="AA245" s="176"/>
      <c r="AB245" s="177"/>
      <c r="AC245" s="160" t="s">
        <v>182</v>
      </c>
      <c r="AD245" s="1548">
        <v>13080</v>
      </c>
      <c r="AE245" s="255"/>
      <c r="AF245" s="176"/>
      <c r="AG245" s="176">
        <v>0</v>
      </c>
      <c r="AH245" s="177"/>
      <c r="AJ245" s="187">
        <v>6100</v>
      </c>
      <c r="AK245" s="185" t="s">
        <v>321</v>
      </c>
      <c r="AL245" s="176"/>
      <c r="AM245" s="176"/>
      <c r="AN245" s="177"/>
      <c r="AP245" s="1551"/>
      <c r="AQ245" s="1554"/>
      <c r="AR245" s="1551"/>
      <c r="AS245" s="1554"/>
      <c r="AT245" s="1544"/>
      <c r="AU245" s="172" t="s">
        <v>700</v>
      </c>
      <c r="AV245" s="249">
        <v>3500</v>
      </c>
      <c r="AW245" s="250">
        <v>3800</v>
      </c>
      <c r="AX245" s="267">
        <v>2400</v>
      </c>
      <c r="AY245" s="252">
        <v>2400</v>
      </c>
      <c r="BA245" s="235">
        <v>9770</v>
      </c>
      <c r="BC245" s="359"/>
      <c r="BE245" s="187"/>
      <c r="BF245" s="176"/>
      <c r="BG245" s="176"/>
      <c r="BH245" s="177"/>
      <c r="BJ245" s="253"/>
      <c r="BL245" s="193">
        <v>0.01</v>
      </c>
      <c r="BM245" s="194">
        <v>0.03</v>
      </c>
      <c r="BN245" s="194">
        <v>0.04</v>
      </c>
      <c r="BO245" s="195">
        <v>0.06</v>
      </c>
      <c r="BQ245" s="187"/>
      <c r="BR245" s="185"/>
      <c r="BS245" s="185"/>
      <c r="BT245" s="254"/>
      <c r="BV245" s="187"/>
      <c r="BW245" s="185"/>
      <c r="BX245" s="185"/>
      <c r="BY245" s="185"/>
      <c r="BZ245" s="254"/>
      <c r="CB245" s="187"/>
      <c r="CC245" s="185"/>
      <c r="CD245" s="185"/>
      <c r="CE245" s="185"/>
      <c r="CF245" s="254"/>
      <c r="CH245" s="253">
        <v>0.9</v>
      </c>
    </row>
    <row r="246" spans="1:86">
      <c r="A246" s="1563"/>
      <c r="B246" s="269"/>
      <c r="C246" s="270"/>
      <c r="D246" s="184" t="s">
        <v>322</v>
      </c>
      <c r="F246" s="256">
        <v>201260</v>
      </c>
      <c r="G246" s="257"/>
      <c r="H246" s="256">
        <v>192920</v>
      </c>
      <c r="I246" s="257"/>
      <c r="J246" s="179" t="s">
        <v>182</v>
      </c>
      <c r="K246" s="258">
        <v>1890</v>
      </c>
      <c r="L246" s="259"/>
      <c r="M246" s="260" t="s">
        <v>795</v>
      </c>
      <c r="N246" s="258">
        <v>1810</v>
      </c>
      <c r="O246" s="259"/>
      <c r="P246" s="260" t="s">
        <v>795</v>
      </c>
      <c r="R246" s="183"/>
      <c r="S246" s="271"/>
      <c r="T246" s="184"/>
      <c r="V246" s="187"/>
      <c r="W246" s="185"/>
      <c r="X246" s="176"/>
      <c r="Y246" s="185"/>
      <c r="Z246" s="176"/>
      <c r="AA246" s="176"/>
      <c r="AB246" s="177"/>
      <c r="AD246" s="1549"/>
      <c r="AE246" s="261"/>
      <c r="AF246" s="176"/>
      <c r="AG246" s="176"/>
      <c r="AH246" s="177"/>
      <c r="AJ246" s="187"/>
      <c r="AK246" s="185"/>
      <c r="AL246" s="176"/>
      <c r="AM246" s="176"/>
      <c r="AN246" s="177"/>
      <c r="AP246" s="1552"/>
      <c r="AQ246" s="1555"/>
      <c r="AR246" s="1552"/>
      <c r="AS246" s="1555"/>
      <c r="AT246" s="1544"/>
      <c r="AU246" s="262" t="s">
        <v>701</v>
      </c>
      <c r="AV246" s="263">
        <v>3100</v>
      </c>
      <c r="AW246" s="264">
        <v>3400</v>
      </c>
      <c r="AX246" s="265">
        <v>2100</v>
      </c>
      <c r="AY246" s="266">
        <v>2100</v>
      </c>
      <c r="BA246" s="277"/>
      <c r="BC246" s="359"/>
      <c r="BE246" s="186"/>
      <c r="BF246" s="271"/>
      <c r="BG246" s="271"/>
      <c r="BH246" s="184"/>
      <c r="BJ246" s="253"/>
      <c r="BL246" s="272"/>
      <c r="BM246" s="273"/>
      <c r="BN246" s="273"/>
      <c r="BO246" s="274"/>
      <c r="BQ246" s="186"/>
      <c r="BR246" s="196"/>
      <c r="BS246" s="196"/>
      <c r="BT246" s="197"/>
      <c r="BV246" s="186"/>
      <c r="BW246" s="196"/>
      <c r="BX246" s="196"/>
      <c r="BY246" s="196"/>
      <c r="BZ246" s="197"/>
      <c r="CB246" s="186"/>
      <c r="CC246" s="196"/>
      <c r="CD246" s="196"/>
      <c r="CE246" s="196"/>
      <c r="CF246" s="197"/>
      <c r="CH246" s="198"/>
    </row>
    <row r="247" spans="1:86" ht="63">
      <c r="A247" s="1563"/>
      <c r="B247" s="168" t="s">
        <v>329</v>
      </c>
      <c r="C247" s="241" t="s">
        <v>313</v>
      </c>
      <c r="D247" s="177" t="s">
        <v>314</v>
      </c>
      <c r="F247" s="218">
        <v>53490</v>
      </c>
      <c r="G247" s="219">
        <v>60900</v>
      </c>
      <c r="H247" s="218">
        <v>46340</v>
      </c>
      <c r="I247" s="219">
        <v>53750</v>
      </c>
      <c r="J247" s="179" t="s">
        <v>182</v>
      </c>
      <c r="K247" s="220">
        <v>510</v>
      </c>
      <c r="L247" s="221">
        <v>580</v>
      </c>
      <c r="M247" s="222" t="s">
        <v>795</v>
      </c>
      <c r="N247" s="220">
        <v>440</v>
      </c>
      <c r="O247" s="221">
        <v>510</v>
      </c>
      <c r="P247" s="222" t="s">
        <v>795</v>
      </c>
      <c r="Q247" s="160" t="s">
        <v>182</v>
      </c>
      <c r="R247" s="275">
        <v>7410</v>
      </c>
      <c r="S247" s="276">
        <v>70</v>
      </c>
      <c r="T247" s="247" t="s">
        <v>184</v>
      </c>
      <c r="V247" s="280"/>
      <c r="W247" s="279" t="s">
        <v>706</v>
      </c>
      <c r="X247" s="176"/>
      <c r="Y247" s="279" t="s">
        <v>706</v>
      </c>
      <c r="Z247" s="279"/>
      <c r="AA247" s="176"/>
      <c r="AB247" s="177"/>
      <c r="AC247" s="160" t="s">
        <v>182</v>
      </c>
      <c r="AD247" s="1546">
        <v>13680</v>
      </c>
      <c r="AE247" s="227"/>
      <c r="AF247" s="226" t="s">
        <v>182</v>
      </c>
      <c r="AG247" s="226">
        <v>60</v>
      </c>
      <c r="AH247" s="217" t="s">
        <v>184</v>
      </c>
      <c r="AJ247" s="187" t="s">
        <v>205</v>
      </c>
      <c r="AK247" s="185"/>
      <c r="AL247" s="176" t="s">
        <v>182</v>
      </c>
      <c r="AM247" s="176">
        <v>50</v>
      </c>
      <c r="AN247" s="177" t="s">
        <v>316</v>
      </c>
      <c r="AO247" s="160" t="s">
        <v>182</v>
      </c>
      <c r="AP247" s="1550">
        <v>3100</v>
      </c>
      <c r="AQ247" s="1553">
        <v>3400</v>
      </c>
      <c r="AR247" s="1550">
        <v>2100</v>
      </c>
      <c r="AS247" s="1553">
        <v>2100</v>
      </c>
      <c r="AT247" s="1544" t="s">
        <v>664</v>
      </c>
      <c r="AU247" s="230" t="s">
        <v>697</v>
      </c>
      <c r="AV247" s="231">
        <v>6300</v>
      </c>
      <c r="AW247" s="232">
        <v>7100</v>
      </c>
      <c r="AX247" s="267">
        <v>4400</v>
      </c>
      <c r="AY247" s="252">
        <v>4400</v>
      </c>
      <c r="BA247" s="235" t="s">
        <v>668</v>
      </c>
      <c r="BB247" s="160" t="s">
        <v>182</v>
      </c>
      <c r="BC247" s="1556">
        <v>4700</v>
      </c>
      <c r="BD247" s="160" t="s">
        <v>182</v>
      </c>
      <c r="BE247" s="187">
        <v>3090</v>
      </c>
      <c r="BF247" s="176" t="s">
        <v>182</v>
      </c>
      <c r="BG247" s="176">
        <v>30</v>
      </c>
      <c r="BH247" s="177" t="s">
        <v>184</v>
      </c>
      <c r="BJ247" s="253"/>
      <c r="BK247" s="160" t="s">
        <v>188</v>
      </c>
      <c r="BL247" s="193" t="s">
        <v>317</v>
      </c>
      <c r="BM247" s="194" t="s">
        <v>317</v>
      </c>
      <c r="BN247" s="194" t="s">
        <v>317</v>
      </c>
      <c r="BO247" s="195" t="s">
        <v>317</v>
      </c>
      <c r="BP247" s="160" t="s">
        <v>188</v>
      </c>
      <c r="BQ247" s="187"/>
      <c r="BR247" s="185"/>
      <c r="BS247" s="185"/>
      <c r="BT247" s="254"/>
      <c r="BU247" s="160" t="s">
        <v>188</v>
      </c>
      <c r="BV247" s="187"/>
      <c r="BW247" s="185"/>
      <c r="BX247" s="185"/>
      <c r="BY247" s="185"/>
      <c r="BZ247" s="254"/>
      <c r="CA247" s="160" t="s">
        <v>188</v>
      </c>
      <c r="CB247" s="187"/>
      <c r="CC247" s="185"/>
      <c r="CD247" s="185"/>
      <c r="CE247" s="185"/>
      <c r="CF247" s="254"/>
      <c r="CH247" s="253" t="s">
        <v>324</v>
      </c>
    </row>
    <row r="248" spans="1:86">
      <c r="A248" s="1563"/>
      <c r="B248" s="168"/>
      <c r="C248" s="241"/>
      <c r="D248" s="177" t="s">
        <v>318</v>
      </c>
      <c r="F248" s="242">
        <v>60900</v>
      </c>
      <c r="G248" s="243">
        <v>121080</v>
      </c>
      <c r="H248" s="242">
        <v>53750</v>
      </c>
      <c r="I248" s="243">
        <v>113930</v>
      </c>
      <c r="J248" s="179" t="s">
        <v>182</v>
      </c>
      <c r="K248" s="244">
        <v>580</v>
      </c>
      <c r="L248" s="245">
        <v>1090</v>
      </c>
      <c r="M248" s="246" t="s">
        <v>795</v>
      </c>
      <c r="N248" s="244">
        <v>510</v>
      </c>
      <c r="O248" s="245">
        <v>1020</v>
      </c>
      <c r="P248" s="246" t="s">
        <v>795</v>
      </c>
      <c r="Q248" s="160" t="s">
        <v>182</v>
      </c>
      <c r="R248" s="187">
        <v>7410</v>
      </c>
      <c r="S248" s="185">
        <v>70</v>
      </c>
      <c r="T248" s="247" t="s">
        <v>184</v>
      </c>
      <c r="V248" s="187"/>
      <c r="W248" s="185">
        <v>340700</v>
      </c>
      <c r="X248" s="176"/>
      <c r="Y248" s="185">
        <v>3400</v>
      </c>
      <c r="Z248" s="176" t="s">
        <v>184</v>
      </c>
      <c r="AA248" s="176"/>
      <c r="AB248" s="177"/>
      <c r="AD248" s="1547"/>
      <c r="AE248" s="248">
        <v>11950</v>
      </c>
      <c r="AF248" s="176"/>
      <c r="AG248" s="176"/>
      <c r="AH248" s="177"/>
      <c r="AJ248" s="187"/>
      <c r="AK248" s="185"/>
      <c r="AL248" s="176"/>
      <c r="AM248" s="176"/>
      <c r="AN248" s="177"/>
      <c r="AP248" s="1551"/>
      <c r="AQ248" s="1554"/>
      <c r="AR248" s="1551"/>
      <c r="AS248" s="1554"/>
      <c r="AT248" s="1544"/>
      <c r="AU248" s="172" t="s">
        <v>699</v>
      </c>
      <c r="AV248" s="249">
        <v>3500</v>
      </c>
      <c r="AW248" s="250">
        <v>3900</v>
      </c>
      <c r="AX248" s="267">
        <v>2400</v>
      </c>
      <c r="AY248" s="252">
        <v>2400</v>
      </c>
      <c r="BA248" s="235">
        <v>7500</v>
      </c>
      <c r="BC248" s="1557"/>
      <c r="BE248" s="187"/>
      <c r="BF248" s="176"/>
      <c r="BG248" s="176"/>
      <c r="BH248" s="177"/>
      <c r="BJ248" s="253"/>
      <c r="BL248" s="193"/>
      <c r="BM248" s="194"/>
      <c r="BN248" s="194"/>
      <c r="BO248" s="195"/>
      <c r="BQ248" s="187">
        <v>1810</v>
      </c>
      <c r="BR248" s="185" t="s">
        <v>189</v>
      </c>
      <c r="BS248" s="185">
        <v>10</v>
      </c>
      <c r="BT248" s="254" t="s">
        <v>184</v>
      </c>
      <c r="BV248" s="187">
        <v>6350</v>
      </c>
      <c r="BW248" s="185" t="s">
        <v>189</v>
      </c>
      <c r="BX248" s="185">
        <v>60</v>
      </c>
      <c r="BY248" s="185" t="s">
        <v>184</v>
      </c>
      <c r="BZ248" s="254" t="s">
        <v>190</v>
      </c>
      <c r="CB248" s="187">
        <v>4050</v>
      </c>
      <c r="CC248" s="185" t="s">
        <v>189</v>
      </c>
      <c r="CD248" s="185">
        <v>40</v>
      </c>
      <c r="CE248" s="185" t="s">
        <v>184</v>
      </c>
      <c r="CF248" s="254" t="s">
        <v>190</v>
      </c>
      <c r="CH248" s="253"/>
    </row>
    <row r="249" spans="1:86">
      <c r="A249" s="1563"/>
      <c r="B249" s="168"/>
      <c r="C249" s="241" t="s">
        <v>319</v>
      </c>
      <c r="D249" s="177" t="s">
        <v>320</v>
      </c>
      <c r="F249" s="242">
        <v>121080</v>
      </c>
      <c r="G249" s="243">
        <v>195240</v>
      </c>
      <c r="H249" s="242">
        <v>113930</v>
      </c>
      <c r="I249" s="243">
        <v>188090</v>
      </c>
      <c r="J249" s="179" t="s">
        <v>182</v>
      </c>
      <c r="K249" s="244">
        <v>1090</v>
      </c>
      <c r="L249" s="245">
        <v>1830</v>
      </c>
      <c r="M249" s="246" t="s">
        <v>795</v>
      </c>
      <c r="N249" s="244">
        <v>1020</v>
      </c>
      <c r="O249" s="245">
        <v>1760</v>
      </c>
      <c r="P249" s="246" t="s">
        <v>795</v>
      </c>
      <c r="R249" s="182"/>
      <c r="S249" s="176"/>
      <c r="T249" s="177"/>
      <c r="V249" s="187"/>
      <c r="W249" s="185"/>
      <c r="X249" s="176"/>
      <c r="Y249" s="185"/>
      <c r="Z249" s="176"/>
      <c r="AA249" s="176"/>
      <c r="AB249" s="177"/>
      <c r="AC249" s="160" t="s">
        <v>182</v>
      </c>
      <c r="AD249" s="1548">
        <v>11950</v>
      </c>
      <c r="AE249" s="255"/>
      <c r="AF249" s="176"/>
      <c r="AG249" s="176">
        <v>0</v>
      </c>
      <c r="AH249" s="177"/>
      <c r="AJ249" s="187">
        <v>5080</v>
      </c>
      <c r="AK249" s="185" t="s">
        <v>321</v>
      </c>
      <c r="AL249" s="176"/>
      <c r="AM249" s="176"/>
      <c r="AN249" s="177"/>
      <c r="AP249" s="1551"/>
      <c r="AQ249" s="1554"/>
      <c r="AR249" s="1551"/>
      <c r="AS249" s="1554"/>
      <c r="AT249" s="1544"/>
      <c r="AU249" s="172" t="s">
        <v>700</v>
      </c>
      <c r="AV249" s="249">
        <v>3000</v>
      </c>
      <c r="AW249" s="250">
        <v>3400</v>
      </c>
      <c r="AX249" s="267">
        <v>2100</v>
      </c>
      <c r="AY249" s="252">
        <v>2100</v>
      </c>
      <c r="BA249" s="277"/>
      <c r="BC249" s="359"/>
      <c r="BE249" s="187"/>
      <c r="BF249" s="176"/>
      <c r="BG249" s="176"/>
      <c r="BH249" s="177"/>
      <c r="BJ249" s="253"/>
      <c r="BL249" s="193">
        <v>0.01</v>
      </c>
      <c r="BM249" s="194">
        <v>0.03</v>
      </c>
      <c r="BN249" s="194">
        <v>0.04</v>
      </c>
      <c r="BO249" s="195">
        <v>0.06</v>
      </c>
      <c r="BQ249" s="187"/>
      <c r="BR249" s="185"/>
      <c r="BS249" s="185"/>
      <c r="BT249" s="254"/>
      <c r="BV249" s="187"/>
      <c r="BW249" s="185"/>
      <c r="BX249" s="185"/>
      <c r="BY249" s="185"/>
      <c r="BZ249" s="254"/>
      <c r="CB249" s="187"/>
      <c r="CC249" s="185"/>
      <c r="CD249" s="185"/>
      <c r="CE249" s="185"/>
      <c r="CF249" s="254"/>
      <c r="CH249" s="253">
        <v>0.92</v>
      </c>
    </row>
    <row r="250" spans="1:86">
      <c r="A250" s="1563"/>
      <c r="B250" s="168"/>
      <c r="C250" s="241"/>
      <c r="D250" s="177" t="s">
        <v>322</v>
      </c>
      <c r="F250" s="256">
        <v>195240</v>
      </c>
      <c r="G250" s="257"/>
      <c r="H250" s="256">
        <v>188090</v>
      </c>
      <c r="I250" s="257"/>
      <c r="J250" s="179" t="s">
        <v>182</v>
      </c>
      <c r="K250" s="258">
        <v>1830</v>
      </c>
      <c r="L250" s="259"/>
      <c r="M250" s="260" t="s">
        <v>795</v>
      </c>
      <c r="N250" s="258">
        <v>1760</v>
      </c>
      <c r="O250" s="259"/>
      <c r="P250" s="260" t="s">
        <v>795</v>
      </c>
      <c r="R250" s="182"/>
      <c r="S250" s="176"/>
      <c r="T250" s="177"/>
      <c r="V250" s="280"/>
      <c r="W250" s="279" t="s">
        <v>707</v>
      </c>
      <c r="X250" s="176"/>
      <c r="Y250" s="279" t="s">
        <v>707</v>
      </c>
      <c r="Z250" s="279"/>
      <c r="AA250" s="176"/>
      <c r="AB250" s="177"/>
      <c r="AD250" s="1549"/>
      <c r="AE250" s="261"/>
      <c r="AF250" s="271"/>
      <c r="AG250" s="271"/>
      <c r="AH250" s="184"/>
      <c r="AJ250" s="187"/>
      <c r="AK250" s="185"/>
      <c r="AL250" s="176"/>
      <c r="AM250" s="176"/>
      <c r="AN250" s="177"/>
      <c r="AP250" s="1552"/>
      <c r="AQ250" s="1555"/>
      <c r="AR250" s="1552"/>
      <c r="AS250" s="1555"/>
      <c r="AT250" s="1544"/>
      <c r="AU250" s="262" t="s">
        <v>701</v>
      </c>
      <c r="AV250" s="263">
        <v>2700</v>
      </c>
      <c r="AW250" s="264">
        <v>3000</v>
      </c>
      <c r="AX250" s="265">
        <v>1900</v>
      </c>
      <c r="AY250" s="266">
        <v>1900</v>
      </c>
      <c r="BA250" s="235" t="s">
        <v>669</v>
      </c>
      <c r="BC250" s="359"/>
      <c r="BE250" s="187"/>
      <c r="BF250" s="176"/>
      <c r="BG250" s="176"/>
      <c r="BH250" s="177"/>
      <c r="BJ250" s="253"/>
      <c r="BL250" s="193"/>
      <c r="BM250" s="194"/>
      <c r="BN250" s="194"/>
      <c r="BO250" s="195"/>
      <c r="BQ250" s="187"/>
      <c r="BR250" s="185"/>
      <c r="BS250" s="185"/>
      <c r="BT250" s="254"/>
      <c r="BV250" s="187"/>
      <c r="BW250" s="185"/>
      <c r="BX250" s="185"/>
      <c r="BY250" s="185"/>
      <c r="BZ250" s="254"/>
      <c r="CB250" s="187"/>
      <c r="CC250" s="185"/>
      <c r="CD250" s="185"/>
      <c r="CE250" s="185"/>
      <c r="CF250" s="254"/>
      <c r="CH250" s="253"/>
    </row>
    <row r="251" spans="1:86" ht="63">
      <c r="A251" s="1563"/>
      <c r="B251" s="215" t="s">
        <v>330</v>
      </c>
      <c r="C251" s="216" t="s">
        <v>313</v>
      </c>
      <c r="D251" s="217" t="s">
        <v>314</v>
      </c>
      <c r="F251" s="218">
        <v>49040</v>
      </c>
      <c r="G251" s="219">
        <v>56450</v>
      </c>
      <c r="H251" s="218">
        <v>42780</v>
      </c>
      <c r="I251" s="219">
        <v>50190</v>
      </c>
      <c r="J251" s="179" t="s">
        <v>182</v>
      </c>
      <c r="K251" s="220">
        <v>470</v>
      </c>
      <c r="L251" s="221">
        <v>540</v>
      </c>
      <c r="M251" s="222" t="s">
        <v>795</v>
      </c>
      <c r="N251" s="220">
        <v>400</v>
      </c>
      <c r="O251" s="221">
        <v>470</v>
      </c>
      <c r="P251" s="222" t="s">
        <v>795</v>
      </c>
      <c r="Q251" s="160" t="s">
        <v>182</v>
      </c>
      <c r="R251" s="223">
        <v>7410</v>
      </c>
      <c r="S251" s="224">
        <v>70</v>
      </c>
      <c r="T251" s="225" t="s">
        <v>184</v>
      </c>
      <c r="V251" s="187"/>
      <c r="W251" s="185">
        <v>376300</v>
      </c>
      <c r="X251" s="176"/>
      <c r="Y251" s="185">
        <v>3760</v>
      </c>
      <c r="Z251" s="176" t="s">
        <v>184</v>
      </c>
      <c r="AA251" s="176"/>
      <c r="AB251" s="177"/>
      <c r="AC251" s="160" t="s">
        <v>182</v>
      </c>
      <c r="AD251" s="1546">
        <v>12830</v>
      </c>
      <c r="AE251" s="227"/>
      <c r="AF251" s="176" t="s">
        <v>182</v>
      </c>
      <c r="AG251" s="176">
        <v>50</v>
      </c>
      <c r="AH251" s="177" t="s">
        <v>184</v>
      </c>
      <c r="AJ251" s="187" t="s">
        <v>207</v>
      </c>
      <c r="AK251" s="185"/>
      <c r="AL251" s="176" t="s">
        <v>182</v>
      </c>
      <c r="AM251" s="176">
        <v>40</v>
      </c>
      <c r="AN251" s="177" t="s">
        <v>316</v>
      </c>
      <c r="AO251" s="160" t="s">
        <v>182</v>
      </c>
      <c r="AP251" s="1550">
        <v>3500</v>
      </c>
      <c r="AQ251" s="1553">
        <v>3900</v>
      </c>
      <c r="AR251" s="1550">
        <v>2500</v>
      </c>
      <c r="AS251" s="1553">
        <v>2500</v>
      </c>
      <c r="AT251" s="1544" t="s">
        <v>664</v>
      </c>
      <c r="AU251" s="230" t="s">
        <v>697</v>
      </c>
      <c r="AV251" s="231">
        <v>7100</v>
      </c>
      <c r="AW251" s="232">
        <v>7900</v>
      </c>
      <c r="AX251" s="267">
        <v>4900</v>
      </c>
      <c r="AY251" s="252">
        <v>4900</v>
      </c>
      <c r="BA251" s="235">
        <v>6130</v>
      </c>
      <c r="BB251" s="160" t="s">
        <v>182</v>
      </c>
      <c r="BC251" s="1556">
        <v>4700</v>
      </c>
      <c r="BD251" s="160" t="s">
        <v>182</v>
      </c>
      <c r="BE251" s="228">
        <v>2700</v>
      </c>
      <c r="BF251" s="226" t="s">
        <v>182</v>
      </c>
      <c r="BG251" s="226">
        <v>20</v>
      </c>
      <c r="BH251" s="217" t="s">
        <v>184</v>
      </c>
      <c r="BJ251" s="253"/>
      <c r="BK251" s="160" t="s">
        <v>188</v>
      </c>
      <c r="BL251" s="237" t="s">
        <v>317</v>
      </c>
      <c r="BM251" s="238" t="s">
        <v>317</v>
      </c>
      <c r="BN251" s="238" t="s">
        <v>317</v>
      </c>
      <c r="BO251" s="239" t="s">
        <v>317</v>
      </c>
      <c r="BP251" s="160" t="s">
        <v>188</v>
      </c>
      <c r="BQ251" s="228"/>
      <c r="BR251" s="229"/>
      <c r="BS251" s="229"/>
      <c r="BT251" s="240"/>
      <c r="BU251" s="160" t="s">
        <v>188</v>
      </c>
      <c r="BV251" s="228"/>
      <c r="BW251" s="229"/>
      <c r="BX251" s="229"/>
      <c r="BY251" s="229"/>
      <c r="BZ251" s="240"/>
      <c r="CA251" s="160" t="s">
        <v>188</v>
      </c>
      <c r="CB251" s="228"/>
      <c r="CC251" s="229"/>
      <c r="CD251" s="229"/>
      <c r="CE251" s="229"/>
      <c r="CF251" s="240"/>
      <c r="CH251" s="236" t="s">
        <v>324</v>
      </c>
    </row>
    <row r="252" spans="1:86">
      <c r="A252" s="1563"/>
      <c r="B252" s="168"/>
      <c r="C252" s="241"/>
      <c r="D252" s="177" t="s">
        <v>318</v>
      </c>
      <c r="F252" s="242">
        <v>56450</v>
      </c>
      <c r="G252" s="243">
        <v>116630</v>
      </c>
      <c r="H252" s="242">
        <v>50190</v>
      </c>
      <c r="I252" s="243">
        <v>110370</v>
      </c>
      <c r="J252" s="179" t="s">
        <v>182</v>
      </c>
      <c r="K252" s="244">
        <v>540</v>
      </c>
      <c r="L252" s="245">
        <v>1050</v>
      </c>
      <c r="M252" s="246" t="s">
        <v>795</v>
      </c>
      <c r="N252" s="244">
        <v>470</v>
      </c>
      <c r="O252" s="245">
        <v>990</v>
      </c>
      <c r="P252" s="246" t="s">
        <v>795</v>
      </c>
      <c r="Q252" s="160" t="s">
        <v>182</v>
      </c>
      <c r="R252" s="187">
        <v>7410</v>
      </c>
      <c r="S252" s="185">
        <v>70</v>
      </c>
      <c r="T252" s="247" t="s">
        <v>184</v>
      </c>
      <c r="V252" s="187"/>
      <c r="W252" s="185"/>
      <c r="X252" s="176"/>
      <c r="Y252" s="185"/>
      <c r="Z252" s="176"/>
      <c r="AA252" s="176"/>
      <c r="AB252" s="177"/>
      <c r="AD252" s="1547"/>
      <c r="AE252" s="248">
        <v>11100</v>
      </c>
      <c r="AF252" s="176"/>
      <c r="AG252" s="176"/>
      <c r="AH252" s="177"/>
      <c r="AJ252" s="187"/>
      <c r="AK252" s="185"/>
      <c r="AL252" s="176"/>
      <c r="AM252" s="176"/>
      <c r="AN252" s="177"/>
      <c r="AP252" s="1551"/>
      <c r="AQ252" s="1554"/>
      <c r="AR252" s="1551"/>
      <c r="AS252" s="1554"/>
      <c r="AT252" s="1544"/>
      <c r="AU252" s="172" t="s">
        <v>699</v>
      </c>
      <c r="AV252" s="249">
        <v>3900</v>
      </c>
      <c r="AW252" s="250">
        <v>4300</v>
      </c>
      <c r="AX252" s="267">
        <v>2700</v>
      </c>
      <c r="AY252" s="252">
        <v>2700</v>
      </c>
      <c r="BA252" s="277"/>
      <c r="BC252" s="1557"/>
      <c r="BE252" s="187"/>
      <c r="BF252" s="176"/>
      <c r="BG252" s="176"/>
      <c r="BH252" s="177"/>
      <c r="BJ252" s="253"/>
      <c r="BL252" s="193"/>
      <c r="BM252" s="194"/>
      <c r="BN252" s="194"/>
      <c r="BO252" s="195"/>
      <c r="BQ252" s="187">
        <v>1590</v>
      </c>
      <c r="BR252" s="185" t="s">
        <v>189</v>
      </c>
      <c r="BS252" s="185">
        <v>10</v>
      </c>
      <c r="BT252" s="254" t="s">
        <v>184</v>
      </c>
      <c r="BV252" s="187">
        <v>5560</v>
      </c>
      <c r="BW252" s="185" t="s">
        <v>189</v>
      </c>
      <c r="BX252" s="185">
        <v>50</v>
      </c>
      <c r="BY252" s="185" t="s">
        <v>184</v>
      </c>
      <c r="BZ252" s="254" t="s">
        <v>190</v>
      </c>
      <c r="CB252" s="187">
        <v>3540</v>
      </c>
      <c r="CC252" s="185" t="s">
        <v>189</v>
      </c>
      <c r="CD252" s="185">
        <v>30</v>
      </c>
      <c r="CE252" s="185" t="s">
        <v>184</v>
      </c>
      <c r="CF252" s="254" t="s">
        <v>190</v>
      </c>
      <c r="CH252" s="253"/>
    </row>
    <row r="253" spans="1:86">
      <c r="A253" s="1563"/>
      <c r="B253" s="168"/>
      <c r="C253" s="241" t="s">
        <v>319</v>
      </c>
      <c r="D253" s="177" t="s">
        <v>320</v>
      </c>
      <c r="F253" s="242">
        <v>116630</v>
      </c>
      <c r="G253" s="243">
        <v>190790</v>
      </c>
      <c r="H253" s="242">
        <v>110370</v>
      </c>
      <c r="I253" s="243">
        <v>184530</v>
      </c>
      <c r="J253" s="179" t="s">
        <v>182</v>
      </c>
      <c r="K253" s="244">
        <v>1050</v>
      </c>
      <c r="L253" s="245">
        <v>1790</v>
      </c>
      <c r="M253" s="246" t="s">
        <v>795</v>
      </c>
      <c r="N253" s="244">
        <v>990</v>
      </c>
      <c r="O253" s="245">
        <v>1730</v>
      </c>
      <c r="P253" s="246" t="s">
        <v>795</v>
      </c>
      <c r="R253" s="182"/>
      <c r="S253" s="176"/>
      <c r="T253" s="177"/>
      <c r="V253" s="280"/>
      <c r="W253" s="279" t="s">
        <v>708</v>
      </c>
      <c r="X253" s="176"/>
      <c r="Y253" s="279" t="s">
        <v>708</v>
      </c>
      <c r="Z253" s="279"/>
      <c r="AA253" s="176"/>
      <c r="AB253" s="177"/>
      <c r="AC253" s="160" t="s">
        <v>182</v>
      </c>
      <c r="AD253" s="1548">
        <v>11100</v>
      </c>
      <c r="AE253" s="255"/>
      <c r="AF253" s="176"/>
      <c r="AG253" s="176">
        <v>0</v>
      </c>
      <c r="AH253" s="177"/>
      <c r="AJ253" s="187">
        <v>4360</v>
      </c>
      <c r="AK253" s="185" t="s">
        <v>321</v>
      </c>
      <c r="AL253" s="176"/>
      <c r="AM253" s="176"/>
      <c r="AN253" s="177"/>
      <c r="AP253" s="1551"/>
      <c r="AQ253" s="1554"/>
      <c r="AR253" s="1551"/>
      <c r="AS253" s="1554"/>
      <c r="AT253" s="1544"/>
      <c r="AU253" s="172" t="s">
        <v>700</v>
      </c>
      <c r="AV253" s="249">
        <v>3400</v>
      </c>
      <c r="AW253" s="250">
        <v>3800</v>
      </c>
      <c r="AX253" s="267">
        <v>2300</v>
      </c>
      <c r="AY253" s="252">
        <v>2300</v>
      </c>
      <c r="BA253" s="235" t="s">
        <v>670</v>
      </c>
      <c r="BC253" s="359"/>
      <c r="BE253" s="187"/>
      <c r="BF253" s="176"/>
      <c r="BG253" s="176"/>
      <c r="BH253" s="177"/>
      <c r="BJ253" s="253"/>
      <c r="BL253" s="193">
        <v>0.01</v>
      </c>
      <c r="BM253" s="194">
        <v>0.03</v>
      </c>
      <c r="BN253" s="194">
        <v>0.04</v>
      </c>
      <c r="BO253" s="195">
        <v>0.06</v>
      </c>
      <c r="BQ253" s="187"/>
      <c r="BR253" s="185"/>
      <c r="BS253" s="185"/>
      <c r="BT253" s="254"/>
      <c r="BV253" s="187"/>
      <c r="BW253" s="185"/>
      <c r="BX253" s="185"/>
      <c r="BY253" s="185"/>
      <c r="BZ253" s="254"/>
      <c r="CB253" s="187"/>
      <c r="CC253" s="185"/>
      <c r="CD253" s="185"/>
      <c r="CE253" s="185"/>
      <c r="CF253" s="254"/>
      <c r="CH253" s="253">
        <v>0.89</v>
      </c>
    </row>
    <row r="254" spans="1:86">
      <c r="A254" s="1563"/>
      <c r="B254" s="269"/>
      <c r="C254" s="270"/>
      <c r="D254" s="184" t="s">
        <v>322</v>
      </c>
      <c r="F254" s="256">
        <v>190790</v>
      </c>
      <c r="G254" s="257"/>
      <c r="H254" s="256">
        <v>184530</v>
      </c>
      <c r="I254" s="257"/>
      <c r="J254" s="179" t="s">
        <v>182</v>
      </c>
      <c r="K254" s="258">
        <v>1790</v>
      </c>
      <c r="L254" s="259"/>
      <c r="M254" s="260" t="s">
        <v>795</v>
      </c>
      <c r="N254" s="258">
        <v>1730</v>
      </c>
      <c r="O254" s="259"/>
      <c r="P254" s="260" t="s">
        <v>795</v>
      </c>
      <c r="R254" s="183"/>
      <c r="S254" s="271"/>
      <c r="T254" s="184"/>
      <c r="V254" s="187"/>
      <c r="W254" s="185">
        <v>411900</v>
      </c>
      <c r="X254" s="176"/>
      <c r="Y254" s="185">
        <v>4110</v>
      </c>
      <c r="Z254" s="176" t="s">
        <v>184</v>
      </c>
      <c r="AA254" s="176"/>
      <c r="AB254" s="177"/>
      <c r="AD254" s="1549"/>
      <c r="AE254" s="261"/>
      <c r="AF254" s="176"/>
      <c r="AG254" s="176"/>
      <c r="AH254" s="177"/>
      <c r="AJ254" s="187"/>
      <c r="AK254" s="185"/>
      <c r="AL254" s="176"/>
      <c r="AM254" s="176"/>
      <c r="AN254" s="177"/>
      <c r="AP254" s="1552"/>
      <c r="AQ254" s="1555"/>
      <c r="AR254" s="1552"/>
      <c r="AS254" s="1555"/>
      <c r="AT254" s="1544"/>
      <c r="AU254" s="262" t="s">
        <v>701</v>
      </c>
      <c r="AV254" s="263">
        <v>3000</v>
      </c>
      <c r="AW254" s="264">
        <v>3400</v>
      </c>
      <c r="AX254" s="265">
        <v>2100</v>
      </c>
      <c r="AY254" s="266">
        <v>2100</v>
      </c>
      <c r="BA254" s="235">
        <v>5220</v>
      </c>
      <c r="BC254" s="359"/>
      <c r="BE254" s="186"/>
      <c r="BF254" s="271"/>
      <c r="BG254" s="271"/>
      <c r="BH254" s="184"/>
      <c r="BJ254" s="253"/>
      <c r="BL254" s="272"/>
      <c r="BM254" s="273"/>
      <c r="BN254" s="273"/>
      <c r="BO254" s="274"/>
      <c r="BQ254" s="186"/>
      <c r="BR254" s="196"/>
      <c r="BS254" s="196"/>
      <c r="BT254" s="197"/>
      <c r="BV254" s="186"/>
      <c r="BW254" s="196"/>
      <c r="BX254" s="196"/>
      <c r="BY254" s="196"/>
      <c r="BZ254" s="197"/>
      <c r="CB254" s="186"/>
      <c r="CC254" s="196"/>
      <c r="CD254" s="196"/>
      <c r="CE254" s="196"/>
      <c r="CF254" s="197"/>
      <c r="CH254" s="198"/>
    </row>
    <row r="255" spans="1:86" ht="63">
      <c r="A255" s="1563"/>
      <c r="B255" s="168" t="s">
        <v>331</v>
      </c>
      <c r="C255" s="241" t="s">
        <v>313</v>
      </c>
      <c r="D255" s="177" t="s">
        <v>314</v>
      </c>
      <c r="F255" s="218">
        <v>45520</v>
      </c>
      <c r="G255" s="219">
        <v>52930</v>
      </c>
      <c r="H255" s="218">
        <v>39960</v>
      </c>
      <c r="I255" s="219">
        <v>47370</v>
      </c>
      <c r="J255" s="179" t="s">
        <v>182</v>
      </c>
      <c r="K255" s="220">
        <v>430</v>
      </c>
      <c r="L255" s="221">
        <v>500</v>
      </c>
      <c r="M255" s="222" t="s">
        <v>795</v>
      </c>
      <c r="N255" s="220">
        <v>380</v>
      </c>
      <c r="O255" s="221">
        <v>450</v>
      </c>
      <c r="P255" s="222" t="s">
        <v>795</v>
      </c>
      <c r="Q255" s="160" t="s">
        <v>182</v>
      </c>
      <c r="R255" s="275">
        <v>7410</v>
      </c>
      <c r="S255" s="276">
        <v>70</v>
      </c>
      <c r="T255" s="247" t="s">
        <v>184</v>
      </c>
      <c r="V255" s="187"/>
      <c r="W255" s="185"/>
      <c r="X255" s="176"/>
      <c r="Y255" s="185"/>
      <c r="Z255" s="176"/>
      <c r="AA255" s="176"/>
      <c r="AB255" s="177"/>
      <c r="AC255" s="160" t="s">
        <v>182</v>
      </c>
      <c r="AD255" s="1546">
        <v>12170</v>
      </c>
      <c r="AE255" s="227"/>
      <c r="AF255" s="226" t="s">
        <v>182</v>
      </c>
      <c r="AG255" s="226">
        <v>50</v>
      </c>
      <c r="AH255" s="217" t="s">
        <v>184</v>
      </c>
      <c r="AJ255" s="187" t="s">
        <v>209</v>
      </c>
      <c r="AK255" s="185"/>
      <c r="AL255" s="176" t="s">
        <v>182</v>
      </c>
      <c r="AM255" s="176">
        <v>30</v>
      </c>
      <c r="AN255" s="177" t="s">
        <v>316</v>
      </c>
      <c r="AO255" s="160" t="s">
        <v>182</v>
      </c>
      <c r="AP255" s="1550">
        <v>3100</v>
      </c>
      <c r="AQ255" s="1553">
        <v>3400</v>
      </c>
      <c r="AR255" s="1550">
        <v>2200</v>
      </c>
      <c r="AS255" s="1553">
        <v>2200</v>
      </c>
      <c r="AT255" s="1544" t="s">
        <v>664</v>
      </c>
      <c r="AU255" s="230" t="s">
        <v>697</v>
      </c>
      <c r="AV255" s="231">
        <v>6300</v>
      </c>
      <c r="AW255" s="232">
        <v>7100</v>
      </c>
      <c r="AX255" s="267">
        <v>4400</v>
      </c>
      <c r="AY255" s="252">
        <v>4400</v>
      </c>
      <c r="BA255" s="277"/>
      <c r="BB255" s="160" t="s">
        <v>182</v>
      </c>
      <c r="BC255" s="1556">
        <v>4700</v>
      </c>
      <c r="BD255" s="160" t="s">
        <v>182</v>
      </c>
      <c r="BE255" s="187">
        <v>2400</v>
      </c>
      <c r="BF255" s="176" t="s">
        <v>182</v>
      </c>
      <c r="BG255" s="176">
        <v>20</v>
      </c>
      <c r="BH255" s="177" t="s">
        <v>184</v>
      </c>
      <c r="BJ255" s="253"/>
      <c r="BK255" s="160" t="s">
        <v>188</v>
      </c>
      <c r="BL255" s="193" t="s">
        <v>317</v>
      </c>
      <c r="BM255" s="194" t="s">
        <v>317</v>
      </c>
      <c r="BN255" s="194" t="s">
        <v>317</v>
      </c>
      <c r="BO255" s="195" t="s">
        <v>317</v>
      </c>
      <c r="BP255" s="160" t="s">
        <v>188</v>
      </c>
      <c r="BQ255" s="187"/>
      <c r="BR255" s="185"/>
      <c r="BS255" s="185"/>
      <c r="BT255" s="254"/>
      <c r="BU255" s="160" t="s">
        <v>188</v>
      </c>
      <c r="BV255" s="187"/>
      <c r="BW255" s="185"/>
      <c r="BX255" s="185"/>
      <c r="BY255" s="185"/>
      <c r="BZ255" s="254"/>
      <c r="CA255" s="160" t="s">
        <v>188</v>
      </c>
      <c r="CB255" s="187"/>
      <c r="CC255" s="185"/>
      <c r="CD255" s="185"/>
      <c r="CE255" s="185"/>
      <c r="CF255" s="254"/>
      <c r="CH255" s="253" t="s">
        <v>324</v>
      </c>
    </row>
    <row r="256" spans="1:86">
      <c r="A256" s="1563"/>
      <c r="B256" s="168"/>
      <c r="C256" s="241"/>
      <c r="D256" s="177" t="s">
        <v>318</v>
      </c>
      <c r="F256" s="242">
        <v>52930</v>
      </c>
      <c r="G256" s="243">
        <v>113110</v>
      </c>
      <c r="H256" s="242">
        <v>47370</v>
      </c>
      <c r="I256" s="243">
        <v>107550</v>
      </c>
      <c r="J256" s="179" t="s">
        <v>182</v>
      </c>
      <c r="K256" s="244">
        <v>500</v>
      </c>
      <c r="L256" s="245">
        <v>1010</v>
      </c>
      <c r="M256" s="246" t="s">
        <v>795</v>
      </c>
      <c r="N256" s="244">
        <v>450</v>
      </c>
      <c r="O256" s="245">
        <v>960</v>
      </c>
      <c r="P256" s="246" t="s">
        <v>795</v>
      </c>
      <c r="Q256" s="160" t="s">
        <v>182</v>
      </c>
      <c r="R256" s="187">
        <v>7410</v>
      </c>
      <c r="S256" s="185">
        <v>70</v>
      </c>
      <c r="T256" s="247" t="s">
        <v>184</v>
      </c>
      <c r="V256" s="280"/>
      <c r="W256" s="279" t="s">
        <v>709</v>
      </c>
      <c r="X256" s="176"/>
      <c r="Y256" s="279" t="s">
        <v>709</v>
      </c>
      <c r="Z256" s="279"/>
      <c r="AA256" s="176" t="s">
        <v>332</v>
      </c>
      <c r="AB256" s="177" t="s">
        <v>333</v>
      </c>
      <c r="AD256" s="1547"/>
      <c r="AE256" s="248">
        <v>10440</v>
      </c>
      <c r="AF256" s="176"/>
      <c r="AG256" s="176"/>
      <c r="AH256" s="177"/>
      <c r="AJ256" s="187"/>
      <c r="AK256" s="185"/>
      <c r="AL256" s="176"/>
      <c r="AM256" s="176"/>
      <c r="AN256" s="177"/>
      <c r="AP256" s="1551"/>
      <c r="AQ256" s="1554"/>
      <c r="AR256" s="1551"/>
      <c r="AS256" s="1554"/>
      <c r="AT256" s="1544"/>
      <c r="AU256" s="172" t="s">
        <v>699</v>
      </c>
      <c r="AV256" s="249">
        <v>3500</v>
      </c>
      <c r="AW256" s="250">
        <v>3900</v>
      </c>
      <c r="AX256" s="267">
        <v>2400</v>
      </c>
      <c r="AY256" s="252">
        <v>2400</v>
      </c>
      <c r="BA256" s="235" t="s">
        <v>671</v>
      </c>
      <c r="BC256" s="1557"/>
      <c r="BE256" s="187"/>
      <c r="BF256" s="176"/>
      <c r="BG256" s="176"/>
      <c r="BH256" s="177"/>
      <c r="BJ256" s="253"/>
      <c r="BL256" s="193"/>
      <c r="BM256" s="194"/>
      <c r="BN256" s="194"/>
      <c r="BO256" s="195"/>
      <c r="BQ256" s="187">
        <v>1410</v>
      </c>
      <c r="BR256" s="185" t="s">
        <v>189</v>
      </c>
      <c r="BS256" s="185">
        <v>10</v>
      </c>
      <c r="BT256" s="254" t="s">
        <v>184</v>
      </c>
      <c r="BV256" s="187">
        <v>4940</v>
      </c>
      <c r="BW256" s="185" t="s">
        <v>189</v>
      </c>
      <c r="BX256" s="185">
        <v>40</v>
      </c>
      <c r="BY256" s="185" t="s">
        <v>184</v>
      </c>
      <c r="BZ256" s="254" t="s">
        <v>190</v>
      </c>
      <c r="CB256" s="187">
        <v>3150</v>
      </c>
      <c r="CC256" s="185" t="s">
        <v>189</v>
      </c>
      <c r="CD256" s="185">
        <v>30</v>
      </c>
      <c r="CE256" s="185" t="s">
        <v>184</v>
      </c>
      <c r="CF256" s="254" t="s">
        <v>190</v>
      </c>
      <c r="CH256" s="253"/>
    </row>
    <row r="257" spans="1:86">
      <c r="A257" s="1563"/>
      <c r="B257" s="168"/>
      <c r="C257" s="241" t="s">
        <v>319</v>
      </c>
      <c r="D257" s="177" t="s">
        <v>320</v>
      </c>
      <c r="F257" s="242">
        <v>113110</v>
      </c>
      <c r="G257" s="243">
        <v>187270</v>
      </c>
      <c r="H257" s="242">
        <v>107550</v>
      </c>
      <c r="I257" s="243">
        <v>181710</v>
      </c>
      <c r="J257" s="179" t="s">
        <v>182</v>
      </c>
      <c r="K257" s="244">
        <v>1010</v>
      </c>
      <c r="L257" s="245">
        <v>1750</v>
      </c>
      <c r="M257" s="246" t="s">
        <v>795</v>
      </c>
      <c r="N257" s="244">
        <v>960</v>
      </c>
      <c r="O257" s="245">
        <v>1700</v>
      </c>
      <c r="P257" s="246" t="s">
        <v>795</v>
      </c>
      <c r="R257" s="182"/>
      <c r="S257" s="176"/>
      <c r="T257" s="177"/>
      <c r="V257" s="187"/>
      <c r="W257" s="185">
        <v>447500</v>
      </c>
      <c r="X257" s="176"/>
      <c r="Y257" s="185">
        <v>4470</v>
      </c>
      <c r="Z257" s="176" t="s">
        <v>184</v>
      </c>
      <c r="AA257" s="176"/>
      <c r="AB257" s="177" t="s">
        <v>334</v>
      </c>
      <c r="AC257" s="160" t="s">
        <v>182</v>
      </c>
      <c r="AD257" s="1548">
        <v>10440</v>
      </c>
      <c r="AE257" s="255"/>
      <c r="AF257" s="176"/>
      <c r="AG257" s="176">
        <v>0</v>
      </c>
      <c r="AH257" s="177"/>
      <c r="AJ257" s="187">
        <v>3810</v>
      </c>
      <c r="AK257" s="185" t="s">
        <v>321</v>
      </c>
      <c r="AL257" s="176"/>
      <c r="AM257" s="176"/>
      <c r="AN257" s="177"/>
      <c r="AP257" s="1551"/>
      <c r="AQ257" s="1554"/>
      <c r="AR257" s="1551"/>
      <c r="AS257" s="1554"/>
      <c r="AT257" s="1544"/>
      <c r="AU257" s="172" t="s">
        <v>700</v>
      </c>
      <c r="AV257" s="249">
        <v>3000</v>
      </c>
      <c r="AW257" s="250">
        <v>3400</v>
      </c>
      <c r="AX257" s="267">
        <v>2100</v>
      </c>
      <c r="AY257" s="252">
        <v>2100</v>
      </c>
      <c r="BA257" s="235">
        <v>4660</v>
      </c>
      <c r="BC257" s="358"/>
      <c r="BE257" s="187"/>
      <c r="BF257" s="176"/>
      <c r="BG257" s="176"/>
      <c r="BH257" s="177"/>
      <c r="BJ257" s="253" t="s">
        <v>335</v>
      </c>
      <c r="BL257" s="193">
        <v>0.01</v>
      </c>
      <c r="BM257" s="194">
        <v>0.03</v>
      </c>
      <c r="BN257" s="194">
        <v>0.04</v>
      </c>
      <c r="BO257" s="195">
        <v>0.06</v>
      </c>
      <c r="BQ257" s="187"/>
      <c r="BR257" s="185"/>
      <c r="BS257" s="185"/>
      <c r="BT257" s="254"/>
      <c r="BV257" s="187"/>
      <c r="BW257" s="185"/>
      <c r="BX257" s="185"/>
      <c r="BY257" s="185"/>
      <c r="BZ257" s="254"/>
      <c r="CB257" s="187"/>
      <c r="CC257" s="185"/>
      <c r="CD257" s="185"/>
      <c r="CE257" s="185"/>
      <c r="CF257" s="254"/>
      <c r="CH257" s="253">
        <v>0.91</v>
      </c>
    </row>
    <row r="258" spans="1:86">
      <c r="A258" s="1563"/>
      <c r="B258" s="168"/>
      <c r="C258" s="241"/>
      <c r="D258" s="177" t="s">
        <v>322</v>
      </c>
      <c r="F258" s="256">
        <v>187270</v>
      </c>
      <c r="G258" s="257"/>
      <c r="H258" s="256">
        <v>181710</v>
      </c>
      <c r="I258" s="257"/>
      <c r="J258" s="179" t="s">
        <v>182</v>
      </c>
      <c r="K258" s="258">
        <v>1750</v>
      </c>
      <c r="L258" s="259"/>
      <c r="M258" s="260" t="s">
        <v>795</v>
      </c>
      <c r="N258" s="258">
        <v>1700</v>
      </c>
      <c r="O258" s="259"/>
      <c r="P258" s="260" t="s">
        <v>795</v>
      </c>
      <c r="R258" s="182"/>
      <c r="S258" s="176"/>
      <c r="T258" s="177"/>
      <c r="V258" s="187"/>
      <c r="W258" s="185"/>
      <c r="X258" s="176"/>
      <c r="Y258" s="185"/>
      <c r="Z258" s="176"/>
      <c r="AA258" s="176"/>
      <c r="AB258" s="177"/>
      <c r="AD258" s="1549"/>
      <c r="AE258" s="261"/>
      <c r="AF258" s="271"/>
      <c r="AG258" s="271"/>
      <c r="AH258" s="184"/>
      <c r="AJ258" s="187"/>
      <c r="AK258" s="185"/>
      <c r="AL258" s="176"/>
      <c r="AM258" s="176"/>
      <c r="AN258" s="177"/>
      <c r="AP258" s="1552"/>
      <c r="AQ258" s="1555"/>
      <c r="AR258" s="1552"/>
      <c r="AS258" s="1555"/>
      <c r="AT258" s="1544"/>
      <c r="AU258" s="262" t="s">
        <v>701</v>
      </c>
      <c r="AV258" s="263">
        <v>2700</v>
      </c>
      <c r="AW258" s="264">
        <v>3000</v>
      </c>
      <c r="AX258" s="265">
        <v>1900</v>
      </c>
      <c r="AY258" s="266">
        <v>1900</v>
      </c>
      <c r="BA258" s="277"/>
      <c r="BC258" s="359"/>
      <c r="BE258" s="187"/>
      <c r="BF258" s="176"/>
      <c r="BG258" s="176"/>
      <c r="BH258" s="177"/>
      <c r="BJ258" s="253"/>
      <c r="BL258" s="193"/>
      <c r="BM258" s="194"/>
      <c r="BN258" s="194"/>
      <c r="BO258" s="195"/>
      <c r="BQ258" s="187"/>
      <c r="BR258" s="185"/>
      <c r="BS258" s="185"/>
      <c r="BT258" s="254"/>
      <c r="BV258" s="187"/>
      <c r="BW258" s="185"/>
      <c r="BX258" s="185"/>
      <c r="BY258" s="185"/>
      <c r="BZ258" s="254"/>
      <c r="CB258" s="187"/>
      <c r="CC258" s="185"/>
      <c r="CD258" s="185"/>
      <c r="CE258" s="185"/>
      <c r="CF258" s="254"/>
      <c r="CH258" s="253"/>
    </row>
    <row r="259" spans="1:86" ht="63">
      <c r="A259" s="1563"/>
      <c r="B259" s="215" t="s">
        <v>336</v>
      </c>
      <c r="C259" s="216" t="s">
        <v>313</v>
      </c>
      <c r="D259" s="217" t="s">
        <v>314</v>
      </c>
      <c r="F259" s="218">
        <v>39440</v>
      </c>
      <c r="G259" s="219">
        <v>46850</v>
      </c>
      <c r="H259" s="218">
        <v>34430</v>
      </c>
      <c r="I259" s="219">
        <v>41840</v>
      </c>
      <c r="J259" s="179" t="s">
        <v>182</v>
      </c>
      <c r="K259" s="220">
        <v>370</v>
      </c>
      <c r="L259" s="221">
        <v>440</v>
      </c>
      <c r="M259" s="222" t="s">
        <v>795</v>
      </c>
      <c r="N259" s="220">
        <v>320</v>
      </c>
      <c r="O259" s="221">
        <v>390</v>
      </c>
      <c r="P259" s="222" t="s">
        <v>795</v>
      </c>
      <c r="Q259" s="160" t="s">
        <v>182</v>
      </c>
      <c r="R259" s="223">
        <v>7410</v>
      </c>
      <c r="S259" s="224">
        <v>70</v>
      </c>
      <c r="T259" s="225" t="s">
        <v>184</v>
      </c>
      <c r="V259" s="280"/>
      <c r="W259" s="279" t="s">
        <v>710</v>
      </c>
      <c r="X259" s="176"/>
      <c r="Y259" s="279" t="s">
        <v>710</v>
      </c>
      <c r="Z259" s="279"/>
      <c r="AA259" s="176"/>
      <c r="AB259" s="177"/>
      <c r="AD259" s="281"/>
      <c r="AE259" s="281"/>
      <c r="AF259" s="176"/>
      <c r="AG259" s="176"/>
      <c r="AH259" s="177"/>
      <c r="AJ259" s="187" t="s">
        <v>211</v>
      </c>
      <c r="AK259" s="185"/>
      <c r="AL259" s="176" t="s">
        <v>182</v>
      </c>
      <c r="AM259" s="176">
        <v>30</v>
      </c>
      <c r="AN259" s="177" t="s">
        <v>316</v>
      </c>
      <c r="AO259" s="160" t="s">
        <v>182</v>
      </c>
      <c r="AP259" s="1550">
        <v>2800</v>
      </c>
      <c r="AQ259" s="1553">
        <v>3100</v>
      </c>
      <c r="AR259" s="1550">
        <v>2000</v>
      </c>
      <c r="AS259" s="1553">
        <v>2000</v>
      </c>
      <c r="AT259" s="1544" t="s">
        <v>664</v>
      </c>
      <c r="AU259" s="230" t="s">
        <v>697</v>
      </c>
      <c r="AV259" s="231">
        <v>5500</v>
      </c>
      <c r="AW259" s="232">
        <v>6200</v>
      </c>
      <c r="AX259" s="267">
        <v>3900</v>
      </c>
      <c r="AY259" s="252">
        <v>3900</v>
      </c>
      <c r="BA259" s="235" t="s">
        <v>672</v>
      </c>
      <c r="BB259" s="160" t="s">
        <v>182</v>
      </c>
      <c r="BC259" s="1556">
        <v>4700</v>
      </c>
      <c r="BD259" s="160" t="s">
        <v>182</v>
      </c>
      <c r="BE259" s="228">
        <v>2160</v>
      </c>
      <c r="BF259" s="226" t="s">
        <v>182</v>
      </c>
      <c r="BG259" s="226">
        <v>20</v>
      </c>
      <c r="BH259" s="217" t="s">
        <v>184</v>
      </c>
      <c r="BJ259" s="253">
        <v>0.1</v>
      </c>
      <c r="BK259" s="160" t="s">
        <v>188</v>
      </c>
      <c r="BL259" s="237" t="s">
        <v>317</v>
      </c>
      <c r="BM259" s="238" t="s">
        <v>317</v>
      </c>
      <c r="BN259" s="238" t="s">
        <v>317</v>
      </c>
      <c r="BO259" s="239" t="s">
        <v>317</v>
      </c>
      <c r="BP259" s="160" t="s">
        <v>188</v>
      </c>
      <c r="BQ259" s="228"/>
      <c r="BR259" s="229"/>
      <c r="BS259" s="229"/>
      <c r="BT259" s="240"/>
      <c r="BU259" s="160" t="s">
        <v>188</v>
      </c>
      <c r="BV259" s="228"/>
      <c r="BW259" s="229"/>
      <c r="BX259" s="229"/>
      <c r="BY259" s="229"/>
      <c r="BZ259" s="240"/>
      <c r="CA259" s="160" t="s">
        <v>188</v>
      </c>
      <c r="CB259" s="228"/>
      <c r="CC259" s="229"/>
      <c r="CD259" s="229"/>
      <c r="CE259" s="229"/>
      <c r="CF259" s="240"/>
      <c r="CH259" s="236" t="s">
        <v>324</v>
      </c>
    </row>
    <row r="260" spans="1:86">
      <c r="A260" s="1563"/>
      <c r="B260" s="168"/>
      <c r="C260" s="241"/>
      <c r="D260" s="177" t="s">
        <v>318</v>
      </c>
      <c r="F260" s="242">
        <v>46850</v>
      </c>
      <c r="G260" s="243">
        <v>107030</v>
      </c>
      <c r="H260" s="242">
        <v>41840</v>
      </c>
      <c r="I260" s="243">
        <v>102020</v>
      </c>
      <c r="J260" s="179" t="s">
        <v>182</v>
      </c>
      <c r="K260" s="244">
        <v>440</v>
      </c>
      <c r="L260" s="245">
        <v>950</v>
      </c>
      <c r="M260" s="246" t="s">
        <v>795</v>
      </c>
      <c r="N260" s="244">
        <v>390</v>
      </c>
      <c r="O260" s="245">
        <v>900</v>
      </c>
      <c r="P260" s="246" t="s">
        <v>795</v>
      </c>
      <c r="Q260" s="160" t="s">
        <v>182</v>
      </c>
      <c r="R260" s="187">
        <v>7410</v>
      </c>
      <c r="S260" s="185">
        <v>70</v>
      </c>
      <c r="T260" s="247" t="s">
        <v>184</v>
      </c>
      <c r="V260" s="187"/>
      <c r="W260" s="185">
        <v>483000</v>
      </c>
      <c r="X260" s="176"/>
      <c r="Y260" s="185">
        <v>4830</v>
      </c>
      <c r="Z260" s="176" t="s">
        <v>184</v>
      </c>
      <c r="AA260" s="176"/>
      <c r="AB260" s="177"/>
      <c r="AD260" s="281"/>
      <c r="AE260" s="281"/>
      <c r="AF260" s="176"/>
      <c r="AG260" s="176"/>
      <c r="AH260" s="177"/>
      <c r="AJ260" s="187"/>
      <c r="AK260" s="185"/>
      <c r="AL260" s="176"/>
      <c r="AM260" s="176"/>
      <c r="AN260" s="177"/>
      <c r="AP260" s="1551"/>
      <c r="AQ260" s="1554"/>
      <c r="AR260" s="1551"/>
      <c r="AS260" s="1554"/>
      <c r="AT260" s="1544"/>
      <c r="AU260" s="172" t="s">
        <v>699</v>
      </c>
      <c r="AV260" s="249">
        <v>3000</v>
      </c>
      <c r="AW260" s="250">
        <v>3400</v>
      </c>
      <c r="AX260" s="267">
        <v>2100</v>
      </c>
      <c r="AY260" s="252">
        <v>2100</v>
      </c>
      <c r="BA260" s="235">
        <v>4250</v>
      </c>
      <c r="BC260" s="1557"/>
      <c r="BE260" s="187"/>
      <c r="BF260" s="176"/>
      <c r="BG260" s="176"/>
      <c r="BH260" s="177"/>
      <c r="BJ260" s="253"/>
      <c r="BL260" s="193"/>
      <c r="BM260" s="194"/>
      <c r="BN260" s="194"/>
      <c r="BO260" s="195"/>
      <c r="BQ260" s="187">
        <v>1270</v>
      </c>
      <c r="BR260" s="185" t="s">
        <v>189</v>
      </c>
      <c r="BS260" s="185">
        <v>10</v>
      </c>
      <c r="BT260" s="254" t="s">
        <v>184</v>
      </c>
      <c r="BV260" s="187">
        <v>4450</v>
      </c>
      <c r="BW260" s="185" t="s">
        <v>189</v>
      </c>
      <c r="BX260" s="185">
        <v>40</v>
      </c>
      <c r="BY260" s="185" t="s">
        <v>184</v>
      </c>
      <c r="BZ260" s="254" t="s">
        <v>190</v>
      </c>
      <c r="CB260" s="187">
        <v>2830</v>
      </c>
      <c r="CC260" s="185" t="s">
        <v>189</v>
      </c>
      <c r="CD260" s="185">
        <v>20</v>
      </c>
      <c r="CE260" s="185" t="s">
        <v>184</v>
      </c>
      <c r="CF260" s="254" t="s">
        <v>190</v>
      </c>
      <c r="CH260" s="253"/>
    </row>
    <row r="261" spans="1:86">
      <c r="A261" s="1563"/>
      <c r="B261" s="168"/>
      <c r="C261" s="241" t="s">
        <v>319</v>
      </c>
      <c r="D261" s="177" t="s">
        <v>320</v>
      </c>
      <c r="F261" s="242">
        <v>107030</v>
      </c>
      <c r="G261" s="243">
        <v>181190</v>
      </c>
      <c r="H261" s="242">
        <v>102020</v>
      </c>
      <c r="I261" s="243">
        <v>176180</v>
      </c>
      <c r="J261" s="179" t="s">
        <v>182</v>
      </c>
      <c r="K261" s="244">
        <v>950</v>
      </c>
      <c r="L261" s="245">
        <v>1690</v>
      </c>
      <c r="M261" s="246" t="s">
        <v>795</v>
      </c>
      <c r="N261" s="244">
        <v>900</v>
      </c>
      <c r="O261" s="245">
        <v>1640</v>
      </c>
      <c r="P261" s="246" t="s">
        <v>795</v>
      </c>
      <c r="R261" s="182"/>
      <c r="S261" s="176"/>
      <c r="T261" s="177"/>
      <c r="V261" s="187"/>
      <c r="W261" s="185"/>
      <c r="X261" s="176"/>
      <c r="Y261" s="185"/>
      <c r="Z261" s="176"/>
      <c r="AA261" s="176"/>
      <c r="AB261" s="177"/>
      <c r="AD261" s="281"/>
      <c r="AE261" s="281"/>
      <c r="AF261" s="176"/>
      <c r="AG261" s="176"/>
      <c r="AH261" s="177"/>
      <c r="AJ261" s="187">
        <v>3390</v>
      </c>
      <c r="AK261" s="185" t="s">
        <v>321</v>
      </c>
      <c r="AL261" s="176"/>
      <c r="AM261" s="176"/>
      <c r="AN261" s="177"/>
      <c r="AP261" s="1551"/>
      <c r="AQ261" s="1554"/>
      <c r="AR261" s="1551"/>
      <c r="AS261" s="1554"/>
      <c r="AT261" s="1544"/>
      <c r="AU261" s="172" t="s">
        <v>700</v>
      </c>
      <c r="AV261" s="249">
        <v>2600</v>
      </c>
      <c r="AW261" s="250">
        <v>2900</v>
      </c>
      <c r="AX261" s="267">
        <v>1800</v>
      </c>
      <c r="AY261" s="252">
        <v>1800</v>
      </c>
      <c r="BA261" s="277"/>
      <c r="BC261" s="359"/>
      <c r="BE261" s="187"/>
      <c r="BF261" s="176"/>
      <c r="BG261" s="176"/>
      <c r="BH261" s="177"/>
      <c r="BJ261" s="253"/>
      <c r="BL261" s="193">
        <v>0.02</v>
      </c>
      <c r="BM261" s="194">
        <v>0.03</v>
      </c>
      <c r="BN261" s="194">
        <v>0.05</v>
      </c>
      <c r="BO261" s="195">
        <v>0.06</v>
      </c>
      <c r="BQ261" s="187"/>
      <c r="BR261" s="185"/>
      <c r="BS261" s="185"/>
      <c r="BT261" s="254"/>
      <c r="BV261" s="187"/>
      <c r="BW261" s="185"/>
      <c r="BX261" s="185"/>
      <c r="BY261" s="185"/>
      <c r="BZ261" s="254"/>
      <c r="CB261" s="187"/>
      <c r="CC261" s="185"/>
      <c r="CD261" s="185"/>
      <c r="CE261" s="185"/>
      <c r="CF261" s="254"/>
      <c r="CH261" s="253">
        <v>0.96</v>
      </c>
    </row>
    <row r="262" spans="1:86">
      <c r="A262" s="1563"/>
      <c r="B262" s="269"/>
      <c r="C262" s="270"/>
      <c r="D262" s="184" t="s">
        <v>322</v>
      </c>
      <c r="F262" s="256">
        <v>181190</v>
      </c>
      <c r="G262" s="257"/>
      <c r="H262" s="256">
        <v>176180</v>
      </c>
      <c r="I262" s="257"/>
      <c r="J262" s="179" t="s">
        <v>182</v>
      </c>
      <c r="K262" s="258">
        <v>1690</v>
      </c>
      <c r="L262" s="259"/>
      <c r="M262" s="260" t="s">
        <v>795</v>
      </c>
      <c r="N262" s="258">
        <v>1640</v>
      </c>
      <c r="O262" s="259"/>
      <c r="P262" s="260" t="s">
        <v>795</v>
      </c>
      <c r="R262" s="183"/>
      <c r="S262" s="271"/>
      <c r="T262" s="184"/>
      <c r="V262" s="280"/>
      <c r="W262" s="279" t="s">
        <v>711</v>
      </c>
      <c r="X262" s="176"/>
      <c r="Y262" s="279" t="s">
        <v>711</v>
      </c>
      <c r="Z262" s="279"/>
      <c r="AA262" s="176"/>
      <c r="AB262" s="177"/>
      <c r="AD262" s="281"/>
      <c r="AE262" s="281"/>
      <c r="AF262" s="176"/>
      <c r="AG262" s="176"/>
      <c r="AH262" s="177"/>
      <c r="AJ262" s="187"/>
      <c r="AK262" s="185"/>
      <c r="AL262" s="176"/>
      <c r="AM262" s="176"/>
      <c r="AN262" s="177"/>
      <c r="AP262" s="1552"/>
      <c r="AQ262" s="1555"/>
      <c r="AR262" s="1552"/>
      <c r="AS262" s="1555"/>
      <c r="AT262" s="1544"/>
      <c r="AU262" s="262" t="s">
        <v>701</v>
      </c>
      <c r="AV262" s="263">
        <v>2400</v>
      </c>
      <c r="AW262" s="264">
        <v>2600</v>
      </c>
      <c r="AX262" s="265">
        <v>1600</v>
      </c>
      <c r="AY262" s="266">
        <v>1600</v>
      </c>
      <c r="BA262" s="235" t="s">
        <v>673</v>
      </c>
      <c r="BC262" s="359"/>
      <c r="BE262" s="186"/>
      <c r="BF262" s="271"/>
      <c r="BG262" s="271"/>
      <c r="BH262" s="184"/>
      <c r="BJ262" s="253"/>
      <c r="BL262" s="272"/>
      <c r="BM262" s="273"/>
      <c r="BN262" s="273"/>
      <c r="BO262" s="274"/>
      <c r="BQ262" s="186"/>
      <c r="BR262" s="196"/>
      <c r="BS262" s="196"/>
      <c r="BT262" s="197"/>
      <c r="BV262" s="186"/>
      <c r="BW262" s="196"/>
      <c r="BX262" s="196"/>
      <c r="BY262" s="196"/>
      <c r="BZ262" s="197"/>
      <c r="CB262" s="186"/>
      <c r="CC262" s="196"/>
      <c r="CD262" s="196"/>
      <c r="CE262" s="196"/>
      <c r="CF262" s="197"/>
      <c r="CH262" s="198"/>
    </row>
    <row r="263" spans="1:86" ht="63">
      <c r="A263" s="1563"/>
      <c r="B263" s="168" t="s">
        <v>337</v>
      </c>
      <c r="C263" s="241" t="s">
        <v>313</v>
      </c>
      <c r="D263" s="177" t="s">
        <v>314</v>
      </c>
      <c r="F263" s="218">
        <v>37470</v>
      </c>
      <c r="G263" s="219">
        <v>44880</v>
      </c>
      <c r="H263" s="218">
        <v>32920</v>
      </c>
      <c r="I263" s="219">
        <v>40330</v>
      </c>
      <c r="J263" s="179" t="s">
        <v>182</v>
      </c>
      <c r="K263" s="220">
        <v>350</v>
      </c>
      <c r="L263" s="221">
        <v>420</v>
      </c>
      <c r="M263" s="222" t="s">
        <v>795</v>
      </c>
      <c r="N263" s="220">
        <v>310</v>
      </c>
      <c r="O263" s="221">
        <v>380</v>
      </c>
      <c r="P263" s="222" t="s">
        <v>795</v>
      </c>
      <c r="Q263" s="160" t="s">
        <v>182</v>
      </c>
      <c r="R263" s="275">
        <v>7410</v>
      </c>
      <c r="S263" s="276">
        <v>70</v>
      </c>
      <c r="T263" s="247" t="s">
        <v>184</v>
      </c>
      <c r="V263" s="187"/>
      <c r="W263" s="185">
        <v>518600</v>
      </c>
      <c r="X263" s="176"/>
      <c r="Y263" s="185">
        <v>5180</v>
      </c>
      <c r="Z263" s="176" t="s">
        <v>184</v>
      </c>
      <c r="AA263" s="176"/>
      <c r="AB263" s="177"/>
      <c r="AD263" s="281"/>
      <c r="AE263" s="281"/>
      <c r="AF263" s="176"/>
      <c r="AG263" s="176"/>
      <c r="AH263" s="177"/>
      <c r="AJ263" s="187" t="s">
        <v>213</v>
      </c>
      <c r="AK263" s="185"/>
      <c r="AL263" s="176" t="s">
        <v>182</v>
      </c>
      <c r="AM263" s="176">
        <v>30</v>
      </c>
      <c r="AN263" s="177" t="s">
        <v>316</v>
      </c>
      <c r="AO263" s="160" t="s">
        <v>182</v>
      </c>
      <c r="AP263" s="1550">
        <v>3100</v>
      </c>
      <c r="AQ263" s="1553">
        <v>3400</v>
      </c>
      <c r="AR263" s="1550">
        <v>2100</v>
      </c>
      <c r="AS263" s="1553">
        <v>2100</v>
      </c>
      <c r="AT263" s="1544" t="s">
        <v>664</v>
      </c>
      <c r="AU263" s="230" t="s">
        <v>697</v>
      </c>
      <c r="AV263" s="231">
        <v>6100</v>
      </c>
      <c r="AW263" s="232">
        <v>6800</v>
      </c>
      <c r="AX263" s="267">
        <v>4200</v>
      </c>
      <c r="AY263" s="252">
        <v>4200</v>
      </c>
      <c r="BA263" s="235">
        <v>3920</v>
      </c>
      <c r="BB263" s="160" t="s">
        <v>182</v>
      </c>
      <c r="BC263" s="1556">
        <v>4700</v>
      </c>
      <c r="BD263" s="160" t="s">
        <v>182</v>
      </c>
      <c r="BE263" s="187">
        <v>1970</v>
      </c>
      <c r="BF263" s="176" t="s">
        <v>182</v>
      </c>
      <c r="BG263" s="176">
        <v>10</v>
      </c>
      <c r="BH263" s="177" t="s">
        <v>184</v>
      </c>
      <c r="BJ263" s="253"/>
      <c r="BK263" s="160" t="s">
        <v>188</v>
      </c>
      <c r="BL263" s="193" t="s">
        <v>317</v>
      </c>
      <c r="BM263" s="194" t="s">
        <v>317</v>
      </c>
      <c r="BN263" s="194" t="s">
        <v>317</v>
      </c>
      <c r="BO263" s="195" t="s">
        <v>317</v>
      </c>
      <c r="BP263" s="160" t="s">
        <v>188</v>
      </c>
      <c r="BQ263" s="187"/>
      <c r="BR263" s="185"/>
      <c r="BS263" s="185"/>
      <c r="BT263" s="254"/>
      <c r="BU263" s="160" t="s">
        <v>188</v>
      </c>
      <c r="BV263" s="187"/>
      <c r="BW263" s="185"/>
      <c r="BX263" s="185"/>
      <c r="BY263" s="185"/>
      <c r="BZ263" s="254"/>
      <c r="CA263" s="160" t="s">
        <v>188</v>
      </c>
      <c r="CB263" s="187"/>
      <c r="CC263" s="185"/>
      <c r="CD263" s="185"/>
      <c r="CE263" s="185"/>
      <c r="CF263" s="254"/>
      <c r="CH263" s="253" t="s">
        <v>324</v>
      </c>
    </row>
    <row r="264" spans="1:86">
      <c r="A264" s="1563"/>
      <c r="B264" s="168"/>
      <c r="C264" s="241"/>
      <c r="D264" s="177" t="s">
        <v>318</v>
      </c>
      <c r="F264" s="242">
        <v>44880</v>
      </c>
      <c r="G264" s="243">
        <v>105060</v>
      </c>
      <c r="H264" s="242">
        <v>40330</v>
      </c>
      <c r="I264" s="243">
        <v>100510</v>
      </c>
      <c r="J264" s="179" t="s">
        <v>182</v>
      </c>
      <c r="K264" s="244">
        <v>420</v>
      </c>
      <c r="L264" s="245">
        <v>930</v>
      </c>
      <c r="M264" s="246" t="s">
        <v>795</v>
      </c>
      <c r="N264" s="244">
        <v>380</v>
      </c>
      <c r="O264" s="245">
        <v>890</v>
      </c>
      <c r="P264" s="246" t="s">
        <v>795</v>
      </c>
      <c r="Q264" s="160" t="s">
        <v>182</v>
      </c>
      <c r="R264" s="187">
        <v>7410</v>
      </c>
      <c r="S264" s="185">
        <v>70</v>
      </c>
      <c r="T264" s="247" t="s">
        <v>184</v>
      </c>
      <c r="V264" s="187"/>
      <c r="W264" s="185"/>
      <c r="X264" s="176"/>
      <c r="Y264" s="185"/>
      <c r="Z264" s="176"/>
      <c r="AA264" s="176"/>
      <c r="AB264" s="177"/>
      <c r="AD264" s="281"/>
      <c r="AE264" s="281"/>
      <c r="AF264" s="176"/>
      <c r="AG264" s="176"/>
      <c r="AH264" s="177"/>
      <c r="AJ264" s="187"/>
      <c r="AK264" s="185"/>
      <c r="AL264" s="176"/>
      <c r="AM264" s="176"/>
      <c r="AN264" s="177"/>
      <c r="AP264" s="1551"/>
      <c r="AQ264" s="1554"/>
      <c r="AR264" s="1551"/>
      <c r="AS264" s="1554"/>
      <c r="AT264" s="1544"/>
      <c r="AU264" s="172" t="s">
        <v>699</v>
      </c>
      <c r="AV264" s="249">
        <v>3300</v>
      </c>
      <c r="AW264" s="250">
        <v>3700</v>
      </c>
      <c r="AX264" s="267">
        <v>2300</v>
      </c>
      <c r="AY264" s="252">
        <v>2300</v>
      </c>
      <c r="BA264" s="277"/>
      <c r="BC264" s="1557"/>
      <c r="BE264" s="187"/>
      <c r="BF264" s="176"/>
      <c r="BG264" s="176"/>
      <c r="BH264" s="177"/>
      <c r="BJ264" s="253"/>
      <c r="BL264" s="193"/>
      <c r="BM264" s="194"/>
      <c r="BN264" s="194"/>
      <c r="BO264" s="195"/>
      <c r="BQ264" s="187">
        <v>1150</v>
      </c>
      <c r="BR264" s="185" t="s">
        <v>189</v>
      </c>
      <c r="BS264" s="185">
        <v>10</v>
      </c>
      <c r="BT264" s="254" t="s">
        <v>184</v>
      </c>
      <c r="BV264" s="187">
        <v>4040</v>
      </c>
      <c r="BW264" s="185" t="s">
        <v>189</v>
      </c>
      <c r="BX264" s="185">
        <v>40</v>
      </c>
      <c r="BY264" s="185" t="s">
        <v>184</v>
      </c>
      <c r="BZ264" s="254" t="s">
        <v>190</v>
      </c>
      <c r="CB264" s="187">
        <v>2570</v>
      </c>
      <c r="CC264" s="185" t="s">
        <v>189</v>
      </c>
      <c r="CD264" s="185">
        <v>20</v>
      </c>
      <c r="CE264" s="185" t="s">
        <v>184</v>
      </c>
      <c r="CF264" s="254" t="s">
        <v>190</v>
      </c>
      <c r="CH264" s="253"/>
    </row>
    <row r="265" spans="1:86">
      <c r="A265" s="1563"/>
      <c r="B265" s="168"/>
      <c r="C265" s="241" t="s">
        <v>319</v>
      </c>
      <c r="D265" s="177" t="s">
        <v>320</v>
      </c>
      <c r="F265" s="242">
        <v>105060</v>
      </c>
      <c r="G265" s="243">
        <v>179220</v>
      </c>
      <c r="H265" s="242">
        <v>100510</v>
      </c>
      <c r="I265" s="243">
        <v>174670</v>
      </c>
      <c r="J265" s="179" t="s">
        <v>182</v>
      </c>
      <c r="K265" s="244">
        <v>930</v>
      </c>
      <c r="L265" s="245">
        <v>1670</v>
      </c>
      <c r="M265" s="246" t="s">
        <v>795</v>
      </c>
      <c r="N265" s="244">
        <v>890</v>
      </c>
      <c r="O265" s="245">
        <v>1630</v>
      </c>
      <c r="P265" s="246" t="s">
        <v>795</v>
      </c>
      <c r="R265" s="182"/>
      <c r="S265" s="176"/>
      <c r="T265" s="177"/>
      <c r="V265" s="280"/>
      <c r="W265" s="279" t="s">
        <v>712</v>
      </c>
      <c r="X265" s="176"/>
      <c r="Y265" s="279" t="s">
        <v>712</v>
      </c>
      <c r="Z265" s="279"/>
      <c r="AA265" s="176"/>
      <c r="AB265" s="177"/>
      <c r="AD265" s="281"/>
      <c r="AE265" s="281"/>
      <c r="AF265" s="176"/>
      <c r="AG265" s="176"/>
      <c r="AH265" s="177"/>
      <c r="AJ265" s="187">
        <v>3050</v>
      </c>
      <c r="AK265" s="185" t="s">
        <v>321</v>
      </c>
      <c r="AL265" s="176"/>
      <c r="AM265" s="176"/>
      <c r="AN265" s="177"/>
      <c r="AP265" s="1551"/>
      <c r="AQ265" s="1554"/>
      <c r="AR265" s="1551"/>
      <c r="AS265" s="1554"/>
      <c r="AT265" s="1544"/>
      <c r="AU265" s="172" t="s">
        <v>700</v>
      </c>
      <c r="AV265" s="249">
        <v>2900</v>
      </c>
      <c r="AW265" s="250">
        <v>3200</v>
      </c>
      <c r="AX265" s="267">
        <v>2000</v>
      </c>
      <c r="AY265" s="252">
        <v>2000</v>
      </c>
      <c r="BA265" s="235" t="s">
        <v>674</v>
      </c>
      <c r="BC265" s="359"/>
      <c r="BE265" s="187"/>
      <c r="BF265" s="176"/>
      <c r="BG265" s="176"/>
      <c r="BH265" s="177"/>
      <c r="BJ265" s="253"/>
      <c r="BL265" s="193">
        <v>0.02</v>
      </c>
      <c r="BM265" s="194">
        <v>0.03</v>
      </c>
      <c r="BN265" s="194">
        <v>0.05</v>
      </c>
      <c r="BO265" s="195">
        <v>0.06</v>
      </c>
      <c r="BQ265" s="187"/>
      <c r="BR265" s="185"/>
      <c r="BS265" s="185"/>
      <c r="BT265" s="254"/>
      <c r="BV265" s="187"/>
      <c r="BW265" s="185"/>
      <c r="BX265" s="185"/>
      <c r="BY265" s="185"/>
      <c r="BZ265" s="254"/>
      <c r="CB265" s="187"/>
      <c r="CC265" s="185"/>
      <c r="CD265" s="185"/>
      <c r="CE265" s="185"/>
      <c r="CF265" s="254"/>
      <c r="CH265" s="253">
        <v>0.95</v>
      </c>
    </row>
    <row r="266" spans="1:86">
      <c r="A266" s="1563"/>
      <c r="B266" s="168"/>
      <c r="C266" s="241"/>
      <c r="D266" s="177" t="s">
        <v>322</v>
      </c>
      <c r="F266" s="256">
        <v>179220</v>
      </c>
      <c r="G266" s="257"/>
      <c r="H266" s="256">
        <v>174670</v>
      </c>
      <c r="I266" s="257"/>
      <c r="J266" s="179" t="s">
        <v>182</v>
      </c>
      <c r="K266" s="258">
        <v>1670</v>
      </c>
      <c r="L266" s="259"/>
      <c r="M266" s="260" t="s">
        <v>795</v>
      </c>
      <c r="N266" s="258">
        <v>1630</v>
      </c>
      <c r="O266" s="259"/>
      <c r="P266" s="260" t="s">
        <v>795</v>
      </c>
      <c r="R266" s="182"/>
      <c r="S266" s="176"/>
      <c r="T266" s="177"/>
      <c r="V266" s="187"/>
      <c r="W266" s="185">
        <v>554200</v>
      </c>
      <c r="X266" s="176"/>
      <c r="Y266" s="185">
        <v>5540</v>
      </c>
      <c r="Z266" s="176" t="s">
        <v>184</v>
      </c>
      <c r="AA266" s="176"/>
      <c r="AB266" s="177"/>
      <c r="AD266" s="281"/>
      <c r="AE266" s="281"/>
      <c r="AF266" s="176"/>
      <c r="AG266" s="176"/>
      <c r="AH266" s="177"/>
      <c r="AJ266" s="187"/>
      <c r="AK266" s="185"/>
      <c r="AL266" s="176"/>
      <c r="AM266" s="176"/>
      <c r="AN266" s="177"/>
      <c r="AP266" s="1552"/>
      <c r="AQ266" s="1555"/>
      <c r="AR266" s="1552"/>
      <c r="AS266" s="1555"/>
      <c r="AT266" s="1544"/>
      <c r="AU266" s="262" t="s">
        <v>701</v>
      </c>
      <c r="AV266" s="263">
        <v>2600</v>
      </c>
      <c r="AW266" s="264">
        <v>2900</v>
      </c>
      <c r="AX266" s="265">
        <v>1800</v>
      </c>
      <c r="AY266" s="266">
        <v>1800</v>
      </c>
      <c r="BA266" s="235">
        <v>3660</v>
      </c>
      <c r="BC266" s="359"/>
      <c r="BE266" s="187"/>
      <c r="BF266" s="176"/>
      <c r="BG266" s="176"/>
      <c r="BH266" s="177"/>
      <c r="BJ266" s="253"/>
      <c r="BL266" s="193"/>
      <c r="BM266" s="194"/>
      <c r="BN266" s="194"/>
      <c r="BO266" s="195"/>
      <c r="BQ266" s="187"/>
      <c r="BR266" s="185"/>
      <c r="BS266" s="185"/>
      <c r="BT266" s="254"/>
      <c r="BV266" s="187"/>
      <c r="BW266" s="185"/>
      <c r="BX266" s="185"/>
      <c r="BY266" s="185"/>
      <c r="BZ266" s="254"/>
      <c r="CB266" s="187"/>
      <c r="CC266" s="185"/>
      <c r="CD266" s="185"/>
      <c r="CE266" s="185"/>
      <c r="CF266" s="254"/>
      <c r="CH266" s="253"/>
    </row>
    <row r="267" spans="1:86" ht="63">
      <c r="A267" s="1563"/>
      <c r="B267" s="215" t="s">
        <v>338</v>
      </c>
      <c r="C267" s="216" t="s">
        <v>313</v>
      </c>
      <c r="D267" s="217" t="s">
        <v>314</v>
      </c>
      <c r="F267" s="218">
        <v>35800</v>
      </c>
      <c r="G267" s="219">
        <v>43210</v>
      </c>
      <c r="H267" s="218">
        <v>31630</v>
      </c>
      <c r="I267" s="219">
        <v>39040</v>
      </c>
      <c r="J267" s="179" t="s">
        <v>182</v>
      </c>
      <c r="K267" s="220">
        <v>330</v>
      </c>
      <c r="L267" s="221">
        <v>400</v>
      </c>
      <c r="M267" s="222" t="s">
        <v>795</v>
      </c>
      <c r="N267" s="220">
        <v>290</v>
      </c>
      <c r="O267" s="221">
        <v>360</v>
      </c>
      <c r="P267" s="222" t="s">
        <v>795</v>
      </c>
      <c r="Q267" s="160" t="s">
        <v>182</v>
      </c>
      <c r="R267" s="223">
        <v>7410</v>
      </c>
      <c r="S267" s="224">
        <v>70</v>
      </c>
      <c r="T267" s="225" t="s">
        <v>184</v>
      </c>
      <c r="V267" s="187"/>
      <c r="W267" s="185"/>
      <c r="X267" s="176"/>
      <c r="Y267" s="185"/>
      <c r="Z267" s="176"/>
      <c r="AA267" s="176"/>
      <c r="AB267" s="177"/>
      <c r="AD267" s="281"/>
      <c r="AE267" s="281"/>
      <c r="AF267" s="176"/>
      <c r="AG267" s="176"/>
      <c r="AH267" s="177"/>
      <c r="AJ267" s="187" t="s">
        <v>215</v>
      </c>
      <c r="AK267" s="185"/>
      <c r="AL267" s="176" t="s">
        <v>182</v>
      </c>
      <c r="AM267" s="176">
        <v>20</v>
      </c>
      <c r="AN267" s="177" t="s">
        <v>316</v>
      </c>
      <c r="AO267" s="160" t="s">
        <v>182</v>
      </c>
      <c r="AP267" s="1550">
        <v>2800</v>
      </c>
      <c r="AQ267" s="1553">
        <v>3100</v>
      </c>
      <c r="AR267" s="1550">
        <v>2000</v>
      </c>
      <c r="AS267" s="1553">
        <v>2000</v>
      </c>
      <c r="AT267" s="1544" t="s">
        <v>664</v>
      </c>
      <c r="AU267" s="230" t="s">
        <v>697</v>
      </c>
      <c r="AV267" s="231">
        <v>5500</v>
      </c>
      <c r="AW267" s="232">
        <v>6200</v>
      </c>
      <c r="AX267" s="267">
        <v>3900</v>
      </c>
      <c r="AY267" s="252">
        <v>3900</v>
      </c>
      <c r="BA267" s="277"/>
      <c r="BB267" s="160" t="s">
        <v>182</v>
      </c>
      <c r="BC267" s="1556">
        <v>4700</v>
      </c>
      <c r="BD267" s="160" t="s">
        <v>182</v>
      </c>
      <c r="BE267" s="228">
        <v>1800</v>
      </c>
      <c r="BF267" s="226" t="s">
        <v>182</v>
      </c>
      <c r="BG267" s="226">
        <v>10</v>
      </c>
      <c r="BH267" s="217" t="s">
        <v>184</v>
      </c>
      <c r="BJ267" s="253"/>
      <c r="BK267" s="160" t="s">
        <v>188</v>
      </c>
      <c r="BL267" s="237" t="s">
        <v>317</v>
      </c>
      <c r="BM267" s="238" t="s">
        <v>317</v>
      </c>
      <c r="BN267" s="238" t="s">
        <v>317</v>
      </c>
      <c r="BO267" s="239" t="s">
        <v>317</v>
      </c>
      <c r="BP267" s="160" t="s">
        <v>188</v>
      </c>
      <c r="BQ267" s="228"/>
      <c r="BR267" s="229"/>
      <c r="BS267" s="229"/>
      <c r="BT267" s="240"/>
      <c r="BU267" s="160" t="s">
        <v>188</v>
      </c>
      <c r="BV267" s="228"/>
      <c r="BW267" s="229"/>
      <c r="BX267" s="229"/>
      <c r="BY267" s="229"/>
      <c r="BZ267" s="240"/>
      <c r="CA267" s="160" t="s">
        <v>188</v>
      </c>
      <c r="CB267" s="228"/>
      <c r="CC267" s="229"/>
      <c r="CD267" s="229"/>
      <c r="CE267" s="229"/>
      <c r="CF267" s="240"/>
      <c r="CH267" s="236" t="s">
        <v>324</v>
      </c>
    </row>
    <row r="268" spans="1:86">
      <c r="A268" s="1563"/>
      <c r="B268" s="168"/>
      <c r="C268" s="241"/>
      <c r="D268" s="177" t="s">
        <v>318</v>
      </c>
      <c r="F268" s="242">
        <v>43210</v>
      </c>
      <c r="G268" s="243">
        <v>103390</v>
      </c>
      <c r="H268" s="242">
        <v>39040</v>
      </c>
      <c r="I268" s="243">
        <v>99220</v>
      </c>
      <c r="J268" s="179" t="s">
        <v>182</v>
      </c>
      <c r="K268" s="244">
        <v>400</v>
      </c>
      <c r="L268" s="245">
        <v>920</v>
      </c>
      <c r="M268" s="246" t="s">
        <v>795</v>
      </c>
      <c r="N268" s="244">
        <v>360</v>
      </c>
      <c r="O268" s="245">
        <v>880</v>
      </c>
      <c r="P268" s="246" t="s">
        <v>795</v>
      </c>
      <c r="Q268" s="160" t="s">
        <v>182</v>
      </c>
      <c r="R268" s="187">
        <v>7410</v>
      </c>
      <c r="S268" s="185">
        <v>70</v>
      </c>
      <c r="T268" s="247" t="s">
        <v>184</v>
      </c>
      <c r="V268" s="280"/>
      <c r="W268" s="279" t="s">
        <v>713</v>
      </c>
      <c r="X268" s="176"/>
      <c r="Y268" s="279" t="s">
        <v>713</v>
      </c>
      <c r="Z268" s="279"/>
      <c r="AA268" s="176"/>
      <c r="AB268" s="177"/>
      <c r="AD268" s="281"/>
      <c r="AE268" s="281"/>
      <c r="AF268" s="176"/>
      <c r="AG268" s="176"/>
      <c r="AH268" s="177"/>
      <c r="AJ268" s="187"/>
      <c r="AK268" s="185"/>
      <c r="AL268" s="176"/>
      <c r="AM268" s="176"/>
      <c r="AN268" s="177"/>
      <c r="AP268" s="1551"/>
      <c r="AQ268" s="1554"/>
      <c r="AR268" s="1551"/>
      <c r="AS268" s="1554"/>
      <c r="AT268" s="1544"/>
      <c r="AU268" s="172" t="s">
        <v>699</v>
      </c>
      <c r="AV268" s="249">
        <v>3000</v>
      </c>
      <c r="AW268" s="250">
        <v>3400</v>
      </c>
      <c r="AX268" s="267">
        <v>2100</v>
      </c>
      <c r="AY268" s="252">
        <v>2100</v>
      </c>
      <c r="BA268" s="235" t="s">
        <v>675</v>
      </c>
      <c r="BC268" s="1557"/>
      <c r="BE268" s="187"/>
      <c r="BF268" s="176"/>
      <c r="BG268" s="176"/>
      <c r="BH268" s="177"/>
      <c r="BJ268" s="253"/>
      <c r="BL268" s="193"/>
      <c r="BM268" s="194"/>
      <c r="BN268" s="194"/>
      <c r="BO268" s="195"/>
      <c r="BQ268" s="187">
        <v>1060</v>
      </c>
      <c r="BR268" s="185" t="s">
        <v>189</v>
      </c>
      <c r="BS268" s="185">
        <v>10</v>
      </c>
      <c r="BT268" s="254" t="s">
        <v>184</v>
      </c>
      <c r="BV268" s="187">
        <v>3700</v>
      </c>
      <c r="BW268" s="185" t="s">
        <v>189</v>
      </c>
      <c r="BX268" s="185">
        <v>30</v>
      </c>
      <c r="BY268" s="185" t="s">
        <v>184</v>
      </c>
      <c r="BZ268" s="254" t="s">
        <v>190</v>
      </c>
      <c r="CB268" s="187">
        <v>2360</v>
      </c>
      <c r="CC268" s="185" t="s">
        <v>189</v>
      </c>
      <c r="CD268" s="185">
        <v>20</v>
      </c>
      <c r="CE268" s="185" t="s">
        <v>184</v>
      </c>
      <c r="CF268" s="254" t="s">
        <v>190</v>
      </c>
      <c r="CH268" s="253"/>
    </row>
    <row r="269" spans="1:86">
      <c r="A269" s="1563"/>
      <c r="B269" s="168"/>
      <c r="C269" s="241" t="s">
        <v>319</v>
      </c>
      <c r="D269" s="177" t="s">
        <v>320</v>
      </c>
      <c r="F269" s="242">
        <v>103390</v>
      </c>
      <c r="G269" s="243">
        <v>177550</v>
      </c>
      <c r="H269" s="242">
        <v>99220</v>
      </c>
      <c r="I269" s="243">
        <v>173380</v>
      </c>
      <c r="J269" s="179" t="s">
        <v>182</v>
      </c>
      <c r="K269" s="244">
        <v>920</v>
      </c>
      <c r="L269" s="245">
        <v>1660</v>
      </c>
      <c r="M269" s="246" t="s">
        <v>795</v>
      </c>
      <c r="N269" s="244">
        <v>880</v>
      </c>
      <c r="O269" s="245">
        <v>1620</v>
      </c>
      <c r="P269" s="246" t="s">
        <v>795</v>
      </c>
      <c r="R269" s="182"/>
      <c r="S269" s="176"/>
      <c r="T269" s="177"/>
      <c r="V269" s="187"/>
      <c r="W269" s="185">
        <v>589800</v>
      </c>
      <c r="X269" s="176"/>
      <c r="Y269" s="185">
        <v>5890</v>
      </c>
      <c r="Z269" s="176" t="s">
        <v>184</v>
      </c>
      <c r="AA269" s="176"/>
      <c r="AB269" s="177"/>
      <c r="AD269" s="281"/>
      <c r="AE269" s="281"/>
      <c r="AF269" s="176"/>
      <c r="AG269" s="176"/>
      <c r="AH269" s="177"/>
      <c r="AJ269" s="187">
        <v>2540</v>
      </c>
      <c r="AK269" s="185" t="s">
        <v>321</v>
      </c>
      <c r="AL269" s="176"/>
      <c r="AM269" s="176"/>
      <c r="AN269" s="177"/>
      <c r="AP269" s="1551"/>
      <c r="AQ269" s="1554"/>
      <c r="AR269" s="1551"/>
      <c r="AS269" s="1554"/>
      <c r="AT269" s="1544"/>
      <c r="AU269" s="172" t="s">
        <v>700</v>
      </c>
      <c r="AV269" s="249">
        <v>2600</v>
      </c>
      <c r="AW269" s="250">
        <v>2900</v>
      </c>
      <c r="AX269" s="267">
        <v>1800</v>
      </c>
      <c r="AY269" s="252">
        <v>1800</v>
      </c>
      <c r="BA269" s="235">
        <v>3160</v>
      </c>
      <c r="BC269" s="359"/>
      <c r="BE269" s="187"/>
      <c r="BF269" s="176"/>
      <c r="BG269" s="176"/>
      <c r="BH269" s="177"/>
      <c r="BJ269" s="253"/>
      <c r="BL269" s="193">
        <v>0.02</v>
      </c>
      <c r="BM269" s="194">
        <v>0.03</v>
      </c>
      <c r="BN269" s="194">
        <v>0.05</v>
      </c>
      <c r="BO269" s="195">
        <v>0.06</v>
      </c>
      <c r="BQ269" s="187"/>
      <c r="BR269" s="185"/>
      <c r="BS269" s="185"/>
      <c r="BT269" s="254"/>
      <c r="BV269" s="187"/>
      <c r="BW269" s="185"/>
      <c r="BX269" s="185"/>
      <c r="BY269" s="185"/>
      <c r="BZ269" s="254"/>
      <c r="CB269" s="187"/>
      <c r="CC269" s="185"/>
      <c r="CD269" s="185"/>
      <c r="CE269" s="185"/>
      <c r="CF269" s="254"/>
      <c r="CH269" s="253">
        <v>0.95</v>
      </c>
    </row>
    <row r="270" spans="1:86">
      <c r="A270" s="1563"/>
      <c r="B270" s="269"/>
      <c r="C270" s="270"/>
      <c r="D270" s="184" t="s">
        <v>322</v>
      </c>
      <c r="F270" s="256">
        <v>177550</v>
      </c>
      <c r="G270" s="257"/>
      <c r="H270" s="256">
        <v>173380</v>
      </c>
      <c r="I270" s="257"/>
      <c r="J270" s="179" t="s">
        <v>182</v>
      </c>
      <c r="K270" s="258">
        <v>1660</v>
      </c>
      <c r="L270" s="259"/>
      <c r="M270" s="260" t="s">
        <v>795</v>
      </c>
      <c r="N270" s="258">
        <v>1620</v>
      </c>
      <c r="O270" s="259"/>
      <c r="P270" s="260" t="s">
        <v>795</v>
      </c>
      <c r="R270" s="183"/>
      <c r="S270" s="271"/>
      <c r="T270" s="184"/>
      <c r="V270" s="187"/>
      <c r="W270" s="185"/>
      <c r="X270" s="176"/>
      <c r="Y270" s="185"/>
      <c r="Z270" s="176"/>
      <c r="AA270" s="176"/>
      <c r="AB270" s="177"/>
      <c r="AD270" s="281"/>
      <c r="AE270" s="281"/>
      <c r="AF270" s="176"/>
      <c r="AG270" s="176"/>
      <c r="AH270" s="177"/>
      <c r="AJ270" s="187"/>
      <c r="AK270" s="185"/>
      <c r="AL270" s="176"/>
      <c r="AM270" s="176"/>
      <c r="AN270" s="177"/>
      <c r="AP270" s="1552"/>
      <c r="AQ270" s="1555"/>
      <c r="AR270" s="1552"/>
      <c r="AS270" s="1555"/>
      <c r="AT270" s="1544"/>
      <c r="AU270" s="262" t="s">
        <v>701</v>
      </c>
      <c r="AV270" s="263">
        <v>2400</v>
      </c>
      <c r="AW270" s="264">
        <v>2600</v>
      </c>
      <c r="AX270" s="265">
        <v>1600</v>
      </c>
      <c r="AY270" s="266">
        <v>1600</v>
      </c>
      <c r="BA270" s="277"/>
      <c r="BC270" s="359"/>
      <c r="BE270" s="186"/>
      <c r="BF270" s="271"/>
      <c r="BG270" s="271"/>
      <c r="BH270" s="184"/>
      <c r="BJ270" s="253"/>
      <c r="BL270" s="272"/>
      <c r="BM270" s="273"/>
      <c r="BN270" s="273"/>
      <c r="BO270" s="274"/>
      <c r="BQ270" s="186"/>
      <c r="BR270" s="196"/>
      <c r="BS270" s="196"/>
      <c r="BT270" s="197"/>
      <c r="BV270" s="186"/>
      <c r="BW270" s="196"/>
      <c r="BX270" s="196"/>
      <c r="BY270" s="196"/>
      <c r="BZ270" s="197"/>
      <c r="CB270" s="186"/>
      <c r="CC270" s="196"/>
      <c r="CD270" s="196"/>
      <c r="CE270" s="196"/>
      <c r="CF270" s="197"/>
      <c r="CH270" s="198"/>
    </row>
    <row r="271" spans="1:86" ht="63">
      <c r="A271" s="1563"/>
      <c r="B271" s="168" t="s">
        <v>339</v>
      </c>
      <c r="C271" s="241" t="s">
        <v>313</v>
      </c>
      <c r="D271" s="177" t="s">
        <v>314</v>
      </c>
      <c r="F271" s="218">
        <v>34390</v>
      </c>
      <c r="G271" s="219">
        <v>41800</v>
      </c>
      <c r="H271" s="218">
        <v>30540</v>
      </c>
      <c r="I271" s="219">
        <v>37950</v>
      </c>
      <c r="J271" s="179" t="s">
        <v>182</v>
      </c>
      <c r="K271" s="220">
        <v>320</v>
      </c>
      <c r="L271" s="221">
        <v>390</v>
      </c>
      <c r="M271" s="222" t="s">
        <v>795</v>
      </c>
      <c r="N271" s="220">
        <v>280</v>
      </c>
      <c r="O271" s="221">
        <v>350</v>
      </c>
      <c r="P271" s="222" t="s">
        <v>795</v>
      </c>
      <c r="Q271" s="160" t="s">
        <v>182</v>
      </c>
      <c r="R271" s="275">
        <v>7410</v>
      </c>
      <c r="S271" s="276">
        <v>70</v>
      </c>
      <c r="T271" s="247" t="s">
        <v>184</v>
      </c>
      <c r="V271" s="280"/>
      <c r="W271" s="279" t="s">
        <v>714</v>
      </c>
      <c r="X271" s="176"/>
      <c r="Y271" s="279" t="s">
        <v>714</v>
      </c>
      <c r="Z271" s="279"/>
      <c r="AA271" s="176"/>
      <c r="AB271" s="177"/>
      <c r="AD271" s="281"/>
      <c r="AE271" s="281"/>
      <c r="AF271" s="176"/>
      <c r="AG271" s="176"/>
      <c r="AH271" s="177"/>
      <c r="AJ271" s="187" t="s">
        <v>217</v>
      </c>
      <c r="AK271" s="185"/>
      <c r="AL271" s="176" t="s">
        <v>182</v>
      </c>
      <c r="AM271" s="176">
        <v>20</v>
      </c>
      <c r="AN271" s="177" t="s">
        <v>316</v>
      </c>
      <c r="AO271" s="160" t="s">
        <v>182</v>
      </c>
      <c r="AP271" s="1550">
        <v>2600</v>
      </c>
      <c r="AQ271" s="1553">
        <v>2900</v>
      </c>
      <c r="AR271" s="1550">
        <v>1800</v>
      </c>
      <c r="AS271" s="1553">
        <v>1800</v>
      </c>
      <c r="AT271" s="1544" t="s">
        <v>664</v>
      </c>
      <c r="AU271" s="230" t="s">
        <v>697</v>
      </c>
      <c r="AV271" s="231">
        <v>5100</v>
      </c>
      <c r="AW271" s="232">
        <v>5700</v>
      </c>
      <c r="AX271" s="267">
        <v>3500</v>
      </c>
      <c r="AY271" s="252">
        <v>3500</v>
      </c>
      <c r="BA271" s="235" t="s">
        <v>676</v>
      </c>
      <c r="BB271" s="160" t="s">
        <v>182</v>
      </c>
      <c r="BC271" s="1556">
        <v>4700</v>
      </c>
      <c r="BD271" s="160" t="s">
        <v>182</v>
      </c>
      <c r="BE271" s="187">
        <v>1660</v>
      </c>
      <c r="BF271" s="176" t="s">
        <v>182</v>
      </c>
      <c r="BG271" s="176">
        <v>10</v>
      </c>
      <c r="BH271" s="177" t="s">
        <v>184</v>
      </c>
      <c r="BJ271" s="253"/>
      <c r="BK271" s="160" t="s">
        <v>188</v>
      </c>
      <c r="BL271" s="193" t="s">
        <v>317</v>
      </c>
      <c r="BM271" s="194" t="s">
        <v>317</v>
      </c>
      <c r="BN271" s="194" t="s">
        <v>317</v>
      </c>
      <c r="BO271" s="195" t="s">
        <v>317</v>
      </c>
      <c r="BP271" s="160" t="s">
        <v>188</v>
      </c>
      <c r="BQ271" s="187"/>
      <c r="BR271" s="185"/>
      <c r="BS271" s="185"/>
      <c r="BT271" s="254"/>
      <c r="BU271" s="160" t="s">
        <v>188</v>
      </c>
      <c r="BV271" s="187"/>
      <c r="BW271" s="185"/>
      <c r="BX271" s="185"/>
      <c r="BY271" s="185"/>
      <c r="BZ271" s="254"/>
      <c r="CA271" s="160" t="s">
        <v>188</v>
      </c>
      <c r="CB271" s="187"/>
      <c r="CC271" s="185"/>
      <c r="CD271" s="185"/>
      <c r="CE271" s="185"/>
      <c r="CF271" s="254"/>
      <c r="CH271" s="253" t="s">
        <v>324</v>
      </c>
    </row>
    <row r="272" spans="1:86">
      <c r="A272" s="1563"/>
      <c r="B272" s="168"/>
      <c r="C272" s="241"/>
      <c r="D272" s="177" t="s">
        <v>318</v>
      </c>
      <c r="F272" s="242">
        <v>41800</v>
      </c>
      <c r="G272" s="243">
        <v>101980</v>
      </c>
      <c r="H272" s="242">
        <v>37950</v>
      </c>
      <c r="I272" s="243">
        <v>98130</v>
      </c>
      <c r="J272" s="179" t="s">
        <v>182</v>
      </c>
      <c r="K272" s="244">
        <v>390</v>
      </c>
      <c r="L272" s="245">
        <v>900</v>
      </c>
      <c r="M272" s="246" t="s">
        <v>795</v>
      </c>
      <c r="N272" s="244">
        <v>350</v>
      </c>
      <c r="O272" s="245">
        <v>860</v>
      </c>
      <c r="P272" s="246" t="s">
        <v>795</v>
      </c>
      <c r="Q272" s="160" t="s">
        <v>182</v>
      </c>
      <c r="R272" s="187">
        <v>7410</v>
      </c>
      <c r="S272" s="185">
        <v>70</v>
      </c>
      <c r="T272" s="247" t="s">
        <v>184</v>
      </c>
      <c r="V272" s="187"/>
      <c r="W272" s="185">
        <v>625400</v>
      </c>
      <c r="X272" s="176"/>
      <c r="Y272" s="185">
        <v>6250</v>
      </c>
      <c r="Z272" s="176" t="s">
        <v>184</v>
      </c>
      <c r="AA272" s="176"/>
      <c r="AB272" s="177"/>
      <c r="AD272" s="281"/>
      <c r="AE272" s="281"/>
      <c r="AF272" s="176"/>
      <c r="AG272" s="176"/>
      <c r="AH272" s="177"/>
      <c r="AJ272" s="187"/>
      <c r="AK272" s="185"/>
      <c r="AL272" s="176"/>
      <c r="AM272" s="176"/>
      <c r="AN272" s="177"/>
      <c r="AP272" s="1551"/>
      <c r="AQ272" s="1554"/>
      <c r="AR272" s="1551"/>
      <c r="AS272" s="1554"/>
      <c r="AT272" s="1544"/>
      <c r="AU272" s="172" t="s">
        <v>699</v>
      </c>
      <c r="AV272" s="249">
        <v>2800</v>
      </c>
      <c r="AW272" s="250">
        <v>3100</v>
      </c>
      <c r="AX272" s="267">
        <v>1900</v>
      </c>
      <c r="AY272" s="252">
        <v>1900</v>
      </c>
      <c r="BA272" s="235">
        <v>2810</v>
      </c>
      <c r="BC272" s="1557"/>
      <c r="BE272" s="187"/>
      <c r="BF272" s="176"/>
      <c r="BG272" s="176"/>
      <c r="BH272" s="177"/>
      <c r="BJ272" s="253"/>
      <c r="BL272" s="193"/>
      <c r="BM272" s="194"/>
      <c r="BN272" s="194"/>
      <c r="BO272" s="195"/>
      <c r="BQ272" s="187">
        <v>970</v>
      </c>
      <c r="BR272" s="185" t="s">
        <v>189</v>
      </c>
      <c r="BS272" s="185">
        <v>10</v>
      </c>
      <c r="BT272" s="254" t="s">
        <v>184</v>
      </c>
      <c r="BV272" s="187">
        <v>3420</v>
      </c>
      <c r="BW272" s="185" t="s">
        <v>189</v>
      </c>
      <c r="BX272" s="185">
        <v>30</v>
      </c>
      <c r="BY272" s="185" t="s">
        <v>184</v>
      </c>
      <c r="BZ272" s="254" t="s">
        <v>190</v>
      </c>
      <c r="CB272" s="187">
        <v>2180</v>
      </c>
      <c r="CC272" s="185" t="s">
        <v>189</v>
      </c>
      <c r="CD272" s="185">
        <v>20</v>
      </c>
      <c r="CE272" s="185" t="s">
        <v>184</v>
      </c>
      <c r="CF272" s="254" t="s">
        <v>190</v>
      </c>
      <c r="CH272" s="253"/>
    </row>
    <row r="273" spans="1:86">
      <c r="A273" s="1563"/>
      <c r="B273" s="168"/>
      <c r="C273" s="241" t="s">
        <v>319</v>
      </c>
      <c r="D273" s="177" t="s">
        <v>320</v>
      </c>
      <c r="F273" s="242">
        <v>101980</v>
      </c>
      <c r="G273" s="243">
        <v>176140</v>
      </c>
      <c r="H273" s="242">
        <v>98130</v>
      </c>
      <c r="I273" s="243">
        <v>172290</v>
      </c>
      <c r="J273" s="179" t="s">
        <v>182</v>
      </c>
      <c r="K273" s="244">
        <v>900</v>
      </c>
      <c r="L273" s="245">
        <v>1640</v>
      </c>
      <c r="M273" s="246" t="s">
        <v>795</v>
      </c>
      <c r="N273" s="244">
        <v>860</v>
      </c>
      <c r="O273" s="245">
        <v>1600</v>
      </c>
      <c r="P273" s="246" t="s">
        <v>795</v>
      </c>
      <c r="R273" s="182"/>
      <c r="S273" s="176"/>
      <c r="T273" s="177"/>
      <c r="V273" s="187"/>
      <c r="W273" s="185"/>
      <c r="X273" s="176"/>
      <c r="Y273" s="185"/>
      <c r="Z273" s="176"/>
      <c r="AA273" s="176"/>
      <c r="AB273" s="177"/>
      <c r="AD273" s="281"/>
      <c r="AE273" s="281"/>
      <c r="AF273" s="176"/>
      <c r="AG273" s="176"/>
      <c r="AH273" s="177"/>
      <c r="AJ273" s="187">
        <v>2180</v>
      </c>
      <c r="AK273" s="185" t="s">
        <v>321</v>
      </c>
      <c r="AL273" s="176"/>
      <c r="AM273" s="176"/>
      <c r="AN273" s="177"/>
      <c r="AP273" s="1551"/>
      <c r="AQ273" s="1554"/>
      <c r="AR273" s="1551"/>
      <c r="AS273" s="1554"/>
      <c r="AT273" s="1544"/>
      <c r="AU273" s="172" t="s">
        <v>700</v>
      </c>
      <c r="AV273" s="249">
        <v>2400</v>
      </c>
      <c r="AW273" s="250">
        <v>2700</v>
      </c>
      <c r="AX273" s="267">
        <v>1700</v>
      </c>
      <c r="AY273" s="252">
        <v>1700</v>
      </c>
      <c r="BA273" s="277"/>
      <c r="BC273" s="358"/>
      <c r="BE273" s="187"/>
      <c r="BF273" s="176"/>
      <c r="BG273" s="176"/>
      <c r="BH273" s="177"/>
      <c r="BJ273" s="253"/>
      <c r="BL273" s="193">
        <v>0.02</v>
      </c>
      <c r="BM273" s="194">
        <v>0.03</v>
      </c>
      <c r="BN273" s="194">
        <v>0.05</v>
      </c>
      <c r="BO273" s="195">
        <v>0.06</v>
      </c>
      <c r="BQ273" s="187"/>
      <c r="BR273" s="185"/>
      <c r="BS273" s="185"/>
      <c r="BT273" s="254"/>
      <c r="BV273" s="187"/>
      <c r="BW273" s="185"/>
      <c r="BX273" s="185"/>
      <c r="BY273" s="185"/>
      <c r="BZ273" s="254"/>
      <c r="CB273" s="187"/>
      <c r="CC273" s="185"/>
      <c r="CD273" s="185"/>
      <c r="CE273" s="185"/>
      <c r="CF273" s="254"/>
      <c r="CH273" s="253">
        <v>0.97</v>
      </c>
    </row>
    <row r="274" spans="1:86">
      <c r="A274" s="1563"/>
      <c r="B274" s="168"/>
      <c r="C274" s="241"/>
      <c r="D274" s="177" t="s">
        <v>322</v>
      </c>
      <c r="F274" s="256">
        <v>176140</v>
      </c>
      <c r="G274" s="257"/>
      <c r="H274" s="256">
        <v>172290</v>
      </c>
      <c r="I274" s="257"/>
      <c r="J274" s="179" t="s">
        <v>182</v>
      </c>
      <c r="K274" s="258">
        <v>1640</v>
      </c>
      <c r="L274" s="259"/>
      <c r="M274" s="260" t="s">
        <v>795</v>
      </c>
      <c r="N274" s="258">
        <v>1600</v>
      </c>
      <c r="O274" s="259"/>
      <c r="P274" s="260" t="s">
        <v>795</v>
      </c>
      <c r="R274" s="182"/>
      <c r="S274" s="176"/>
      <c r="T274" s="177"/>
      <c r="V274" s="280"/>
      <c r="W274" s="279" t="s">
        <v>715</v>
      </c>
      <c r="X274" s="176"/>
      <c r="Y274" s="279" t="s">
        <v>715</v>
      </c>
      <c r="Z274" s="279"/>
      <c r="AA274" s="176"/>
      <c r="AB274" s="177"/>
      <c r="AD274" s="281"/>
      <c r="AE274" s="281"/>
      <c r="AF274" s="176"/>
      <c r="AG274" s="176"/>
      <c r="AH274" s="177"/>
      <c r="AJ274" s="187"/>
      <c r="AK274" s="185"/>
      <c r="AL274" s="176"/>
      <c r="AM274" s="176"/>
      <c r="AN274" s="177"/>
      <c r="AP274" s="1552"/>
      <c r="AQ274" s="1555"/>
      <c r="AR274" s="1552"/>
      <c r="AS274" s="1555"/>
      <c r="AT274" s="1544"/>
      <c r="AU274" s="262" t="s">
        <v>701</v>
      </c>
      <c r="AV274" s="263">
        <v>2200</v>
      </c>
      <c r="AW274" s="264">
        <v>2400</v>
      </c>
      <c r="AX274" s="265">
        <v>1500</v>
      </c>
      <c r="AY274" s="266">
        <v>1500</v>
      </c>
      <c r="BA274" s="235" t="s">
        <v>677</v>
      </c>
      <c r="BC274" s="359"/>
      <c r="BE274" s="187"/>
      <c r="BF274" s="176"/>
      <c r="BG274" s="176"/>
      <c r="BH274" s="177"/>
      <c r="BJ274" s="253"/>
      <c r="BL274" s="193"/>
      <c r="BM274" s="194"/>
      <c r="BN274" s="194"/>
      <c r="BO274" s="195"/>
      <c r="BQ274" s="187"/>
      <c r="BR274" s="185"/>
      <c r="BS274" s="185"/>
      <c r="BT274" s="254"/>
      <c r="BV274" s="187"/>
      <c r="BW274" s="185"/>
      <c r="BX274" s="185"/>
      <c r="BY274" s="185"/>
      <c r="BZ274" s="254"/>
      <c r="CB274" s="187"/>
      <c r="CC274" s="185"/>
      <c r="CD274" s="185"/>
      <c r="CE274" s="185"/>
      <c r="CF274" s="254"/>
      <c r="CH274" s="253"/>
    </row>
    <row r="275" spans="1:86" ht="63">
      <c r="A275" s="1563"/>
      <c r="B275" s="215" t="s">
        <v>340</v>
      </c>
      <c r="C275" s="216" t="s">
        <v>313</v>
      </c>
      <c r="D275" s="217" t="s">
        <v>314</v>
      </c>
      <c r="F275" s="218">
        <v>33200</v>
      </c>
      <c r="G275" s="219">
        <v>40610</v>
      </c>
      <c r="H275" s="218">
        <v>29630</v>
      </c>
      <c r="I275" s="219">
        <v>37040</v>
      </c>
      <c r="J275" s="179" t="s">
        <v>182</v>
      </c>
      <c r="K275" s="220">
        <v>310</v>
      </c>
      <c r="L275" s="221">
        <v>380</v>
      </c>
      <c r="M275" s="222" t="s">
        <v>795</v>
      </c>
      <c r="N275" s="220">
        <v>270</v>
      </c>
      <c r="O275" s="221">
        <v>340</v>
      </c>
      <c r="P275" s="222" t="s">
        <v>795</v>
      </c>
      <c r="Q275" s="160" t="s">
        <v>182</v>
      </c>
      <c r="R275" s="223">
        <v>7410</v>
      </c>
      <c r="S275" s="224">
        <v>70</v>
      </c>
      <c r="T275" s="225" t="s">
        <v>184</v>
      </c>
      <c r="V275" s="187"/>
      <c r="W275" s="185">
        <v>661000</v>
      </c>
      <c r="X275" s="176"/>
      <c r="Y275" s="185">
        <v>6610</v>
      </c>
      <c r="Z275" s="176" t="s">
        <v>184</v>
      </c>
      <c r="AA275" s="176"/>
      <c r="AB275" s="177"/>
      <c r="AD275" s="281"/>
      <c r="AE275" s="281"/>
      <c r="AF275" s="176"/>
      <c r="AG275" s="176"/>
      <c r="AH275" s="177"/>
      <c r="AJ275" s="187" t="s">
        <v>219</v>
      </c>
      <c r="AK275" s="185"/>
      <c r="AL275" s="176" t="s">
        <v>182</v>
      </c>
      <c r="AM275" s="176">
        <v>10</v>
      </c>
      <c r="AN275" s="177" t="s">
        <v>316</v>
      </c>
      <c r="AO275" s="160" t="s">
        <v>182</v>
      </c>
      <c r="AP275" s="1550">
        <v>2800</v>
      </c>
      <c r="AQ275" s="1553">
        <v>3100</v>
      </c>
      <c r="AR275" s="1550">
        <v>1900</v>
      </c>
      <c r="AS275" s="1553">
        <v>1900</v>
      </c>
      <c r="AT275" s="1544" t="s">
        <v>664</v>
      </c>
      <c r="AU275" s="230" t="s">
        <v>697</v>
      </c>
      <c r="AV275" s="231">
        <v>5500</v>
      </c>
      <c r="AW275" s="232">
        <v>6200</v>
      </c>
      <c r="AX275" s="267">
        <v>3900</v>
      </c>
      <c r="AY275" s="252">
        <v>3900</v>
      </c>
      <c r="BA275" s="235">
        <v>2540</v>
      </c>
      <c r="BB275" s="160" t="s">
        <v>182</v>
      </c>
      <c r="BC275" s="1556">
        <v>4700</v>
      </c>
      <c r="BD275" s="160" t="s">
        <v>182</v>
      </c>
      <c r="BE275" s="228">
        <v>1540</v>
      </c>
      <c r="BF275" s="226" t="s">
        <v>182</v>
      </c>
      <c r="BG275" s="226">
        <v>10</v>
      </c>
      <c r="BH275" s="217" t="s">
        <v>184</v>
      </c>
      <c r="BJ275" s="253"/>
      <c r="BK275" s="160" t="s">
        <v>188</v>
      </c>
      <c r="BL275" s="237" t="s">
        <v>317</v>
      </c>
      <c r="BM275" s="238" t="s">
        <v>317</v>
      </c>
      <c r="BN275" s="238" t="s">
        <v>317</v>
      </c>
      <c r="BO275" s="239" t="s">
        <v>317</v>
      </c>
      <c r="BP275" s="160" t="s">
        <v>188</v>
      </c>
      <c r="BQ275" s="228"/>
      <c r="BR275" s="229"/>
      <c r="BS275" s="229"/>
      <c r="BT275" s="240"/>
      <c r="BU275" s="160" t="s">
        <v>188</v>
      </c>
      <c r="BV275" s="228"/>
      <c r="BW275" s="229"/>
      <c r="BX275" s="229"/>
      <c r="BY275" s="229"/>
      <c r="BZ275" s="240"/>
      <c r="CA275" s="160" t="s">
        <v>188</v>
      </c>
      <c r="CB275" s="228"/>
      <c r="CC275" s="229"/>
      <c r="CD275" s="229"/>
      <c r="CE275" s="229"/>
      <c r="CF275" s="240"/>
      <c r="CH275" s="236" t="s">
        <v>324</v>
      </c>
    </row>
    <row r="276" spans="1:86">
      <c r="A276" s="1563"/>
      <c r="B276" s="168"/>
      <c r="C276" s="241"/>
      <c r="D276" s="177" t="s">
        <v>318</v>
      </c>
      <c r="F276" s="242">
        <v>40610</v>
      </c>
      <c r="G276" s="243">
        <v>100790</v>
      </c>
      <c r="H276" s="242">
        <v>37040</v>
      </c>
      <c r="I276" s="243">
        <v>97220</v>
      </c>
      <c r="J276" s="179" t="s">
        <v>182</v>
      </c>
      <c r="K276" s="244">
        <v>380</v>
      </c>
      <c r="L276" s="245">
        <v>890</v>
      </c>
      <c r="M276" s="246" t="s">
        <v>795</v>
      </c>
      <c r="N276" s="244">
        <v>340</v>
      </c>
      <c r="O276" s="245">
        <v>860</v>
      </c>
      <c r="P276" s="246" t="s">
        <v>795</v>
      </c>
      <c r="Q276" s="160" t="s">
        <v>182</v>
      </c>
      <c r="R276" s="187">
        <v>7410</v>
      </c>
      <c r="S276" s="185">
        <v>70</v>
      </c>
      <c r="T276" s="247" t="s">
        <v>184</v>
      </c>
      <c r="V276" s="187"/>
      <c r="W276" s="185"/>
      <c r="X276" s="176"/>
      <c r="Y276" s="185"/>
      <c r="Z276" s="176"/>
      <c r="AA276" s="176"/>
      <c r="AB276" s="177"/>
      <c r="AD276" s="281"/>
      <c r="AE276" s="281"/>
      <c r="AF276" s="176"/>
      <c r="AG276" s="176"/>
      <c r="AH276" s="177"/>
      <c r="AJ276" s="187"/>
      <c r="AK276" s="185"/>
      <c r="AL276" s="176"/>
      <c r="AM276" s="176"/>
      <c r="AN276" s="177"/>
      <c r="AP276" s="1551"/>
      <c r="AQ276" s="1554"/>
      <c r="AR276" s="1551"/>
      <c r="AS276" s="1554"/>
      <c r="AT276" s="1544"/>
      <c r="AU276" s="172" t="s">
        <v>699</v>
      </c>
      <c r="AV276" s="249">
        <v>3000</v>
      </c>
      <c r="AW276" s="250">
        <v>3400</v>
      </c>
      <c r="AX276" s="267">
        <v>2100</v>
      </c>
      <c r="AY276" s="252">
        <v>2100</v>
      </c>
      <c r="BA276" s="277"/>
      <c r="BC276" s="1557"/>
      <c r="BE276" s="187"/>
      <c r="BF276" s="176"/>
      <c r="BG276" s="176"/>
      <c r="BH276" s="177"/>
      <c r="BJ276" s="253"/>
      <c r="BL276" s="193"/>
      <c r="BM276" s="194"/>
      <c r="BN276" s="194"/>
      <c r="BO276" s="195"/>
      <c r="BQ276" s="187">
        <v>900</v>
      </c>
      <c r="BR276" s="185" t="s">
        <v>189</v>
      </c>
      <c r="BS276" s="185">
        <v>9</v>
      </c>
      <c r="BT276" s="254" t="s">
        <v>184</v>
      </c>
      <c r="BV276" s="187">
        <v>3170</v>
      </c>
      <c r="BW276" s="185" t="s">
        <v>189</v>
      </c>
      <c r="BX276" s="185">
        <v>30</v>
      </c>
      <c r="BY276" s="185" t="s">
        <v>184</v>
      </c>
      <c r="BZ276" s="254" t="s">
        <v>190</v>
      </c>
      <c r="CB276" s="187">
        <v>2020</v>
      </c>
      <c r="CC276" s="185" t="s">
        <v>189</v>
      </c>
      <c r="CD276" s="185">
        <v>20</v>
      </c>
      <c r="CE276" s="185" t="s">
        <v>184</v>
      </c>
      <c r="CF276" s="254" t="s">
        <v>190</v>
      </c>
      <c r="CH276" s="253"/>
    </row>
    <row r="277" spans="1:86">
      <c r="A277" s="1563"/>
      <c r="B277" s="168"/>
      <c r="C277" s="241" t="s">
        <v>319</v>
      </c>
      <c r="D277" s="177" t="s">
        <v>320</v>
      </c>
      <c r="F277" s="242">
        <v>100790</v>
      </c>
      <c r="G277" s="243">
        <v>174950</v>
      </c>
      <c r="H277" s="242">
        <v>97220</v>
      </c>
      <c r="I277" s="243">
        <v>171380</v>
      </c>
      <c r="J277" s="179" t="s">
        <v>182</v>
      </c>
      <c r="K277" s="244">
        <v>890</v>
      </c>
      <c r="L277" s="245">
        <v>1630</v>
      </c>
      <c r="M277" s="246" t="s">
        <v>795</v>
      </c>
      <c r="N277" s="244">
        <v>860</v>
      </c>
      <c r="O277" s="245">
        <v>1600</v>
      </c>
      <c r="P277" s="246" t="s">
        <v>795</v>
      </c>
      <c r="R277" s="182"/>
      <c r="S277" s="176"/>
      <c r="T277" s="177"/>
      <c r="V277" s="280"/>
      <c r="W277" s="279" t="s">
        <v>716</v>
      </c>
      <c r="X277" s="176"/>
      <c r="Y277" s="279" t="s">
        <v>716</v>
      </c>
      <c r="Z277" s="279"/>
      <c r="AA277" s="176"/>
      <c r="AB277" s="177"/>
      <c r="AD277" s="281"/>
      <c r="AE277" s="281"/>
      <c r="AF277" s="176"/>
      <c r="AG277" s="176"/>
      <c r="AH277" s="177"/>
      <c r="AJ277" s="187">
        <v>1900</v>
      </c>
      <c r="AK277" s="185" t="s">
        <v>321</v>
      </c>
      <c r="AL277" s="176"/>
      <c r="AM277" s="176"/>
      <c r="AN277" s="177"/>
      <c r="AP277" s="1551"/>
      <c r="AQ277" s="1554"/>
      <c r="AR277" s="1551"/>
      <c r="AS277" s="1554"/>
      <c r="AT277" s="1544"/>
      <c r="AU277" s="172" t="s">
        <v>700</v>
      </c>
      <c r="AV277" s="249">
        <v>2600</v>
      </c>
      <c r="AW277" s="250">
        <v>2900</v>
      </c>
      <c r="AX277" s="267">
        <v>1800</v>
      </c>
      <c r="AY277" s="252">
        <v>1800</v>
      </c>
      <c r="BA277" s="235" t="s">
        <v>678</v>
      </c>
      <c r="BC277" s="359"/>
      <c r="BE277" s="187"/>
      <c r="BF277" s="176"/>
      <c r="BG277" s="176"/>
      <c r="BH277" s="177"/>
      <c r="BJ277" s="253"/>
      <c r="BL277" s="193">
        <v>0.02</v>
      </c>
      <c r="BM277" s="194">
        <v>0.03</v>
      </c>
      <c r="BN277" s="194">
        <v>0.05</v>
      </c>
      <c r="BO277" s="195">
        <v>0.06</v>
      </c>
      <c r="BQ277" s="187"/>
      <c r="BR277" s="185"/>
      <c r="BS277" s="185"/>
      <c r="BT277" s="254"/>
      <c r="BV277" s="187"/>
      <c r="BW277" s="185"/>
      <c r="BX277" s="185"/>
      <c r="BY277" s="185"/>
      <c r="BZ277" s="254"/>
      <c r="CB277" s="187"/>
      <c r="CC277" s="185"/>
      <c r="CD277" s="185"/>
      <c r="CE277" s="185"/>
      <c r="CF277" s="254"/>
      <c r="CH277" s="253">
        <v>0.97</v>
      </c>
    </row>
    <row r="278" spans="1:86">
      <c r="A278" s="1563"/>
      <c r="B278" s="269"/>
      <c r="C278" s="270"/>
      <c r="D278" s="184" t="s">
        <v>322</v>
      </c>
      <c r="F278" s="256">
        <v>174950</v>
      </c>
      <c r="G278" s="257"/>
      <c r="H278" s="256">
        <v>171380</v>
      </c>
      <c r="I278" s="257"/>
      <c r="J278" s="179" t="s">
        <v>182</v>
      </c>
      <c r="K278" s="258">
        <v>1630</v>
      </c>
      <c r="L278" s="259"/>
      <c r="M278" s="260" t="s">
        <v>795</v>
      </c>
      <c r="N278" s="258">
        <v>1600</v>
      </c>
      <c r="O278" s="259"/>
      <c r="P278" s="260" t="s">
        <v>795</v>
      </c>
      <c r="R278" s="183"/>
      <c r="S278" s="271"/>
      <c r="T278" s="184"/>
      <c r="V278" s="187"/>
      <c r="W278" s="185">
        <v>696500</v>
      </c>
      <c r="X278" s="176"/>
      <c r="Y278" s="185">
        <v>6960</v>
      </c>
      <c r="Z278" s="176" t="s">
        <v>184</v>
      </c>
      <c r="AA278" s="176"/>
      <c r="AB278" s="177"/>
      <c r="AD278" s="281"/>
      <c r="AE278" s="281"/>
      <c r="AF278" s="176"/>
      <c r="AG278" s="176"/>
      <c r="AH278" s="177"/>
      <c r="AJ278" s="187"/>
      <c r="AK278" s="185"/>
      <c r="AL278" s="176"/>
      <c r="AM278" s="176"/>
      <c r="AN278" s="177"/>
      <c r="AP278" s="1552"/>
      <c r="AQ278" s="1555"/>
      <c r="AR278" s="1552"/>
      <c r="AS278" s="1555"/>
      <c r="AT278" s="1544"/>
      <c r="AU278" s="262" t="s">
        <v>701</v>
      </c>
      <c r="AV278" s="263">
        <v>2400</v>
      </c>
      <c r="AW278" s="264">
        <v>2600</v>
      </c>
      <c r="AX278" s="265">
        <v>1600</v>
      </c>
      <c r="AY278" s="266">
        <v>1600</v>
      </c>
      <c r="BA278" s="235">
        <v>2440</v>
      </c>
      <c r="BC278" s="359"/>
      <c r="BE278" s="186"/>
      <c r="BF278" s="271"/>
      <c r="BG278" s="271"/>
      <c r="BH278" s="184"/>
      <c r="BJ278" s="253"/>
      <c r="BL278" s="272"/>
      <c r="BM278" s="273"/>
      <c r="BN278" s="273"/>
      <c r="BO278" s="274"/>
      <c r="BQ278" s="186"/>
      <c r="BR278" s="196"/>
      <c r="BS278" s="196"/>
      <c r="BT278" s="197"/>
      <c r="BV278" s="186"/>
      <c r="BW278" s="196"/>
      <c r="BX278" s="196"/>
      <c r="BY278" s="196"/>
      <c r="BZ278" s="197"/>
      <c r="CB278" s="186"/>
      <c r="CC278" s="196"/>
      <c r="CD278" s="196"/>
      <c r="CE278" s="196"/>
      <c r="CF278" s="197"/>
      <c r="CH278" s="198"/>
    </row>
    <row r="279" spans="1:86" ht="63">
      <c r="A279" s="1563"/>
      <c r="B279" s="168" t="s">
        <v>341</v>
      </c>
      <c r="C279" s="241" t="s">
        <v>313</v>
      </c>
      <c r="D279" s="177" t="s">
        <v>314</v>
      </c>
      <c r="F279" s="218">
        <v>32160</v>
      </c>
      <c r="G279" s="219">
        <v>39570</v>
      </c>
      <c r="H279" s="218">
        <v>28820</v>
      </c>
      <c r="I279" s="219">
        <v>36230</v>
      </c>
      <c r="J279" s="179" t="s">
        <v>182</v>
      </c>
      <c r="K279" s="220">
        <v>300</v>
      </c>
      <c r="L279" s="221">
        <v>370</v>
      </c>
      <c r="M279" s="222" t="s">
        <v>795</v>
      </c>
      <c r="N279" s="220">
        <v>260</v>
      </c>
      <c r="O279" s="221">
        <v>330</v>
      </c>
      <c r="P279" s="222" t="s">
        <v>795</v>
      </c>
      <c r="Q279" s="160" t="s">
        <v>182</v>
      </c>
      <c r="R279" s="275">
        <v>7410</v>
      </c>
      <c r="S279" s="276">
        <v>70</v>
      </c>
      <c r="T279" s="247" t="s">
        <v>184</v>
      </c>
      <c r="V279" s="182"/>
      <c r="W279" s="185"/>
      <c r="X279" s="176"/>
      <c r="Y279" s="185"/>
      <c r="Z279" s="176"/>
      <c r="AA279" s="176"/>
      <c r="AB279" s="177"/>
      <c r="AD279" s="281"/>
      <c r="AE279" s="281"/>
      <c r="AF279" s="176"/>
      <c r="AG279" s="176"/>
      <c r="AH279" s="177"/>
      <c r="AJ279" s="187" t="s">
        <v>221</v>
      </c>
      <c r="AK279" s="185"/>
      <c r="AL279" s="176" t="s">
        <v>182</v>
      </c>
      <c r="AM279" s="176">
        <v>10</v>
      </c>
      <c r="AN279" s="177" t="s">
        <v>316</v>
      </c>
      <c r="AO279" s="160" t="s">
        <v>182</v>
      </c>
      <c r="AP279" s="1550">
        <v>2600</v>
      </c>
      <c r="AQ279" s="1553">
        <v>2900</v>
      </c>
      <c r="AR279" s="1550">
        <v>1800</v>
      </c>
      <c r="AS279" s="1553">
        <v>1800</v>
      </c>
      <c r="AT279" s="1544" t="s">
        <v>664</v>
      </c>
      <c r="AU279" s="230" t="s">
        <v>697</v>
      </c>
      <c r="AV279" s="231">
        <v>5400</v>
      </c>
      <c r="AW279" s="232">
        <v>6000</v>
      </c>
      <c r="AX279" s="267">
        <v>3700</v>
      </c>
      <c r="AY279" s="252">
        <v>3700</v>
      </c>
      <c r="BA279" s="235"/>
      <c r="BB279" s="160" t="s">
        <v>182</v>
      </c>
      <c r="BC279" s="1556">
        <v>4700</v>
      </c>
      <c r="BD279" s="160" t="s">
        <v>182</v>
      </c>
      <c r="BE279" s="187">
        <v>1440</v>
      </c>
      <c r="BF279" s="176" t="s">
        <v>182</v>
      </c>
      <c r="BG279" s="176">
        <v>10</v>
      </c>
      <c r="BH279" s="177" t="s">
        <v>184</v>
      </c>
      <c r="BJ279" s="253"/>
      <c r="BK279" s="160" t="s">
        <v>188</v>
      </c>
      <c r="BL279" s="193" t="s">
        <v>317</v>
      </c>
      <c r="BM279" s="194" t="s">
        <v>317</v>
      </c>
      <c r="BN279" s="194" t="s">
        <v>317</v>
      </c>
      <c r="BO279" s="195" t="s">
        <v>317</v>
      </c>
      <c r="BP279" s="160" t="s">
        <v>188</v>
      </c>
      <c r="BQ279" s="187"/>
      <c r="BR279" s="185"/>
      <c r="BS279" s="185"/>
      <c r="BT279" s="254"/>
      <c r="BU279" s="160" t="s">
        <v>188</v>
      </c>
      <c r="BV279" s="187"/>
      <c r="BW279" s="185"/>
      <c r="BX279" s="185"/>
      <c r="BY279" s="185"/>
      <c r="BZ279" s="254"/>
      <c r="CA279" s="160" t="s">
        <v>188</v>
      </c>
      <c r="CB279" s="187"/>
      <c r="CC279" s="185"/>
      <c r="CD279" s="185"/>
      <c r="CE279" s="185"/>
      <c r="CF279" s="254"/>
      <c r="CH279" s="253" t="s">
        <v>324</v>
      </c>
    </row>
    <row r="280" spans="1:86">
      <c r="A280" s="1563"/>
      <c r="B280" s="168"/>
      <c r="C280" s="241"/>
      <c r="D280" s="177" t="s">
        <v>318</v>
      </c>
      <c r="F280" s="242">
        <v>39570</v>
      </c>
      <c r="G280" s="243">
        <v>99750</v>
      </c>
      <c r="H280" s="242">
        <v>36230</v>
      </c>
      <c r="I280" s="243">
        <v>96410</v>
      </c>
      <c r="J280" s="179" t="s">
        <v>182</v>
      </c>
      <c r="K280" s="244">
        <v>370</v>
      </c>
      <c r="L280" s="245">
        <v>880</v>
      </c>
      <c r="M280" s="246" t="s">
        <v>795</v>
      </c>
      <c r="N280" s="244">
        <v>330</v>
      </c>
      <c r="O280" s="245">
        <v>850</v>
      </c>
      <c r="P280" s="246" t="s">
        <v>795</v>
      </c>
      <c r="Q280" s="160" t="s">
        <v>182</v>
      </c>
      <c r="R280" s="187">
        <v>7410</v>
      </c>
      <c r="S280" s="185">
        <v>70</v>
      </c>
      <c r="T280" s="247" t="s">
        <v>184</v>
      </c>
      <c r="V280" s="182"/>
      <c r="W280" s="185"/>
      <c r="X280" s="176"/>
      <c r="Y280" s="185"/>
      <c r="Z280" s="176"/>
      <c r="AA280" s="176"/>
      <c r="AB280" s="177"/>
      <c r="AD280" s="281"/>
      <c r="AE280" s="281"/>
      <c r="AF280" s="176"/>
      <c r="AG280" s="176"/>
      <c r="AH280" s="177"/>
      <c r="AJ280" s="187"/>
      <c r="AK280" s="185"/>
      <c r="AL280" s="176"/>
      <c r="AM280" s="176"/>
      <c r="AN280" s="177"/>
      <c r="AP280" s="1551"/>
      <c r="AQ280" s="1554"/>
      <c r="AR280" s="1551"/>
      <c r="AS280" s="1554"/>
      <c r="AT280" s="1544"/>
      <c r="AU280" s="172" t="s">
        <v>699</v>
      </c>
      <c r="AV280" s="249">
        <v>2900</v>
      </c>
      <c r="AW280" s="250">
        <v>3300</v>
      </c>
      <c r="AX280" s="267">
        <v>2000</v>
      </c>
      <c r="AY280" s="252">
        <v>2000</v>
      </c>
      <c r="BA280" s="235" t="s">
        <v>679</v>
      </c>
      <c r="BC280" s="1557"/>
      <c r="BE280" s="187"/>
      <c r="BF280" s="176"/>
      <c r="BG280" s="176"/>
      <c r="BH280" s="177"/>
      <c r="BJ280" s="253"/>
      <c r="BL280" s="193"/>
      <c r="BM280" s="194"/>
      <c r="BN280" s="194"/>
      <c r="BO280" s="195"/>
      <c r="BQ280" s="187">
        <v>840</v>
      </c>
      <c r="BR280" s="185" t="s">
        <v>189</v>
      </c>
      <c r="BS280" s="185">
        <v>8</v>
      </c>
      <c r="BT280" s="254" t="s">
        <v>184</v>
      </c>
      <c r="BV280" s="187">
        <v>2960</v>
      </c>
      <c r="BW280" s="185" t="s">
        <v>189</v>
      </c>
      <c r="BX280" s="185">
        <v>30</v>
      </c>
      <c r="BY280" s="185" t="s">
        <v>184</v>
      </c>
      <c r="BZ280" s="254" t="s">
        <v>190</v>
      </c>
      <c r="CB280" s="187">
        <v>1890</v>
      </c>
      <c r="CC280" s="185" t="s">
        <v>189</v>
      </c>
      <c r="CD280" s="185">
        <v>10</v>
      </c>
      <c r="CE280" s="185" t="s">
        <v>184</v>
      </c>
      <c r="CF280" s="254" t="s">
        <v>190</v>
      </c>
      <c r="CH280" s="253"/>
    </row>
    <row r="281" spans="1:86">
      <c r="A281" s="1563"/>
      <c r="B281" s="168"/>
      <c r="C281" s="241" t="s">
        <v>319</v>
      </c>
      <c r="D281" s="177" t="s">
        <v>320</v>
      </c>
      <c r="F281" s="242">
        <v>99750</v>
      </c>
      <c r="G281" s="243">
        <v>173910</v>
      </c>
      <c r="H281" s="242">
        <v>96410</v>
      </c>
      <c r="I281" s="243">
        <v>170570</v>
      </c>
      <c r="J281" s="179" t="s">
        <v>182</v>
      </c>
      <c r="K281" s="244">
        <v>880</v>
      </c>
      <c r="L281" s="245">
        <v>1620</v>
      </c>
      <c r="M281" s="246" t="s">
        <v>795</v>
      </c>
      <c r="N281" s="244">
        <v>850</v>
      </c>
      <c r="O281" s="245">
        <v>1590</v>
      </c>
      <c r="P281" s="246" t="s">
        <v>795</v>
      </c>
      <c r="R281" s="182"/>
      <c r="S281" s="176"/>
      <c r="T281" s="177"/>
      <c r="V281" s="182"/>
      <c r="W281" s="185"/>
      <c r="X281" s="176"/>
      <c r="Y281" s="185"/>
      <c r="Z281" s="176"/>
      <c r="AA281" s="176"/>
      <c r="AB281" s="177"/>
      <c r="AD281" s="281"/>
      <c r="AE281" s="281"/>
      <c r="AF281" s="176"/>
      <c r="AG281" s="176"/>
      <c r="AH281" s="177"/>
      <c r="AJ281" s="187">
        <v>1690</v>
      </c>
      <c r="AK281" s="185" t="s">
        <v>321</v>
      </c>
      <c r="AL281" s="176"/>
      <c r="AM281" s="176"/>
      <c r="AN281" s="177"/>
      <c r="AP281" s="1551"/>
      <c r="AQ281" s="1554"/>
      <c r="AR281" s="1551"/>
      <c r="AS281" s="1554"/>
      <c r="AT281" s="1544"/>
      <c r="AU281" s="172" t="s">
        <v>700</v>
      </c>
      <c r="AV281" s="249">
        <v>2500</v>
      </c>
      <c r="AW281" s="250">
        <v>2800</v>
      </c>
      <c r="AX281" s="267">
        <v>1800</v>
      </c>
      <c r="AY281" s="252">
        <v>1800</v>
      </c>
      <c r="BA281" s="235">
        <v>2360</v>
      </c>
      <c r="BC281" s="359"/>
      <c r="BE281" s="187"/>
      <c r="BF281" s="176"/>
      <c r="BG281" s="176"/>
      <c r="BH281" s="177"/>
      <c r="BJ281" s="253"/>
      <c r="BL281" s="193">
        <v>0.02</v>
      </c>
      <c r="BM281" s="194">
        <v>0.03</v>
      </c>
      <c r="BN281" s="194">
        <v>0.05</v>
      </c>
      <c r="BO281" s="195">
        <v>0.06</v>
      </c>
      <c r="BQ281" s="187"/>
      <c r="BR281" s="185"/>
      <c r="BS281" s="185"/>
      <c r="BT281" s="254"/>
      <c r="BV281" s="187"/>
      <c r="BW281" s="185"/>
      <c r="BX281" s="185"/>
      <c r="BY281" s="185"/>
      <c r="BZ281" s="254"/>
      <c r="CB281" s="187"/>
      <c r="CC281" s="185"/>
      <c r="CD281" s="185"/>
      <c r="CE281" s="185"/>
      <c r="CF281" s="254"/>
      <c r="CH281" s="253">
        <v>0.98</v>
      </c>
    </row>
    <row r="282" spans="1:86">
      <c r="A282" s="1563"/>
      <c r="B282" s="168"/>
      <c r="C282" s="241"/>
      <c r="D282" s="177" t="s">
        <v>322</v>
      </c>
      <c r="F282" s="256">
        <v>173910</v>
      </c>
      <c r="G282" s="257"/>
      <c r="H282" s="256">
        <v>170570</v>
      </c>
      <c r="I282" s="257"/>
      <c r="J282" s="179" t="s">
        <v>182</v>
      </c>
      <c r="K282" s="258">
        <v>1620</v>
      </c>
      <c r="L282" s="259"/>
      <c r="M282" s="260" t="s">
        <v>795</v>
      </c>
      <c r="N282" s="258">
        <v>1590</v>
      </c>
      <c r="O282" s="259"/>
      <c r="P282" s="260" t="s">
        <v>795</v>
      </c>
      <c r="R282" s="182"/>
      <c r="S282" s="176"/>
      <c r="T282" s="177"/>
      <c r="V282" s="182"/>
      <c r="W282" s="185"/>
      <c r="X282" s="176"/>
      <c r="Y282" s="185"/>
      <c r="Z282" s="176"/>
      <c r="AA282" s="176"/>
      <c r="AB282" s="177"/>
      <c r="AD282" s="281"/>
      <c r="AE282" s="281"/>
      <c r="AF282" s="176"/>
      <c r="AG282" s="176"/>
      <c r="AH282" s="177"/>
      <c r="AJ282" s="187"/>
      <c r="AK282" s="185"/>
      <c r="AL282" s="176"/>
      <c r="AM282" s="176"/>
      <c r="AN282" s="177"/>
      <c r="AP282" s="1552"/>
      <c r="AQ282" s="1555"/>
      <c r="AR282" s="1552"/>
      <c r="AS282" s="1555"/>
      <c r="AT282" s="1544"/>
      <c r="AU282" s="262" t="s">
        <v>701</v>
      </c>
      <c r="AV282" s="263">
        <v>2300</v>
      </c>
      <c r="AW282" s="264">
        <v>2500</v>
      </c>
      <c r="AX282" s="265">
        <v>1600</v>
      </c>
      <c r="AY282" s="266">
        <v>1600</v>
      </c>
      <c r="BA282" s="235"/>
      <c r="BC282" s="359"/>
      <c r="BE282" s="187"/>
      <c r="BF282" s="176"/>
      <c r="BG282" s="176"/>
      <c r="BH282" s="177"/>
      <c r="BJ282" s="253"/>
      <c r="BL282" s="193"/>
      <c r="BM282" s="194"/>
      <c r="BN282" s="194"/>
      <c r="BO282" s="195"/>
      <c r="BQ282" s="187"/>
      <c r="BR282" s="185"/>
      <c r="BS282" s="185"/>
      <c r="BT282" s="254"/>
      <c r="BV282" s="187"/>
      <c r="BW282" s="185"/>
      <c r="BX282" s="185"/>
      <c r="BY282" s="185"/>
      <c r="BZ282" s="254"/>
      <c r="CB282" s="187"/>
      <c r="CC282" s="185"/>
      <c r="CD282" s="185"/>
      <c r="CE282" s="185"/>
      <c r="CF282" s="254"/>
      <c r="CH282" s="253"/>
    </row>
    <row r="283" spans="1:86" ht="63">
      <c r="A283" s="1563"/>
      <c r="B283" s="215" t="s">
        <v>342</v>
      </c>
      <c r="C283" s="216" t="s">
        <v>313</v>
      </c>
      <c r="D283" s="217" t="s">
        <v>314</v>
      </c>
      <c r="F283" s="218">
        <v>32100</v>
      </c>
      <c r="G283" s="219">
        <v>39510</v>
      </c>
      <c r="H283" s="218">
        <v>28980</v>
      </c>
      <c r="I283" s="219">
        <v>36390</v>
      </c>
      <c r="J283" s="179" t="s">
        <v>182</v>
      </c>
      <c r="K283" s="220">
        <v>300</v>
      </c>
      <c r="L283" s="221">
        <v>370</v>
      </c>
      <c r="M283" s="222" t="s">
        <v>795</v>
      </c>
      <c r="N283" s="220">
        <v>270</v>
      </c>
      <c r="O283" s="221">
        <v>340</v>
      </c>
      <c r="P283" s="222" t="s">
        <v>795</v>
      </c>
      <c r="Q283" s="160" t="s">
        <v>182</v>
      </c>
      <c r="R283" s="223">
        <v>7410</v>
      </c>
      <c r="S283" s="224">
        <v>70</v>
      </c>
      <c r="T283" s="225" t="s">
        <v>184</v>
      </c>
      <c r="V283" s="182"/>
      <c r="W283" s="185"/>
      <c r="X283" s="176"/>
      <c r="Y283" s="185"/>
      <c r="Z283" s="176"/>
      <c r="AA283" s="176"/>
      <c r="AB283" s="177"/>
      <c r="AD283" s="281"/>
      <c r="AE283" s="281"/>
      <c r="AF283" s="176"/>
      <c r="AG283" s="176"/>
      <c r="AH283" s="177"/>
      <c r="AJ283" s="187" t="s">
        <v>223</v>
      </c>
      <c r="AK283" s="185"/>
      <c r="AL283" s="176" t="s">
        <v>182</v>
      </c>
      <c r="AM283" s="176">
        <v>10</v>
      </c>
      <c r="AN283" s="177" t="s">
        <v>316</v>
      </c>
      <c r="AO283" s="160" t="s">
        <v>182</v>
      </c>
      <c r="AP283" s="1550">
        <v>2400</v>
      </c>
      <c r="AQ283" s="1553">
        <v>2700</v>
      </c>
      <c r="AR283" s="1550">
        <v>1700</v>
      </c>
      <c r="AS283" s="1553">
        <v>1700</v>
      </c>
      <c r="AT283" s="1544" t="s">
        <v>664</v>
      </c>
      <c r="AU283" s="230" t="s">
        <v>697</v>
      </c>
      <c r="AV283" s="231">
        <v>4800</v>
      </c>
      <c r="AW283" s="232">
        <v>5400</v>
      </c>
      <c r="AX283" s="267">
        <v>3400</v>
      </c>
      <c r="AY283" s="252">
        <v>3400</v>
      </c>
      <c r="BA283" s="235" t="s">
        <v>680</v>
      </c>
      <c r="BB283" s="160" t="s">
        <v>182</v>
      </c>
      <c r="BC283" s="1556">
        <v>4700</v>
      </c>
      <c r="BD283" s="160" t="s">
        <v>182</v>
      </c>
      <c r="BE283" s="228">
        <v>1350</v>
      </c>
      <c r="BF283" s="226" t="s">
        <v>182</v>
      </c>
      <c r="BG283" s="226">
        <v>10</v>
      </c>
      <c r="BH283" s="217" t="s">
        <v>184</v>
      </c>
      <c r="BJ283" s="253"/>
      <c r="BK283" s="160" t="s">
        <v>188</v>
      </c>
      <c r="BL283" s="237" t="s">
        <v>317</v>
      </c>
      <c r="BM283" s="238" t="s">
        <v>317</v>
      </c>
      <c r="BN283" s="238" t="s">
        <v>317</v>
      </c>
      <c r="BO283" s="239" t="s">
        <v>317</v>
      </c>
      <c r="BP283" s="160" t="s">
        <v>188</v>
      </c>
      <c r="BQ283" s="228"/>
      <c r="BR283" s="229"/>
      <c r="BS283" s="229"/>
      <c r="BT283" s="240"/>
      <c r="BU283" s="160" t="s">
        <v>188</v>
      </c>
      <c r="BV283" s="228"/>
      <c r="BW283" s="229"/>
      <c r="BX283" s="229"/>
      <c r="BY283" s="229"/>
      <c r="BZ283" s="240"/>
      <c r="CA283" s="160" t="s">
        <v>188</v>
      </c>
      <c r="CB283" s="228"/>
      <c r="CC283" s="229"/>
      <c r="CD283" s="229"/>
      <c r="CE283" s="229"/>
      <c r="CF283" s="240"/>
      <c r="CH283" s="236" t="s">
        <v>324</v>
      </c>
    </row>
    <row r="284" spans="1:86">
      <c r="A284" s="1563"/>
      <c r="B284" s="168"/>
      <c r="C284" s="241"/>
      <c r="D284" s="177" t="s">
        <v>318</v>
      </c>
      <c r="F284" s="242">
        <v>39510</v>
      </c>
      <c r="G284" s="243">
        <v>99690</v>
      </c>
      <c r="H284" s="242">
        <v>36390</v>
      </c>
      <c r="I284" s="243">
        <v>96570</v>
      </c>
      <c r="J284" s="179" t="s">
        <v>182</v>
      </c>
      <c r="K284" s="244">
        <v>370</v>
      </c>
      <c r="L284" s="245">
        <v>880</v>
      </c>
      <c r="M284" s="246" t="s">
        <v>795</v>
      </c>
      <c r="N284" s="244">
        <v>340</v>
      </c>
      <c r="O284" s="245">
        <v>850</v>
      </c>
      <c r="P284" s="246" t="s">
        <v>795</v>
      </c>
      <c r="Q284" s="160" t="s">
        <v>182</v>
      </c>
      <c r="R284" s="187">
        <v>7410</v>
      </c>
      <c r="S284" s="185">
        <v>70</v>
      </c>
      <c r="T284" s="247" t="s">
        <v>184</v>
      </c>
      <c r="V284" s="182"/>
      <c r="W284" s="185"/>
      <c r="X284" s="176"/>
      <c r="Y284" s="185"/>
      <c r="Z284" s="176"/>
      <c r="AA284" s="176"/>
      <c r="AB284" s="177"/>
      <c r="AD284" s="281"/>
      <c r="AE284" s="281"/>
      <c r="AF284" s="176"/>
      <c r="AG284" s="176"/>
      <c r="AH284" s="177"/>
      <c r="AJ284" s="187"/>
      <c r="AK284" s="185"/>
      <c r="AL284" s="176"/>
      <c r="AM284" s="176"/>
      <c r="AN284" s="177"/>
      <c r="AP284" s="1551"/>
      <c r="AQ284" s="1554"/>
      <c r="AR284" s="1551"/>
      <c r="AS284" s="1554"/>
      <c r="AT284" s="1544"/>
      <c r="AU284" s="172" t="s">
        <v>699</v>
      </c>
      <c r="AV284" s="249">
        <v>2600</v>
      </c>
      <c r="AW284" s="250">
        <v>2900</v>
      </c>
      <c r="AX284" s="267">
        <v>1800</v>
      </c>
      <c r="AY284" s="252">
        <v>1800</v>
      </c>
      <c r="BA284" s="235">
        <v>2150</v>
      </c>
      <c r="BC284" s="1557"/>
      <c r="BE284" s="187"/>
      <c r="BF284" s="176"/>
      <c r="BG284" s="176"/>
      <c r="BH284" s="177"/>
      <c r="BJ284" s="253"/>
      <c r="BL284" s="193"/>
      <c r="BM284" s="194"/>
      <c r="BN284" s="194"/>
      <c r="BO284" s="195"/>
      <c r="BQ284" s="187">
        <v>790</v>
      </c>
      <c r="BR284" s="185" t="s">
        <v>189</v>
      </c>
      <c r="BS284" s="185">
        <v>8</v>
      </c>
      <c r="BT284" s="254" t="s">
        <v>184</v>
      </c>
      <c r="BV284" s="187">
        <v>2780</v>
      </c>
      <c r="BW284" s="185" t="s">
        <v>189</v>
      </c>
      <c r="BX284" s="185">
        <v>20</v>
      </c>
      <c r="BY284" s="185" t="s">
        <v>184</v>
      </c>
      <c r="BZ284" s="254" t="s">
        <v>190</v>
      </c>
      <c r="CB284" s="187">
        <v>1770</v>
      </c>
      <c r="CC284" s="185" t="s">
        <v>189</v>
      </c>
      <c r="CD284" s="185">
        <v>10</v>
      </c>
      <c r="CE284" s="185" t="s">
        <v>184</v>
      </c>
      <c r="CF284" s="254" t="s">
        <v>190</v>
      </c>
      <c r="CH284" s="253"/>
    </row>
    <row r="285" spans="1:86">
      <c r="A285" s="1563"/>
      <c r="B285" s="168"/>
      <c r="C285" s="241" t="s">
        <v>319</v>
      </c>
      <c r="D285" s="177" t="s">
        <v>320</v>
      </c>
      <c r="F285" s="242">
        <v>99690</v>
      </c>
      <c r="G285" s="243">
        <v>173850</v>
      </c>
      <c r="H285" s="242">
        <v>96570</v>
      </c>
      <c r="I285" s="243">
        <v>170730</v>
      </c>
      <c r="J285" s="179" t="s">
        <v>182</v>
      </c>
      <c r="K285" s="244">
        <v>880</v>
      </c>
      <c r="L285" s="245">
        <v>1620</v>
      </c>
      <c r="M285" s="246" t="s">
        <v>795</v>
      </c>
      <c r="N285" s="244">
        <v>850</v>
      </c>
      <c r="O285" s="245">
        <v>1590</v>
      </c>
      <c r="P285" s="246" t="s">
        <v>795</v>
      </c>
      <c r="R285" s="182"/>
      <c r="S285" s="176"/>
      <c r="T285" s="177"/>
      <c r="V285" s="182"/>
      <c r="W285" s="185"/>
      <c r="X285" s="176"/>
      <c r="Y285" s="185"/>
      <c r="Z285" s="176"/>
      <c r="AA285" s="176"/>
      <c r="AB285" s="177"/>
      <c r="AD285" s="281"/>
      <c r="AE285" s="281"/>
      <c r="AF285" s="176"/>
      <c r="AG285" s="176"/>
      <c r="AH285" s="177"/>
      <c r="AJ285" s="187">
        <v>1520</v>
      </c>
      <c r="AK285" s="185" t="s">
        <v>321</v>
      </c>
      <c r="AL285" s="176"/>
      <c r="AM285" s="176"/>
      <c r="AN285" s="177"/>
      <c r="AP285" s="1551"/>
      <c r="AQ285" s="1554"/>
      <c r="AR285" s="1551"/>
      <c r="AS285" s="1554"/>
      <c r="AT285" s="1544"/>
      <c r="AU285" s="172" t="s">
        <v>700</v>
      </c>
      <c r="AV285" s="249">
        <v>2300</v>
      </c>
      <c r="AW285" s="250">
        <v>2500</v>
      </c>
      <c r="AX285" s="267">
        <v>1600</v>
      </c>
      <c r="AY285" s="252">
        <v>1600</v>
      </c>
      <c r="BA285" s="235"/>
      <c r="BC285" s="359"/>
      <c r="BE285" s="187"/>
      <c r="BF285" s="176"/>
      <c r="BG285" s="176"/>
      <c r="BH285" s="177"/>
      <c r="BJ285" s="253"/>
      <c r="BL285" s="193">
        <v>0.02</v>
      </c>
      <c r="BM285" s="194">
        <v>0.03</v>
      </c>
      <c r="BN285" s="194">
        <v>0.05</v>
      </c>
      <c r="BO285" s="195">
        <v>0.06</v>
      </c>
      <c r="BQ285" s="187"/>
      <c r="BR285" s="185"/>
      <c r="BS285" s="185"/>
      <c r="BT285" s="254"/>
      <c r="BV285" s="187"/>
      <c r="BW285" s="185"/>
      <c r="BX285" s="185"/>
      <c r="BY285" s="185"/>
      <c r="BZ285" s="254"/>
      <c r="CB285" s="187"/>
      <c r="CC285" s="185"/>
      <c r="CD285" s="185"/>
      <c r="CE285" s="185"/>
      <c r="CF285" s="254"/>
      <c r="CH285" s="253">
        <v>0.98</v>
      </c>
    </row>
    <row r="286" spans="1:86">
      <c r="A286" s="1563"/>
      <c r="B286" s="269"/>
      <c r="C286" s="270"/>
      <c r="D286" s="184" t="s">
        <v>322</v>
      </c>
      <c r="F286" s="256">
        <v>173850</v>
      </c>
      <c r="G286" s="257"/>
      <c r="H286" s="256">
        <v>170730</v>
      </c>
      <c r="I286" s="257"/>
      <c r="J286" s="179" t="s">
        <v>182</v>
      </c>
      <c r="K286" s="258">
        <v>1620</v>
      </c>
      <c r="L286" s="259"/>
      <c r="M286" s="260" t="s">
        <v>795</v>
      </c>
      <c r="N286" s="258">
        <v>1590</v>
      </c>
      <c r="O286" s="259"/>
      <c r="P286" s="260" t="s">
        <v>795</v>
      </c>
      <c r="R286" s="183"/>
      <c r="S286" s="271"/>
      <c r="T286" s="184"/>
      <c r="V286" s="182"/>
      <c r="W286" s="185"/>
      <c r="X286" s="176"/>
      <c r="Y286" s="185"/>
      <c r="Z286" s="176"/>
      <c r="AA286" s="176"/>
      <c r="AB286" s="177"/>
      <c r="AD286" s="281"/>
      <c r="AE286" s="281"/>
      <c r="AF286" s="176"/>
      <c r="AG286" s="176"/>
      <c r="AH286" s="177"/>
      <c r="AJ286" s="187"/>
      <c r="AK286" s="185"/>
      <c r="AL286" s="176"/>
      <c r="AM286" s="176"/>
      <c r="AN286" s="177"/>
      <c r="AP286" s="1552"/>
      <c r="AQ286" s="1555"/>
      <c r="AR286" s="1552"/>
      <c r="AS286" s="1555"/>
      <c r="AT286" s="1544"/>
      <c r="AU286" s="262" t="s">
        <v>701</v>
      </c>
      <c r="AV286" s="263">
        <v>2000</v>
      </c>
      <c r="AW286" s="264">
        <v>2300</v>
      </c>
      <c r="AX286" s="265">
        <v>1400</v>
      </c>
      <c r="AY286" s="266">
        <v>1400</v>
      </c>
      <c r="BA286" s="235"/>
      <c r="BC286" s="359"/>
      <c r="BE286" s="186"/>
      <c r="BF286" s="271"/>
      <c r="BG286" s="271"/>
      <c r="BH286" s="184"/>
      <c r="BJ286" s="253"/>
      <c r="BL286" s="272"/>
      <c r="BM286" s="273"/>
      <c r="BN286" s="273"/>
      <c r="BO286" s="274"/>
      <c r="BQ286" s="186"/>
      <c r="BR286" s="196"/>
      <c r="BS286" s="196"/>
      <c r="BT286" s="197"/>
      <c r="BV286" s="186"/>
      <c r="BW286" s="196"/>
      <c r="BX286" s="196"/>
      <c r="BY286" s="196"/>
      <c r="BZ286" s="197"/>
      <c r="CB286" s="186"/>
      <c r="CC286" s="196"/>
      <c r="CD286" s="196"/>
      <c r="CE286" s="196"/>
      <c r="CF286" s="197"/>
      <c r="CH286" s="198"/>
    </row>
    <row r="287" spans="1:86" ht="63">
      <c r="A287" s="1563"/>
      <c r="B287" s="168" t="s">
        <v>343</v>
      </c>
      <c r="C287" s="241" t="s">
        <v>313</v>
      </c>
      <c r="D287" s="177" t="s">
        <v>314</v>
      </c>
      <c r="F287" s="218">
        <v>31260</v>
      </c>
      <c r="G287" s="219">
        <v>38670</v>
      </c>
      <c r="H287" s="218">
        <v>28320</v>
      </c>
      <c r="I287" s="219">
        <v>35730</v>
      </c>
      <c r="J287" s="179" t="s">
        <v>182</v>
      </c>
      <c r="K287" s="220">
        <v>290</v>
      </c>
      <c r="L287" s="221">
        <v>360</v>
      </c>
      <c r="M287" s="222" t="s">
        <v>795</v>
      </c>
      <c r="N287" s="220">
        <v>260</v>
      </c>
      <c r="O287" s="221">
        <v>330</v>
      </c>
      <c r="P287" s="222" t="s">
        <v>795</v>
      </c>
      <c r="Q287" s="160" t="s">
        <v>182</v>
      </c>
      <c r="R287" s="275">
        <v>7410</v>
      </c>
      <c r="S287" s="276">
        <v>70</v>
      </c>
      <c r="T287" s="247" t="s">
        <v>184</v>
      </c>
      <c r="V287" s="182"/>
      <c r="W287" s="185"/>
      <c r="X287" s="176"/>
      <c r="Y287" s="185"/>
      <c r="Z287" s="176"/>
      <c r="AA287" s="176"/>
      <c r="AB287" s="177"/>
      <c r="AD287" s="281"/>
      <c r="AE287" s="281"/>
      <c r="AF287" s="176"/>
      <c r="AG287" s="176"/>
      <c r="AH287" s="177"/>
      <c r="AJ287" s="187" t="s">
        <v>225</v>
      </c>
      <c r="AK287" s="185"/>
      <c r="AL287" s="176" t="s">
        <v>182</v>
      </c>
      <c r="AM287" s="176">
        <v>10</v>
      </c>
      <c r="AN287" s="177" t="s">
        <v>316</v>
      </c>
      <c r="AO287" s="160" t="s">
        <v>182</v>
      </c>
      <c r="AP287" s="1550">
        <v>2600</v>
      </c>
      <c r="AQ287" s="1553">
        <v>2900</v>
      </c>
      <c r="AR287" s="1550">
        <v>1800</v>
      </c>
      <c r="AS287" s="1553">
        <v>1800</v>
      </c>
      <c r="AT287" s="1544" t="s">
        <v>664</v>
      </c>
      <c r="AU287" s="230" t="s">
        <v>697</v>
      </c>
      <c r="AV287" s="231">
        <v>5400</v>
      </c>
      <c r="AW287" s="232">
        <v>6000</v>
      </c>
      <c r="AX287" s="267">
        <v>3700</v>
      </c>
      <c r="AY287" s="252">
        <v>3700</v>
      </c>
      <c r="BA287" s="1545" t="s">
        <v>717</v>
      </c>
      <c r="BB287" s="160" t="s">
        <v>182</v>
      </c>
      <c r="BC287" s="1556">
        <v>4700</v>
      </c>
      <c r="BD287" s="160" t="s">
        <v>182</v>
      </c>
      <c r="BE287" s="187">
        <v>1270</v>
      </c>
      <c r="BF287" s="176" t="s">
        <v>182</v>
      </c>
      <c r="BG287" s="176">
        <v>10</v>
      </c>
      <c r="BH287" s="177" t="s">
        <v>184</v>
      </c>
      <c r="BJ287" s="253"/>
      <c r="BK287" s="160" t="s">
        <v>188</v>
      </c>
      <c r="BL287" s="193" t="s">
        <v>317</v>
      </c>
      <c r="BM287" s="194" t="s">
        <v>317</v>
      </c>
      <c r="BN287" s="194" t="s">
        <v>317</v>
      </c>
      <c r="BO287" s="195" t="s">
        <v>317</v>
      </c>
      <c r="BP287" s="160" t="s">
        <v>188</v>
      </c>
      <c r="BQ287" s="187"/>
      <c r="BR287" s="185"/>
      <c r="BS287" s="185"/>
      <c r="BT287" s="254"/>
      <c r="BU287" s="160" t="s">
        <v>188</v>
      </c>
      <c r="BV287" s="187"/>
      <c r="BW287" s="185"/>
      <c r="BX287" s="185"/>
      <c r="BY287" s="185"/>
      <c r="BZ287" s="254"/>
      <c r="CA287" s="160" t="s">
        <v>188</v>
      </c>
      <c r="CB287" s="187"/>
      <c r="CC287" s="185"/>
      <c r="CD287" s="185"/>
      <c r="CE287" s="185"/>
      <c r="CF287" s="254"/>
      <c r="CH287" s="253" t="s">
        <v>324</v>
      </c>
    </row>
    <row r="288" spans="1:86">
      <c r="A288" s="1563"/>
      <c r="B288" s="168"/>
      <c r="C288" s="241"/>
      <c r="D288" s="177" t="s">
        <v>318</v>
      </c>
      <c r="F288" s="242">
        <v>38670</v>
      </c>
      <c r="G288" s="243">
        <v>98850</v>
      </c>
      <c r="H288" s="242">
        <v>35730</v>
      </c>
      <c r="I288" s="243">
        <v>95910</v>
      </c>
      <c r="J288" s="179" t="s">
        <v>182</v>
      </c>
      <c r="K288" s="244">
        <v>360</v>
      </c>
      <c r="L288" s="245">
        <v>870</v>
      </c>
      <c r="M288" s="246" t="s">
        <v>795</v>
      </c>
      <c r="N288" s="244">
        <v>330</v>
      </c>
      <c r="O288" s="245">
        <v>840</v>
      </c>
      <c r="P288" s="246" t="s">
        <v>795</v>
      </c>
      <c r="Q288" s="160" t="s">
        <v>182</v>
      </c>
      <c r="R288" s="187">
        <v>7410</v>
      </c>
      <c r="S288" s="185">
        <v>70</v>
      </c>
      <c r="T288" s="247" t="s">
        <v>184</v>
      </c>
      <c r="V288" s="182"/>
      <c r="W288" s="185"/>
      <c r="X288" s="176"/>
      <c r="Y288" s="185"/>
      <c r="Z288" s="176"/>
      <c r="AA288" s="176"/>
      <c r="AB288" s="177"/>
      <c r="AD288" s="281"/>
      <c r="AE288" s="281"/>
      <c r="AF288" s="176"/>
      <c r="AG288" s="176"/>
      <c r="AH288" s="177"/>
      <c r="AJ288" s="187"/>
      <c r="AK288" s="185"/>
      <c r="AL288" s="176"/>
      <c r="AM288" s="176"/>
      <c r="AN288" s="177"/>
      <c r="AP288" s="1551"/>
      <c r="AQ288" s="1554"/>
      <c r="AR288" s="1551"/>
      <c r="AS288" s="1554"/>
      <c r="AT288" s="1544"/>
      <c r="AU288" s="172" t="s">
        <v>699</v>
      </c>
      <c r="AV288" s="249">
        <v>2900</v>
      </c>
      <c r="AW288" s="250">
        <v>3300</v>
      </c>
      <c r="AX288" s="267">
        <v>2000</v>
      </c>
      <c r="AY288" s="252">
        <v>2000</v>
      </c>
      <c r="BA288" s="1545"/>
      <c r="BC288" s="1557"/>
      <c r="BE288" s="187"/>
      <c r="BF288" s="176"/>
      <c r="BG288" s="176"/>
      <c r="BH288" s="177"/>
      <c r="BJ288" s="253"/>
      <c r="BL288" s="193"/>
      <c r="BM288" s="194"/>
      <c r="BN288" s="194"/>
      <c r="BO288" s="195"/>
      <c r="BQ288" s="187">
        <v>740</v>
      </c>
      <c r="BR288" s="185" t="s">
        <v>189</v>
      </c>
      <c r="BS288" s="185">
        <v>7</v>
      </c>
      <c r="BT288" s="254" t="s">
        <v>184</v>
      </c>
      <c r="BV288" s="187">
        <v>2610</v>
      </c>
      <c r="BW288" s="185" t="s">
        <v>189</v>
      </c>
      <c r="BX288" s="185">
        <v>20</v>
      </c>
      <c r="BY288" s="185" t="s">
        <v>184</v>
      </c>
      <c r="BZ288" s="254" t="s">
        <v>190</v>
      </c>
      <c r="CB288" s="187">
        <v>1660</v>
      </c>
      <c r="CC288" s="185" t="s">
        <v>189</v>
      </c>
      <c r="CD288" s="185">
        <v>10</v>
      </c>
      <c r="CE288" s="185" t="s">
        <v>184</v>
      </c>
      <c r="CF288" s="254" t="s">
        <v>190</v>
      </c>
      <c r="CH288" s="253"/>
    </row>
    <row r="289" spans="1:86">
      <c r="A289" s="1563"/>
      <c r="B289" s="168"/>
      <c r="C289" s="241" t="s">
        <v>319</v>
      </c>
      <c r="D289" s="177" t="s">
        <v>320</v>
      </c>
      <c r="F289" s="242">
        <v>98850</v>
      </c>
      <c r="G289" s="243">
        <v>173010</v>
      </c>
      <c r="H289" s="242">
        <v>95910</v>
      </c>
      <c r="I289" s="243">
        <v>170070</v>
      </c>
      <c r="J289" s="179" t="s">
        <v>182</v>
      </c>
      <c r="K289" s="244">
        <v>870</v>
      </c>
      <c r="L289" s="245">
        <v>1610</v>
      </c>
      <c r="M289" s="246" t="s">
        <v>795</v>
      </c>
      <c r="N289" s="244">
        <v>840</v>
      </c>
      <c r="O289" s="245">
        <v>1580</v>
      </c>
      <c r="P289" s="246" t="s">
        <v>795</v>
      </c>
      <c r="R289" s="182"/>
      <c r="S289" s="176"/>
      <c r="T289" s="177"/>
      <c r="V289" s="182"/>
      <c r="W289" s="185"/>
      <c r="X289" s="176"/>
      <c r="Y289" s="185"/>
      <c r="Z289" s="176"/>
      <c r="AA289" s="176"/>
      <c r="AB289" s="177"/>
      <c r="AD289" s="281"/>
      <c r="AE289" s="281"/>
      <c r="AF289" s="176"/>
      <c r="AG289" s="176"/>
      <c r="AH289" s="177"/>
      <c r="AJ289" s="187">
        <v>1380</v>
      </c>
      <c r="AK289" s="185" t="s">
        <v>321</v>
      </c>
      <c r="AL289" s="176"/>
      <c r="AM289" s="176"/>
      <c r="AN289" s="177"/>
      <c r="AP289" s="1551"/>
      <c r="AQ289" s="1554"/>
      <c r="AR289" s="1551"/>
      <c r="AS289" s="1554"/>
      <c r="AT289" s="1544"/>
      <c r="AU289" s="172" t="s">
        <v>700</v>
      </c>
      <c r="AV289" s="249">
        <v>2500</v>
      </c>
      <c r="AW289" s="250">
        <v>2800</v>
      </c>
      <c r="AX289" s="267">
        <v>1800</v>
      </c>
      <c r="AY289" s="252">
        <v>1800</v>
      </c>
      <c r="BA289" s="235"/>
      <c r="BC289" s="358"/>
      <c r="BE289" s="187"/>
      <c r="BF289" s="176"/>
      <c r="BG289" s="176"/>
      <c r="BH289" s="177"/>
      <c r="BJ289" s="253"/>
      <c r="BL289" s="193">
        <v>0.02</v>
      </c>
      <c r="BM289" s="194">
        <v>0.03</v>
      </c>
      <c r="BN289" s="194">
        <v>0.05</v>
      </c>
      <c r="BO289" s="195">
        <v>0.06</v>
      </c>
      <c r="BQ289" s="187"/>
      <c r="BR289" s="185"/>
      <c r="BS289" s="185"/>
      <c r="BT289" s="254"/>
      <c r="BV289" s="187"/>
      <c r="BW289" s="185"/>
      <c r="BX289" s="185"/>
      <c r="BY289" s="185"/>
      <c r="BZ289" s="254"/>
      <c r="CB289" s="187"/>
      <c r="CC289" s="185"/>
      <c r="CD289" s="185"/>
      <c r="CE289" s="185"/>
      <c r="CF289" s="254"/>
      <c r="CH289" s="253">
        <v>0.99</v>
      </c>
    </row>
    <row r="290" spans="1:86">
      <c r="A290" s="1563"/>
      <c r="B290" s="168"/>
      <c r="C290" s="241"/>
      <c r="D290" s="177" t="s">
        <v>322</v>
      </c>
      <c r="F290" s="256">
        <v>173010</v>
      </c>
      <c r="G290" s="257"/>
      <c r="H290" s="256">
        <v>170070</v>
      </c>
      <c r="I290" s="257"/>
      <c r="J290" s="179" t="s">
        <v>182</v>
      </c>
      <c r="K290" s="258">
        <v>1610</v>
      </c>
      <c r="L290" s="259"/>
      <c r="M290" s="260" t="s">
        <v>795</v>
      </c>
      <c r="N290" s="258">
        <v>1580</v>
      </c>
      <c r="O290" s="259"/>
      <c r="P290" s="260" t="s">
        <v>795</v>
      </c>
      <c r="R290" s="182"/>
      <c r="S290" s="176"/>
      <c r="T290" s="177"/>
      <c r="V290" s="182"/>
      <c r="W290" s="185"/>
      <c r="X290" s="176"/>
      <c r="Y290" s="185"/>
      <c r="Z290" s="176"/>
      <c r="AA290" s="176"/>
      <c r="AB290" s="177"/>
      <c r="AD290" s="281"/>
      <c r="AE290" s="281"/>
      <c r="AF290" s="176"/>
      <c r="AG290" s="176"/>
      <c r="AH290" s="177"/>
      <c r="AJ290" s="187"/>
      <c r="AK290" s="185"/>
      <c r="AL290" s="176"/>
      <c r="AM290" s="176"/>
      <c r="AN290" s="177"/>
      <c r="AP290" s="1552"/>
      <c r="AQ290" s="1555"/>
      <c r="AR290" s="1552"/>
      <c r="AS290" s="1555"/>
      <c r="AT290" s="1544"/>
      <c r="AU290" s="262" t="s">
        <v>701</v>
      </c>
      <c r="AV290" s="263">
        <v>2300</v>
      </c>
      <c r="AW290" s="264">
        <v>2500</v>
      </c>
      <c r="AX290" s="265">
        <v>1600</v>
      </c>
      <c r="AY290" s="266">
        <v>1600</v>
      </c>
      <c r="BA290" s="235"/>
      <c r="BC290" s="359"/>
      <c r="BE290" s="187"/>
      <c r="BF290" s="176"/>
      <c r="BG290" s="176"/>
      <c r="BH290" s="177"/>
      <c r="BJ290" s="253"/>
      <c r="BL290" s="193"/>
      <c r="BM290" s="194"/>
      <c r="BN290" s="194"/>
      <c r="BO290" s="195"/>
      <c r="BQ290" s="187"/>
      <c r="BR290" s="185"/>
      <c r="BS290" s="185"/>
      <c r="BT290" s="254"/>
      <c r="BV290" s="187"/>
      <c r="BW290" s="185"/>
      <c r="BX290" s="185"/>
      <c r="BY290" s="185"/>
      <c r="BZ290" s="254"/>
      <c r="CB290" s="187"/>
      <c r="CC290" s="185"/>
      <c r="CD290" s="185"/>
      <c r="CE290" s="185"/>
      <c r="CF290" s="254"/>
      <c r="CH290" s="253"/>
    </row>
    <row r="291" spans="1:86" ht="31.5">
      <c r="A291" s="1563"/>
      <c r="B291" s="215" t="s">
        <v>344</v>
      </c>
      <c r="C291" s="216" t="s">
        <v>313</v>
      </c>
      <c r="D291" s="217" t="s">
        <v>314</v>
      </c>
      <c r="F291" s="218">
        <v>30500</v>
      </c>
      <c r="G291" s="219">
        <v>37910</v>
      </c>
      <c r="H291" s="218">
        <v>27720</v>
      </c>
      <c r="I291" s="219">
        <v>35130</v>
      </c>
      <c r="J291" s="179" t="s">
        <v>182</v>
      </c>
      <c r="K291" s="220">
        <v>280</v>
      </c>
      <c r="L291" s="221">
        <v>350</v>
      </c>
      <c r="M291" s="222" t="s">
        <v>795</v>
      </c>
      <c r="N291" s="220">
        <v>250</v>
      </c>
      <c r="O291" s="221">
        <v>320</v>
      </c>
      <c r="P291" s="222" t="s">
        <v>795</v>
      </c>
      <c r="Q291" s="160" t="s">
        <v>182</v>
      </c>
      <c r="R291" s="223">
        <v>7410</v>
      </c>
      <c r="S291" s="224">
        <v>70</v>
      </c>
      <c r="T291" s="225" t="s">
        <v>184</v>
      </c>
      <c r="V291" s="182"/>
      <c r="W291" s="185"/>
      <c r="X291" s="176"/>
      <c r="Y291" s="185"/>
      <c r="Z291" s="176"/>
      <c r="AA291" s="176"/>
      <c r="AB291" s="177"/>
      <c r="AD291" s="281"/>
      <c r="AE291" s="281"/>
      <c r="AF291" s="176"/>
      <c r="AG291" s="176"/>
      <c r="AH291" s="177"/>
      <c r="AJ291" s="187"/>
      <c r="AK291" s="185"/>
      <c r="AL291" s="176"/>
      <c r="AM291" s="176"/>
      <c r="AN291" s="177"/>
      <c r="AO291" s="160" t="s">
        <v>182</v>
      </c>
      <c r="AP291" s="1550">
        <v>2500</v>
      </c>
      <c r="AQ291" s="1553">
        <v>2700</v>
      </c>
      <c r="AR291" s="1550">
        <v>1700</v>
      </c>
      <c r="AS291" s="1553">
        <v>1700</v>
      </c>
      <c r="AT291" s="1544" t="s">
        <v>664</v>
      </c>
      <c r="AU291" s="230" t="s">
        <v>697</v>
      </c>
      <c r="AV291" s="231">
        <v>4800</v>
      </c>
      <c r="AW291" s="232">
        <v>5400</v>
      </c>
      <c r="AX291" s="267">
        <v>3400</v>
      </c>
      <c r="AY291" s="252">
        <v>3400</v>
      </c>
      <c r="BA291" s="235"/>
      <c r="BB291" s="160" t="s">
        <v>182</v>
      </c>
      <c r="BC291" s="1556">
        <v>4700</v>
      </c>
      <c r="BD291" s="160" t="s">
        <v>182</v>
      </c>
      <c r="BE291" s="228">
        <v>1200</v>
      </c>
      <c r="BF291" s="226" t="s">
        <v>182</v>
      </c>
      <c r="BG291" s="226">
        <v>10</v>
      </c>
      <c r="BH291" s="217" t="s">
        <v>184</v>
      </c>
      <c r="BJ291" s="253"/>
      <c r="BK291" s="160" t="s">
        <v>188</v>
      </c>
      <c r="BL291" s="237" t="s">
        <v>317</v>
      </c>
      <c r="BM291" s="238" t="s">
        <v>317</v>
      </c>
      <c r="BN291" s="238" t="s">
        <v>317</v>
      </c>
      <c r="BO291" s="239" t="s">
        <v>317</v>
      </c>
      <c r="BP291" s="160" t="s">
        <v>188</v>
      </c>
      <c r="BQ291" s="228"/>
      <c r="BR291" s="229"/>
      <c r="BS291" s="229"/>
      <c r="BT291" s="240"/>
      <c r="BU291" s="160" t="s">
        <v>188</v>
      </c>
      <c r="BV291" s="228"/>
      <c r="BW291" s="229"/>
      <c r="BX291" s="229"/>
      <c r="BY291" s="229"/>
      <c r="BZ291" s="240"/>
      <c r="CA291" s="160" t="s">
        <v>188</v>
      </c>
      <c r="CB291" s="228"/>
      <c r="CC291" s="229"/>
      <c r="CD291" s="229"/>
      <c r="CE291" s="229"/>
      <c r="CF291" s="240"/>
      <c r="CH291" s="236" t="s">
        <v>324</v>
      </c>
    </row>
    <row r="292" spans="1:86">
      <c r="A292" s="1563"/>
      <c r="B292" s="168"/>
      <c r="C292" s="241"/>
      <c r="D292" s="177" t="s">
        <v>318</v>
      </c>
      <c r="F292" s="242">
        <v>37910</v>
      </c>
      <c r="G292" s="243">
        <v>98090</v>
      </c>
      <c r="H292" s="242">
        <v>35130</v>
      </c>
      <c r="I292" s="243">
        <v>95310</v>
      </c>
      <c r="J292" s="179" t="s">
        <v>182</v>
      </c>
      <c r="K292" s="244">
        <v>350</v>
      </c>
      <c r="L292" s="245">
        <v>860</v>
      </c>
      <c r="M292" s="246" t="s">
        <v>795</v>
      </c>
      <c r="N292" s="244">
        <v>320</v>
      </c>
      <c r="O292" s="245">
        <v>840</v>
      </c>
      <c r="P292" s="246" t="s">
        <v>795</v>
      </c>
      <c r="Q292" s="160" t="s">
        <v>182</v>
      </c>
      <c r="R292" s="187">
        <v>7410</v>
      </c>
      <c r="S292" s="185">
        <v>70</v>
      </c>
      <c r="T292" s="247" t="s">
        <v>184</v>
      </c>
      <c r="V292" s="182"/>
      <c r="W292" s="185"/>
      <c r="X292" s="176"/>
      <c r="Y292" s="185"/>
      <c r="Z292" s="176"/>
      <c r="AA292" s="176"/>
      <c r="AB292" s="177"/>
      <c r="AD292" s="281"/>
      <c r="AE292" s="281"/>
      <c r="AF292" s="176"/>
      <c r="AG292" s="176"/>
      <c r="AH292" s="177"/>
      <c r="AJ292" s="187"/>
      <c r="AK292" s="185"/>
      <c r="AL292" s="176"/>
      <c r="AM292" s="176"/>
      <c r="AN292" s="177"/>
      <c r="AP292" s="1551"/>
      <c r="AQ292" s="1554"/>
      <c r="AR292" s="1551"/>
      <c r="AS292" s="1554"/>
      <c r="AT292" s="1544"/>
      <c r="AU292" s="172" t="s">
        <v>699</v>
      </c>
      <c r="AV292" s="249">
        <v>2600</v>
      </c>
      <c r="AW292" s="250">
        <v>2900</v>
      </c>
      <c r="AX292" s="267">
        <v>1800</v>
      </c>
      <c r="AY292" s="252">
        <v>1800</v>
      </c>
      <c r="BA292" s="235"/>
      <c r="BC292" s="1557"/>
      <c r="BE292" s="187"/>
      <c r="BF292" s="176"/>
      <c r="BG292" s="176"/>
      <c r="BH292" s="177"/>
      <c r="BJ292" s="253"/>
      <c r="BL292" s="193"/>
      <c r="BM292" s="194"/>
      <c r="BN292" s="194"/>
      <c r="BO292" s="195"/>
      <c r="BQ292" s="187">
        <v>700</v>
      </c>
      <c r="BR292" s="185" t="s">
        <v>189</v>
      </c>
      <c r="BS292" s="185">
        <v>7</v>
      </c>
      <c r="BT292" s="254" t="s">
        <v>184</v>
      </c>
      <c r="BV292" s="187">
        <v>2470</v>
      </c>
      <c r="BW292" s="185" t="s">
        <v>189</v>
      </c>
      <c r="BX292" s="185">
        <v>20</v>
      </c>
      <c r="BY292" s="185" t="s">
        <v>184</v>
      </c>
      <c r="BZ292" s="254" t="s">
        <v>190</v>
      </c>
      <c r="CB292" s="187">
        <v>1570</v>
      </c>
      <c r="CC292" s="185" t="s">
        <v>189</v>
      </c>
      <c r="CD292" s="185">
        <v>10</v>
      </c>
      <c r="CE292" s="185" t="s">
        <v>184</v>
      </c>
      <c r="CF292" s="254" t="s">
        <v>190</v>
      </c>
      <c r="CH292" s="253"/>
    </row>
    <row r="293" spans="1:86">
      <c r="A293" s="1563"/>
      <c r="B293" s="168"/>
      <c r="C293" s="241" t="s">
        <v>319</v>
      </c>
      <c r="D293" s="177" t="s">
        <v>320</v>
      </c>
      <c r="F293" s="242">
        <v>98090</v>
      </c>
      <c r="G293" s="243">
        <v>172250</v>
      </c>
      <c r="H293" s="242">
        <v>95310</v>
      </c>
      <c r="I293" s="243">
        <v>169470</v>
      </c>
      <c r="J293" s="179" t="s">
        <v>182</v>
      </c>
      <c r="K293" s="244">
        <v>860</v>
      </c>
      <c r="L293" s="245">
        <v>1600</v>
      </c>
      <c r="M293" s="246" t="s">
        <v>795</v>
      </c>
      <c r="N293" s="244">
        <v>840</v>
      </c>
      <c r="O293" s="245">
        <v>1580</v>
      </c>
      <c r="P293" s="246" t="s">
        <v>795</v>
      </c>
      <c r="R293" s="182"/>
      <c r="S293" s="176"/>
      <c r="T293" s="177"/>
      <c r="V293" s="182"/>
      <c r="W293" s="185"/>
      <c r="X293" s="176"/>
      <c r="Y293" s="185"/>
      <c r="Z293" s="176"/>
      <c r="AA293" s="176"/>
      <c r="AB293" s="177"/>
      <c r="AD293" s="281"/>
      <c r="AE293" s="281"/>
      <c r="AF293" s="176"/>
      <c r="AG293" s="176"/>
      <c r="AH293" s="177"/>
      <c r="AJ293" s="187"/>
      <c r="AK293" s="185"/>
      <c r="AL293" s="176"/>
      <c r="AM293" s="176"/>
      <c r="AN293" s="177"/>
      <c r="AP293" s="1551"/>
      <c r="AQ293" s="1554"/>
      <c r="AR293" s="1551"/>
      <c r="AS293" s="1554"/>
      <c r="AT293" s="1544"/>
      <c r="AU293" s="172" t="s">
        <v>700</v>
      </c>
      <c r="AV293" s="249">
        <v>2300</v>
      </c>
      <c r="AW293" s="250">
        <v>2500</v>
      </c>
      <c r="AX293" s="267">
        <v>1600</v>
      </c>
      <c r="AY293" s="252">
        <v>1600</v>
      </c>
      <c r="BA293" s="235"/>
      <c r="BC293" s="359"/>
      <c r="BE293" s="187"/>
      <c r="BF293" s="176"/>
      <c r="BG293" s="176"/>
      <c r="BH293" s="177"/>
      <c r="BJ293" s="253"/>
      <c r="BL293" s="193">
        <v>0.02</v>
      </c>
      <c r="BM293" s="194">
        <v>0.03</v>
      </c>
      <c r="BN293" s="194">
        <v>0.05</v>
      </c>
      <c r="BO293" s="195">
        <v>0.06</v>
      </c>
      <c r="BQ293" s="187"/>
      <c r="BR293" s="185"/>
      <c r="BS293" s="185"/>
      <c r="BT293" s="254"/>
      <c r="BV293" s="187"/>
      <c r="BW293" s="185"/>
      <c r="BX293" s="185"/>
      <c r="BY293" s="185"/>
      <c r="BZ293" s="254"/>
      <c r="CB293" s="187"/>
      <c r="CC293" s="185"/>
      <c r="CD293" s="185"/>
      <c r="CE293" s="185"/>
      <c r="CF293" s="254"/>
      <c r="CH293" s="253">
        <v>0.99</v>
      </c>
    </row>
    <row r="294" spans="1:86">
      <c r="A294" s="1563"/>
      <c r="B294" s="269"/>
      <c r="C294" s="270"/>
      <c r="D294" s="184" t="s">
        <v>322</v>
      </c>
      <c r="F294" s="256">
        <v>172250</v>
      </c>
      <c r="G294" s="257"/>
      <c r="H294" s="256">
        <v>169470</v>
      </c>
      <c r="I294" s="257"/>
      <c r="J294" s="179" t="s">
        <v>182</v>
      </c>
      <c r="K294" s="258">
        <v>1600</v>
      </c>
      <c r="L294" s="259"/>
      <c r="M294" s="260" t="s">
        <v>795</v>
      </c>
      <c r="N294" s="258">
        <v>1580</v>
      </c>
      <c r="O294" s="259"/>
      <c r="P294" s="260" t="s">
        <v>795</v>
      </c>
      <c r="R294" s="183"/>
      <c r="S294" s="271"/>
      <c r="T294" s="184"/>
      <c r="V294" s="183"/>
      <c r="W294" s="196"/>
      <c r="X294" s="271"/>
      <c r="Y294" s="196"/>
      <c r="Z294" s="271"/>
      <c r="AA294" s="271"/>
      <c r="AB294" s="184"/>
      <c r="AD294" s="281"/>
      <c r="AE294" s="281"/>
      <c r="AF294" s="176"/>
      <c r="AG294" s="176"/>
      <c r="AH294" s="177"/>
      <c r="AJ294" s="187"/>
      <c r="AK294" s="185"/>
      <c r="AL294" s="176"/>
      <c r="AM294" s="176"/>
      <c r="AN294" s="177"/>
      <c r="AP294" s="1552"/>
      <c r="AQ294" s="1555"/>
      <c r="AR294" s="1552"/>
      <c r="AS294" s="1555"/>
      <c r="AT294" s="1544"/>
      <c r="AU294" s="262" t="s">
        <v>701</v>
      </c>
      <c r="AV294" s="263">
        <v>2000</v>
      </c>
      <c r="AW294" s="264">
        <v>2300</v>
      </c>
      <c r="AX294" s="283">
        <v>1400</v>
      </c>
      <c r="AY294" s="266">
        <v>1400</v>
      </c>
      <c r="BA294" s="282"/>
      <c r="BC294" s="359"/>
      <c r="BE294" s="186"/>
      <c r="BF294" s="271"/>
      <c r="BG294" s="271"/>
      <c r="BH294" s="184"/>
      <c r="BJ294" s="198"/>
      <c r="BL294" s="272"/>
      <c r="BM294" s="273"/>
      <c r="BN294" s="273"/>
      <c r="BO294" s="274"/>
      <c r="BQ294" s="186"/>
      <c r="BR294" s="196"/>
      <c r="BS294" s="196"/>
      <c r="BT294" s="197"/>
      <c r="BV294" s="186"/>
      <c r="BW294" s="196"/>
      <c r="BX294" s="196"/>
      <c r="BY294" s="196"/>
      <c r="BZ294" s="197"/>
      <c r="CB294" s="186"/>
      <c r="CC294" s="196"/>
      <c r="CD294" s="196"/>
      <c r="CE294" s="196"/>
      <c r="CF294" s="197"/>
      <c r="CH294" s="198"/>
    </row>
    <row r="295" spans="1:86" ht="63">
      <c r="A295" s="1563" t="s">
        <v>229</v>
      </c>
      <c r="B295" s="168" t="s">
        <v>345</v>
      </c>
      <c r="C295" s="241" t="s">
        <v>313</v>
      </c>
      <c r="D295" s="177" t="s">
        <v>314</v>
      </c>
      <c r="F295" s="218">
        <v>229600</v>
      </c>
      <c r="G295" s="219">
        <v>236890</v>
      </c>
      <c r="H295" s="218">
        <v>180260</v>
      </c>
      <c r="I295" s="219">
        <v>187550</v>
      </c>
      <c r="J295" s="179" t="s">
        <v>182</v>
      </c>
      <c r="K295" s="220">
        <v>2270</v>
      </c>
      <c r="L295" s="221">
        <v>2340</v>
      </c>
      <c r="M295" s="222" t="s">
        <v>795</v>
      </c>
      <c r="N295" s="220">
        <v>1780</v>
      </c>
      <c r="O295" s="221">
        <v>1850</v>
      </c>
      <c r="P295" s="222" t="s">
        <v>795</v>
      </c>
      <c r="Q295" s="160" t="s">
        <v>182</v>
      </c>
      <c r="R295" s="275">
        <v>7290</v>
      </c>
      <c r="S295" s="276">
        <v>70</v>
      </c>
      <c r="T295" s="247" t="s">
        <v>184</v>
      </c>
      <c r="U295" s="160" t="s">
        <v>182</v>
      </c>
      <c r="V295" s="1578" t="s">
        <v>315</v>
      </c>
      <c r="W295" s="1579"/>
      <c r="X295" s="176" t="s">
        <v>182</v>
      </c>
      <c r="Y295" s="1579" t="s">
        <v>315</v>
      </c>
      <c r="Z295" s="1579"/>
      <c r="AA295" s="176"/>
      <c r="AB295" s="177"/>
      <c r="AC295" s="160" t="s">
        <v>182</v>
      </c>
      <c r="AD295" s="1546">
        <v>54290</v>
      </c>
      <c r="AE295" s="227"/>
      <c r="AF295" s="226" t="s">
        <v>182</v>
      </c>
      <c r="AG295" s="226">
        <v>470</v>
      </c>
      <c r="AH295" s="217" t="s">
        <v>184</v>
      </c>
      <c r="AI295" s="160" t="s">
        <v>182</v>
      </c>
      <c r="AJ295" s="228" t="s">
        <v>186</v>
      </c>
      <c r="AK295" s="229"/>
      <c r="AL295" s="226" t="s">
        <v>182</v>
      </c>
      <c r="AM295" s="226">
        <v>300</v>
      </c>
      <c r="AN295" s="217" t="s">
        <v>316</v>
      </c>
      <c r="AO295" s="160" t="s">
        <v>182</v>
      </c>
      <c r="AP295" s="1550">
        <v>15800</v>
      </c>
      <c r="AQ295" s="1553">
        <v>17400</v>
      </c>
      <c r="AR295" s="1550">
        <v>11000</v>
      </c>
      <c r="AS295" s="1553">
        <v>11000</v>
      </c>
      <c r="AT295" s="1544" t="s">
        <v>664</v>
      </c>
      <c r="AU295" s="230" t="s">
        <v>697</v>
      </c>
      <c r="AV295" s="231">
        <v>31600</v>
      </c>
      <c r="AW295" s="232">
        <v>35200</v>
      </c>
      <c r="AX295" s="233">
        <v>22100</v>
      </c>
      <c r="AY295" s="234">
        <v>22100</v>
      </c>
      <c r="AZ295" s="160" t="s">
        <v>182</v>
      </c>
      <c r="BA295" s="235"/>
      <c r="BB295" s="160" t="s">
        <v>182</v>
      </c>
      <c r="BC295" s="1556">
        <v>4700</v>
      </c>
      <c r="BD295" s="160" t="s">
        <v>182</v>
      </c>
      <c r="BE295" s="187">
        <v>21510</v>
      </c>
      <c r="BF295" s="176" t="s">
        <v>182</v>
      </c>
      <c r="BG295" s="176">
        <v>210</v>
      </c>
      <c r="BH295" s="177" t="s">
        <v>184</v>
      </c>
      <c r="BI295" s="160" t="s">
        <v>188</v>
      </c>
      <c r="BJ295" s="253"/>
      <c r="BK295" s="160" t="s">
        <v>188</v>
      </c>
      <c r="BL295" s="193" t="s">
        <v>317</v>
      </c>
      <c r="BM295" s="194" t="s">
        <v>317</v>
      </c>
      <c r="BN295" s="194" t="s">
        <v>317</v>
      </c>
      <c r="BO295" s="195" t="s">
        <v>317</v>
      </c>
      <c r="BP295" s="160" t="s">
        <v>188</v>
      </c>
      <c r="BQ295" s="187"/>
      <c r="BR295" s="185"/>
      <c r="BS295" s="185"/>
      <c r="BT295" s="254"/>
      <c r="BU295" s="160" t="s">
        <v>188</v>
      </c>
      <c r="BV295" s="187"/>
      <c r="BW295" s="185"/>
      <c r="BX295" s="185"/>
      <c r="BY295" s="185"/>
      <c r="BZ295" s="254"/>
      <c r="CA295" s="160" t="s">
        <v>188</v>
      </c>
      <c r="CB295" s="187"/>
      <c r="CC295" s="185"/>
      <c r="CD295" s="185"/>
      <c r="CE295" s="185"/>
      <c r="CF295" s="254"/>
      <c r="CH295" s="253" t="s">
        <v>324</v>
      </c>
    </row>
    <row r="296" spans="1:86">
      <c r="A296" s="1563"/>
      <c r="B296" s="168"/>
      <c r="C296" s="241"/>
      <c r="D296" s="177" t="s">
        <v>318</v>
      </c>
      <c r="F296" s="242">
        <v>236890</v>
      </c>
      <c r="G296" s="243">
        <v>296240</v>
      </c>
      <c r="H296" s="242">
        <v>187550</v>
      </c>
      <c r="I296" s="243">
        <v>246900</v>
      </c>
      <c r="J296" s="179" t="s">
        <v>182</v>
      </c>
      <c r="K296" s="244">
        <v>2340</v>
      </c>
      <c r="L296" s="245">
        <v>2850</v>
      </c>
      <c r="M296" s="246" t="s">
        <v>795</v>
      </c>
      <c r="N296" s="244">
        <v>1850</v>
      </c>
      <c r="O296" s="245">
        <v>2350</v>
      </c>
      <c r="P296" s="246" t="s">
        <v>795</v>
      </c>
      <c r="Q296" s="160" t="s">
        <v>182</v>
      </c>
      <c r="R296" s="187">
        <v>7290</v>
      </c>
      <c r="S296" s="185">
        <v>70</v>
      </c>
      <c r="T296" s="247" t="s">
        <v>184</v>
      </c>
      <c r="V296" s="1578"/>
      <c r="W296" s="1579"/>
      <c r="X296" s="176"/>
      <c r="Y296" s="1579"/>
      <c r="Z296" s="1579"/>
      <c r="AA296" s="176"/>
      <c r="AB296" s="177"/>
      <c r="AD296" s="1547"/>
      <c r="AE296" s="248">
        <v>52560</v>
      </c>
      <c r="AF296" s="176"/>
      <c r="AG296" s="176"/>
      <c r="AH296" s="177"/>
      <c r="AJ296" s="187"/>
      <c r="AK296" s="185"/>
      <c r="AL296" s="176"/>
      <c r="AM296" s="176"/>
      <c r="AN296" s="177"/>
      <c r="AP296" s="1551"/>
      <c r="AQ296" s="1554"/>
      <c r="AR296" s="1551"/>
      <c r="AS296" s="1554"/>
      <c r="AT296" s="1544"/>
      <c r="AU296" s="172" t="s">
        <v>699</v>
      </c>
      <c r="AV296" s="249">
        <v>17400</v>
      </c>
      <c r="AW296" s="250">
        <v>19400</v>
      </c>
      <c r="AX296" s="251">
        <v>12200</v>
      </c>
      <c r="AY296" s="252">
        <v>12200</v>
      </c>
      <c r="BA296" s="235"/>
      <c r="BC296" s="1557"/>
      <c r="BE296" s="187"/>
      <c r="BF296" s="176"/>
      <c r="BG296" s="176"/>
      <c r="BH296" s="177"/>
      <c r="BJ296" s="253"/>
      <c r="BL296" s="193"/>
      <c r="BM296" s="194"/>
      <c r="BN296" s="194"/>
      <c r="BO296" s="195"/>
      <c r="BQ296" s="187">
        <v>12720</v>
      </c>
      <c r="BR296" s="185" t="s">
        <v>199</v>
      </c>
      <c r="BS296" s="185">
        <v>120</v>
      </c>
      <c r="BT296" s="254" t="s">
        <v>184</v>
      </c>
      <c r="BV296" s="187">
        <v>43780</v>
      </c>
      <c r="BW296" s="185" t="s">
        <v>189</v>
      </c>
      <c r="BX296" s="185">
        <v>430</v>
      </c>
      <c r="BY296" s="185" t="s">
        <v>184</v>
      </c>
      <c r="BZ296" s="254" t="s">
        <v>190</v>
      </c>
      <c r="CB296" s="187">
        <v>27650</v>
      </c>
      <c r="CC296" s="185" t="s">
        <v>189</v>
      </c>
      <c r="CD296" s="185">
        <v>270</v>
      </c>
      <c r="CE296" s="185" t="s">
        <v>184</v>
      </c>
      <c r="CF296" s="254" t="s">
        <v>190</v>
      </c>
      <c r="CH296" s="253"/>
    </row>
    <row r="297" spans="1:86">
      <c r="A297" s="1563"/>
      <c r="B297" s="168"/>
      <c r="C297" s="241" t="s">
        <v>319</v>
      </c>
      <c r="D297" s="177" t="s">
        <v>320</v>
      </c>
      <c r="F297" s="242">
        <v>296240</v>
      </c>
      <c r="G297" s="243">
        <v>369220</v>
      </c>
      <c r="H297" s="242">
        <v>246900</v>
      </c>
      <c r="I297" s="243">
        <v>319880</v>
      </c>
      <c r="J297" s="179" t="s">
        <v>182</v>
      </c>
      <c r="K297" s="244">
        <v>2850</v>
      </c>
      <c r="L297" s="245">
        <v>3580</v>
      </c>
      <c r="M297" s="246" t="s">
        <v>795</v>
      </c>
      <c r="N297" s="244">
        <v>2350</v>
      </c>
      <c r="O297" s="245">
        <v>3080</v>
      </c>
      <c r="P297" s="246" t="s">
        <v>795</v>
      </c>
      <c r="R297" s="182"/>
      <c r="S297" s="176"/>
      <c r="T297" s="177"/>
      <c r="V297" s="1578"/>
      <c r="W297" s="1579"/>
      <c r="X297" s="176"/>
      <c r="Y297" s="1579"/>
      <c r="Z297" s="1579"/>
      <c r="AA297" s="176"/>
      <c r="AB297" s="177"/>
      <c r="AC297" s="160" t="s">
        <v>182</v>
      </c>
      <c r="AD297" s="1548">
        <v>52560</v>
      </c>
      <c r="AE297" s="255"/>
      <c r="AF297" s="176"/>
      <c r="AG297" s="176"/>
      <c r="AH297" s="177"/>
      <c r="AJ297" s="187">
        <v>30030</v>
      </c>
      <c r="AK297" s="185" t="s">
        <v>321</v>
      </c>
      <c r="AL297" s="176"/>
      <c r="AM297" s="176"/>
      <c r="AN297" s="177"/>
      <c r="AP297" s="1551"/>
      <c r="AQ297" s="1554"/>
      <c r="AR297" s="1551"/>
      <c r="AS297" s="1554"/>
      <c r="AT297" s="1544"/>
      <c r="AU297" s="172" t="s">
        <v>700</v>
      </c>
      <c r="AV297" s="249">
        <v>15200</v>
      </c>
      <c r="AW297" s="250">
        <v>16900</v>
      </c>
      <c r="AX297" s="251">
        <v>10600</v>
      </c>
      <c r="AY297" s="252">
        <v>10600</v>
      </c>
      <c r="BA297" s="235"/>
      <c r="BC297" s="358"/>
      <c r="BE297" s="187"/>
      <c r="BF297" s="176"/>
      <c r="BG297" s="176"/>
      <c r="BH297" s="177"/>
      <c r="BJ297" s="253"/>
      <c r="BL297" s="193">
        <v>0.01</v>
      </c>
      <c r="BM297" s="194">
        <v>0.02</v>
      </c>
      <c r="BN297" s="194">
        <v>0.04</v>
      </c>
      <c r="BO297" s="195">
        <v>0.05</v>
      </c>
      <c r="BQ297" s="187"/>
      <c r="BR297" s="185"/>
      <c r="BS297" s="185"/>
      <c r="BT297" s="254"/>
      <c r="BV297" s="187"/>
      <c r="BW297" s="185"/>
      <c r="BX297" s="185"/>
      <c r="BY297" s="185"/>
      <c r="BZ297" s="254"/>
      <c r="CB297" s="187"/>
      <c r="CC297" s="185"/>
      <c r="CD297" s="185"/>
      <c r="CE297" s="185"/>
      <c r="CF297" s="254"/>
      <c r="CH297" s="253">
        <v>0.61</v>
      </c>
    </row>
    <row r="298" spans="1:86">
      <c r="A298" s="1563"/>
      <c r="B298" s="168"/>
      <c r="C298" s="241"/>
      <c r="D298" s="177" t="s">
        <v>322</v>
      </c>
      <c r="F298" s="256">
        <v>369220</v>
      </c>
      <c r="G298" s="257"/>
      <c r="H298" s="256">
        <v>319880</v>
      </c>
      <c r="I298" s="257"/>
      <c r="J298" s="179" t="s">
        <v>182</v>
      </c>
      <c r="K298" s="258">
        <v>3580</v>
      </c>
      <c r="L298" s="259"/>
      <c r="M298" s="260" t="s">
        <v>795</v>
      </c>
      <c r="N298" s="258">
        <v>3080</v>
      </c>
      <c r="O298" s="259"/>
      <c r="P298" s="260" t="s">
        <v>795</v>
      </c>
      <c r="R298" s="182"/>
      <c r="S298" s="176"/>
      <c r="T298" s="177"/>
      <c r="V298" s="1578"/>
      <c r="W298" s="1579"/>
      <c r="X298" s="176"/>
      <c r="Y298" s="1579"/>
      <c r="Z298" s="1579"/>
      <c r="AA298" s="176"/>
      <c r="AB298" s="177"/>
      <c r="AD298" s="1549"/>
      <c r="AE298" s="261"/>
      <c r="AF298" s="271"/>
      <c r="AG298" s="271"/>
      <c r="AH298" s="184"/>
      <c r="AJ298" s="187"/>
      <c r="AK298" s="185"/>
      <c r="AL298" s="176"/>
      <c r="AM298" s="176"/>
      <c r="AN298" s="177"/>
      <c r="AP298" s="1552"/>
      <c r="AQ298" s="1555"/>
      <c r="AR298" s="1552"/>
      <c r="AS298" s="1555"/>
      <c r="AT298" s="1544"/>
      <c r="AU298" s="262" t="s">
        <v>701</v>
      </c>
      <c r="AV298" s="263">
        <v>13600</v>
      </c>
      <c r="AW298" s="264">
        <v>15100</v>
      </c>
      <c r="AX298" s="265">
        <v>9500</v>
      </c>
      <c r="AY298" s="266">
        <v>9500</v>
      </c>
      <c r="BA298" s="235"/>
      <c r="BC298" s="359"/>
      <c r="BE298" s="187"/>
      <c r="BF298" s="176"/>
      <c r="BG298" s="176"/>
      <c r="BH298" s="177"/>
      <c r="BJ298" s="253"/>
      <c r="BL298" s="193"/>
      <c r="BM298" s="194"/>
      <c r="BN298" s="194"/>
      <c r="BO298" s="195"/>
      <c r="BQ298" s="187"/>
      <c r="BR298" s="185"/>
      <c r="BS298" s="185"/>
      <c r="BT298" s="254"/>
      <c r="BV298" s="187"/>
      <c r="BW298" s="185"/>
      <c r="BX298" s="185"/>
      <c r="BY298" s="185"/>
      <c r="BZ298" s="254"/>
      <c r="CB298" s="187"/>
      <c r="CC298" s="185"/>
      <c r="CD298" s="185"/>
      <c r="CE298" s="185"/>
      <c r="CF298" s="254"/>
      <c r="CH298" s="253"/>
    </row>
    <row r="299" spans="1:86" ht="63">
      <c r="A299" s="1563"/>
      <c r="B299" s="215" t="s">
        <v>323</v>
      </c>
      <c r="C299" s="216" t="s">
        <v>313</v>
      </c>
      <c r="D299" s="217" t="s">
        <v>314</v>
      </c>
      <c r="F299" s="218">
        <v>124610</v>
      </c>
      <c r="G299" s="219">
        <v>131900</v>
      </c>
      <c r="H299" s="218">
        <v>99940</v>
      </c>
      <c r="I299" s="219">
        <v>107230</v>
      </c>
      <c r="J299" s="179" t="s">
        <v>182</v>
      </c>
      <c r="K299" s="220">
        <v>1220</v>
      </c>
      <c r="L299" s="221">
        <v>1290</v>
      </c>
      <c r="M299" s="222" t="s">
        <v>795</v>
      </c>
      <c r="N299" s="220">
        <v>980</v>
      </c>
      <c r="O299" s="221">
        <v>1050</v>
      </c>
      <c r="P299" s="222" t="s">
        <v>795</v>
      </c>
      <c r="Q299" s="160" t="s">
        <v>182</v>
      </c>
      <c r="R299" s="223">
        <v>7290</v>
      </c>
      <c r="S299" s="224">
        <v>70</v>
      </c>
      <c r="T299" s="225" t="s">
        <v>184</v>
      </c>
      <c r="V299" s="1578"/>
      <c r="W299" s="1579"/>
      <c r="X299" s="176"/>
      <c r="Y299" s="1579"/>
      <c r="Z299" s="1579"/>
      <c r="AA299" s="176"/>
      <c r="AB299" s="177"/>
      <c r="AC299" s="160" t="s">
        <v>182</v>
      </c>
      <c r="AD299" s="1546">
        <v>30600</v>
      </c>
      <c r="AE299" s="227"/>
      <c r="AF299" s="176" t="s">
        <v>182</v>
      </c>
      <c r="AG299" s="176">
        <v>230</v>
      </c>
      <c r="AH299" s="177" t="s">
        <v>184</v>
      </c>
      <c r="AJ299" s="187" t="s">
        <v>194</v>
      </c>
      <c r="AK299" s="185"/>
      <c r="AL299" s="176" t="s">
        <v>182</v>
      </c>
      <c r="AM299" s="176">
        <v>180</v>
      </c>
      <c r="AN299" s="177" t="s">
        <v>316</v>
      </c>
      <c r="AO299" s="160" t="s">
        <v>182</v>
      </c>
      <c r="AP299" s="1550">
        <v>7900</v>
      </c>
      <c r="AQ299" s="1553">
        <v>8700</v>
      </c>
      <c r="AR299" s="1550">
        <v>5500</v>
      </c>
      <c r="AS299" s="1553">
        <v>5500</v>
      </c>
      <c r="AT299" s="1544" t="s">
        <v>664</v>
      </c>
      <c r="AU299" s="230" t="s">
        <v>697</v>
      </c>
      <c r="AV299" s="231">
        <v>15800</v>
      </c>
      <c r="AW299" s="232">
        <v>17600</v>
      </c>
      <c r="AX299" s="267">
        <v>11000</v>
      </c>
      <c r="AY299" s="252">
        <v>11000</v>
      </c>
      <c r="BA299" s="235"/>
      <c r="BB299" s="160" t="s">
        <v>182</v>
      </c>
      <c r="BC299" s="1556">
        <v>4700</v>
      </c>
      <c r="BD299" s="160" t="s">
        <v>182</v>
      </c>
      <c r="BE299" s="228">
        <v>10750</v>
      </c>
      <c r="BF299" s="226" t="s">
        <v>182</v>
      </c>
      <c r="BG299" s="226">
        <v>100</v>
      </c>
      <c r="BH299" s="217" t="s">
        <v>184</v>
      </c>
      <c r="BJ299" s="253"/>
      <c r="BK299" s="160" t="s">
        <v>188</v>
      </c>
      <c r="BL299" s="237" t="s">
        <v>317</v>
      </c>
      <c r="BM299" s="238" t="s">
        <v>317</v>
      </c>
      <c r="BN299" s="238" t="s">
        <v>317</v>
      </c>
      <c r="BO299" s="239" t="s">
        <v>317</v>
      </c>
      <c r="BP299" s="160" t="s">
        <v>188</v>
      </c>
      <c r="BQ299" s="228"/>
      <c r="BR299" s="229"/>
      <c r="BS299" s="229"/>
      <c r="BT299" s="240"/>
      <c r="BU299" s="160" t="s">
        <v>188</v>
      </c>
      <c r="BV299" s="228"/>
      <c r="BW299" s="229"/>
      <c r="BX299" s="229"/>
      <c r="BY299" s="229"/>
      <c r="BZ299" s="240"/>
      <c r="CA299" s="160" t="s">
        <v>188</v>
      </c>
      <c r="CB299" s="228"/>
      <c r="CC299" s="229"/>
      <c r="CD299" s="229"/>
      <c r="CE299" s="229"/>
      <c r="CF299" s="240"/>
      <c r="CH299" s="236" t="s">
        <v>324</v>
      </c>
    </row>
    <row r="300" spans="1:86">
      <c r="A300" s="1563"/>
      <c r="B300" s="168"/>
      <c r="C300" s="241"/>
      <c r="D300" s="177" t="s">
        <v>318</v>
      </c>
      <c r="F300" s="242">
        <v>131900</v>
      </c>
      <c r="G300" s="243">
        <v>191250</v>
      </c>
      <c r="H300" s="242">
        <v>107230</v>
      </c>
      <c r="I300" s="243">
        <v>166580</v>
      </c>
      <c r="J300" s="179" t="s">
        <v>182</v>
      </c>
      <c r="K300" s="244">
        <v>1290</v>
      </c>
      <c r="L300" s="245">
        <v>1800</v>
      </c>
      <c r="M300" s="246" t="s">
        <v>795</v>
      </c>
      <c r="N300" s="244">
        <v>1050</v>
      </c>
      <c r="O300" s="245">
        <v>1550</v>
      </c>
      <c r="P300" s="246" t="s">
        <v>795</v>
      </c>
      <c r="Q300" s="160" t="s">
        <v>182</v>
      </c>
      <c r="R300" s="187">
        <v>7290</v>
      </c>
      <c r="S300" s="185">
        <v>70</v>
      </c>
      <c r="T300" s="247" t="s">
        <v>184</v>
      </c>
      <c r="V300" s="1578"/>
      <c r="W300" s="1579"/>
      <c r="X300" s="176"/>
      <c r="Y300" s="1579"/>
      <c r="Z300" s="1579"/>
      <c r="AA300" s="176"/>
      <c r="AB300" s="177"/>
      <c r="AD300" s="1547"/>
      <c r="AE300" s="248">
        <v>28870</v>
      </c>
      <c r="AF300" s="176"/>
      <c r="AG300" s="176"/>
      <c r="AH300" s="177"/>
      <c r="AJ300" s="187"/>
      <c r="AK300" s="185"/>
      <c r="AL300" s="176"/>
      <c r="AM300" s="176"/>
      <c r="AN300" s="177"/>
      <c r="AP300" s="1551"/>
      <c r="AQ300" s="1554"/>
      <c r="AR300" s="1551"/>
      <c r="AS300" s="1554"/>
      <c r="AT300" s="1544"/>
      <c r="AU300" s="172" t="s">
        <v>699</v>
      </c>
      <c r="AV300" s="249">
        <v>8700</v>
      </c>
      <c r="AW300" s="250">
        <v>9700</v>
      </c>
      <c r="AX300" s="267">
        <v>6100</v>
      </c>
      <c r="AY300" s="252">
        <v>6100</v>
      </c>
      <c r="BA300" s="235"/>
      <c r="BC300" s="1557"/>
      <c r="BE300" s="187"/>
      <c r="BF300" s="176"/>
      <c r="BG300" s="176"/>
      <c r="BH300" s="177"/>
      <c r="BJ300" s="253"/>
      <c r="BL300" s="193"/>
      <c r="BM300" s="194"/>
      <c r="BN300" s="194"/>
      <c r="BO300" s="195"/>
      <c r="BQ300" s="187">
        <v>6360</v>
      </c>
      <c r="BR300" s="185" t="s">
        <v>199</v>
      </c>
      <c r="BS300" s="185">
        <v>60</v>
      </c>
      <c r="BT300" s="254" t="s">
        <v>184</v>
      </c>
      <c r="BV300" s="187">
        <v>21890</v>
      </c>
      <c r="BW300" s="185" t="s">
        <v>189</v>
      </c>
      <c r="BX300" s="185">
        <v>210</v>
      </c>
      <c r="BY300" s="185" t="s">
        <v>184</v>
      </c>
      <c r="BZ300" s="254" t="s">
        <v>190</v>
      </c>
      <c r="CB300" s="187">
        <v>13820</v>
      </c>
      <c r="CC300" s="185" t="s">
        <v>189</v>
      </c>
      <c r="CD300" s="185">
        <v>130</v>
      </c>
      <c r="CE300" s="185" t="s">
        <v>184</v>
      </c>
      <c r="CF300" s="254" t="s">
        <v>190</v>
      </c>
      <c r="CH300" s="253"/>
    </row>
    <row r="301" spans="1:86">
      <c r="A301" s="1563"/>
      <c r="B301" s="168"/>
      <c r="C301" s="241" t="s">
        <v>319</v>
      </c>
      <c r="D301" s="177" t="s">
        <v>320</v>
      </c>
      <c r="F301" s="242">
        <v>191250</v>
      </c>
      <c r="G301" s="243">
        <v>264230</v>
      </c>
      <c r="H301" s="242">
        <v>166580</v>
      </c>
      <c r="I301" s="243">
        <v>239560</v>
      </c>
      <c r="J301" s="179" t="s">
        <v>182</v>
      </c>
      <c r="K301" s="244">
        <v>1800</v>
      </c>
      <c r="L301" s="245">
        <v>2530</v>
      </c>
      <c r="M301" s="246" t="s">
        <v>795</v>
      </c>
      <c r="N301" s="244">
        <v>1550</v>
      </c>
      <c r="O301" s="245">
        <v>2280</v>
      </c>
      <c r="P301" s="246" t="s">
        <v>795</v>
      </c>
      <c r="R301" s="182"/>
      <c r="S301" s="176"/>
      <c r="T301" s="177"/>
      <c r="V301" s="1578"/>
      <c r="W301" s="1579"/>
      <c r="X301" s="176"/>
      <c r="Y301" s="1579"/>
      <c r="Z301" s="1579"/>
      <c r="AA301" s="176"/>
      <c r="AB301" s="177"/>
      <c r="AC301" s="160" t="s">
        <v>182</v>
      </c>
      <c r="AD301" s="1548">
        <v>28870</v>
      </c>
      <c r="AE301" s="255"/>
      <c r="AF301" s="176"/>
      <c r="AG301" s="176"/>
      <c r="AH301" s="177"/>
      <c r="AJ301" s="187">
        <v>18010</v>
      </c>
      <c r="AK301" s="185" t="s">
        <v>321</v>
      </c>
      <c r="AL301" s="176"/>
      <c r="AM301" s="176"/>
      <c r="AN301" s="177"/>
      <c r="AP301" s="1551"/>
      <c r="AQ301" s="1554"/>
      <c r="AR301" s="1551"/>
      <c r="AS301" s="1554"/>
      <c r="AT301" s="1544"/>
      <c r="AU301" s="172" t="s">
        <v>700</v>
      </c>
      <c r="AV301" s="249">
        <v>7600</v>
      </c>
      <c r="AW301" s="250">
        <v>8400</v>
      </c>
      <c r="AX301" s="267">
        <v>5300</v>
      </c>
      <c r="AY301" s="252">
        <v>5300</v>
      </c>
      <c r="BA301" s="268"/>
      <c r="BC301" s="359"/>
      <c r="BE301" s="187"/>
      <c r="BF301" s="176"/>
      <c r="BG301" s="176"/>
      <c r="BH301" s="177"/>
      <c r="BJ301" s="253"/>
      <c r="BL301" s="193">
        <v>0.01</v>
      </c>
      <c r="BM301" s="194">
        <v>0.03</v>
      </c>
      <c r="BN301" s="194">
        <v>0.04</v>
      </c>
      <c r="BO301" s="195">
        <v>0.05</v>
      </c>
      <c r="BQ301" s="187"/>
      <c r="BR301" s="185"/>
      <c r="BS301" s="185"/>
      <c r="BT301" s="254"/>
      <c r="BV301" s="187"/>
      <c r="BW301" s="185"/>
      <c r="BX301" s="185"/>
      <c r="BY301" s="185"/>
      <c r="BZ301" s="254"/>
      <c r="CB301" s="187"/>
      <c r="CC301" s="185"/>
      <c r="CD301" s="185"/>
      <c r="CE301" s="185"/>
      <c r="CF301" s="254"/>
      <c r="CH301" s="253">
        <v>0.79</v>
      </c>
    </row>
    <row r="302" spans="1:86">
      <c r="A302" s="1563"/>
      <c r="B302" s="269"/>
      <c r="C302" s="270"/>
      <c r="D302" s="184" t="s">
        <v>322</v>
      </c>
      <c r="F302" s="256">
        <v>264230</v>
      </c>
      <c r="G302" s="257"/>
      <c r="H302" s="256">
        <v>239560</v>
      </c>
      <c r="I302" s="257"/>
      <c r="J302" s="179" t="s">
        <v>182</v>
      </c>
      <c r="K302" s="258">
        <v>2530</v>
      </c>
      <c r="L302" s="259"/>
      <c r="M302" s="260" t="s">
        <v>795</v>
      </c>
      <c r="N302" s="258">
        <v>2280</v>
      </c>
      <c r="O302" s="259"/>
      <c r="P302" s="260" t="s">
        <v>795</v>
      </c>
      <c r="R302" s="183"/>
      <c r="S302" s="271"/>
      <c r="T302" s="184"/>
      <c r="V302" s="1578"/>
      <c r="W302" s="1579"/>
      <c r="X302" s="176"/>
      <c r="Y302" s="1579"/>
      <c r="Z302" s="1579"/>
      <c r="AA302" s="176"/>
      <c r="AB302" s="177"/>
      <c r="AD302" s="1549"/>
      <c r="AE302" s="261"/>
      <c r="AF302" s="176"/>
      <c r="AG302" s="176"/>
      <c r="AH302" s="177"/>
      <c r="AJ302" s="187"/>
      <c r="AK302" s="185"/>
      <c r="AL302" s="176"/>
      <c r="AM302" s="176"/>
      <c r="AN302" s="177"/>
      <c r="AP302" s="1552"/>
      <c r="AQ302" s="1555"/>
      <c r="AR302" s="1552"/>
      <c r="AS302" s="1555"/>
      <c r="AT302" s="1544"/>
      <c r="AU302" s="262" t="s">
        <v>701</v>
      </c>
      <c r="AV302" s="263">
        <v>6800</v>
      </c>
      <c r="AW302" s="264">
        <v>7500</v>
      </c>
      <c r="AX302" s="265">
        <v>4700</v>
      </c>
      <c r="AY302" s="266">
        <v>4700</v>
      </c>
      <c r="BA302" s="268"/>
      <c r="BC302" s="359"/>
      <c r="BE302" s="186"/>
      <c r="BF302" s="271"/>
      <c r="BG302" s="271"/>
      <c r="BH302" s="184"/>
      <c r="BJ302" s="253"/>
      <c r="BL302" s="272"/>
      <c r="BM302" s="273"/>
      <c r="BN302" s="273"/>
      <c r="BO302" s="274"/>
      <c r="BQ302" s="186"/>
      <c r="BR302" s="196"/>
      <c r="BS302" s="196"/>
      <c r="BT302" s="197"/>
      <c r="BV302" s="186"/>
      <c r="BW302" s="196"/>
      <c r="BX302" s="196"/>
      <c r="BY302" s="196"/>
      <c r="BZ302" s="197"/>
      <c r="CB302" s="186"/>
      <c r="CC302" s="196"/>
      <c r="CD302" s="196"/>
      <c r="CE302" s="196"/>
      <c r="CF302" s="197"/>
      <c r="CH302" s="198"/>
    </row>
    <row r="303" spans="1:86" ht="63">
      <c r="A303" s="1563"/>
      <c r="B303" s="168" t="s">
        <v>325</v>
      </c>
      <c r="C303" s="241" t="s">
        <v>313</v>
      </c>
      <c r="D303" s="177" t="s">
        <v>314</v>
      </c>
      <c r="F303" s="218">
        <v>89500</v>
      </c>
      <c r="G303" s="219">
        <v>96790</v>
      </c>
      <c r="H303" s="218">
        <v>73050</v>
      </c>
      <c r="I303" s="219">
        <v>80340</v>
      </c>
      <c r="J303" s="179" t="s">
        <v>182</v>
      </c>
      <c r="K303" s="220">
        <v>870</v>
      </c>
      <c r="L303" s="221">
        <v>940</v>
      </c>
      <c r="M303" s="222" t="s">
        <v>795</v>
      </c>
      <c r="N303" s="220">
        <v>710</v>
      </c>
      <c r="O303" s="221">
        <v>780</v>
      </c>
      <c r="P303" s="222" t="s">
        <v>795</v>
      </c>
      <c r="Q303" s="160" t="s">
        <v>182</v>
      </c>
      <c r="R303" s="275">
        <v>7290</v>
      </c>
      <c r="S303" s="276">
        <v>70</v>
      </c>
      <c r="T303" s="247" t="s">
        <v>184</v>
      </c>
      <c r="V303" s="1578"/>
      <c r="W303" s="1579"/>
      <c r="X303" s="176"/>
      <c r="Y303" s="1579"/>
      <c r="Z303" s="1579"/>
      <c r="AA303" s="176"/>
      <c r="AB303" s="177"/>
      <c r="AC303" s="160" t="s">
        <v>182</v>
      </c>
      <c r="AD303" s="1546">
        <v>22700</v>
      </c>
      <c r="AE303" s="227"/>
      <c r="AF303" s="226" t="s">
        <v>182</v>
      </c>
      <c r="AG303" s="226">
        <v>150</v>
      </c>
      <c r="AH303" s="217" t="s">
        <v>184</v>
      </c>
      <c r="AJ303" s="187" t="s">
        <v>196</v>
      </c>
      <c r="AK303" s="185"/>
      <c r="AL303" s="176" t="s">
        <v>182</v>
      </c>
      <c r="AM303" s="176">
        <v>120</v>
      </c>
      <c r="AN303" s="177" t="s">
        <v>316</v>
      </c>
      <c r="AO303" s="160" t="s">
        <v>182</v>
      </c>
      <c r="AP303" s="1550">
        <v>5500</v>
      </c>
      <c r="AQ303" s="1553">
        <v>6000</v>
      </c>
      <c r="AR303" s="1550">
        <v>3800</v>
      </c>
      <c r="AS303" s="1553">
        <v>3800</v>
      </c>
      <c r="AT303" s="1544" t="s">
        <v>664</v>
      </c>
      <c r="AU303" s="230" t="s">
        <v>697</v>
      </c>
      <c r="AV303" s="231">
        <v>10900</v>
      </c>
      <c r="AW303" s="232">
        <v>12200</v>
      </c>
      <c r="AX303" s="267">
        <v>7600</v>
      </c>
      <c r="AY303" s="252">
        <v>7600</v>
      </c>
      <c r="BA303" s="268"/>
      <c r="BB303" s="160" t="s">
        <v>182</v>
      </c>
      <c r="BC303" s="1556">
        <v>4700</v>
      </c>
      <c r="BD303" s="160" t="s">
        <v>182</v>
      </c>
      <c r="BE303" s="187">
        <v>7170</v>
      </c>
      <c r="BF303" s="176" t="s">
        <v>182</v>
      </c>
      <c r="BG303" s="176">
        <v>70</v>
      </c>
      <c r="BH303" s="177" t="s">
        <v>184</v>
      </c>
      <c r="BJ303" s="253"/>
      <c r="BK303" s="160" t="s">
        <v>188</v>
      </c>
      <c r="BL303" s="193" t="s">
        <v>317</v>
      </c>
      <c r="BM303" s="194" t="s">
        <v>317</v>
      </c>
      <c r="BN303" s="194" t="s">
        <v>317</v>
      </c>
      <c r="BO303" s="195" t="s">
        <v>317</v>
      </c>
      <c r="BP303" s="160" t="s">
        <v>188</v>
      </c>
      <c r="BQ303" s="187"/>
      <c r="BR303" s="185"/>
      <c r="BS303" s="185"/>
      <c r="BT303" s="254"/>
      <c r="BU303" s="160" t="s">
        <v>188</v>
      </c>
      <c r="BV303" s="187"/>
      <c r="BW303" s="185"/>
      <c r="BX303" s="185"/>
      <c r="BY303" s="185"/>
      <c r="BZ303" s="254"/>
      <c r="CA303" s="160" t="s">
        <v>188</v>
      </c>
      <c r="CB303" s="187"/>
      <c r="CC303" s="185"/>
      <c r="CD303" s="185"/>
      <c r="CE303" s="185"/>
      <c r="CF303" s="254"/>
      <c r="CH303" s="253" t="s">
        <v>324</v>
      </c>
    </row>
    <row r="304" spans="1:86">
      <c r="A304" s="1563"/>
      <c r="B304" s="168"/>
      <c r="C304" s="241"/>
      <c r="D304" s="177" t="s">
        <v>318</v>
      </c>
      <c r="F304" s="242">
        <v>96790</v>
      </c>
      <c r="G304" s="243">
        <v>156140</v>
      </c>
      <c r="H304" s="242">
        <v>80340</v>
      </c>
      <c r="I304" s="243">
        <v>139690</v>
      </c>
      <c r="J304" s="179" t="s">
        <v>182</v>
      </c>
      <c r="K304" s="244">
        <v>940</v>
      </c>
      <c r="L304" s="245">
        <v>1440</v>
      </c>
      <c r="M304" s="246" t="s">
        <v>795</v>
      </c>
      <c r="N304" s="244">
        <v>780</v>
      </c>
      <c r="O304" s="245">
        <v>1280</v>
      </c>
      <c r="P304" s="246" t="s">
        <v>795</v>
      </c>
      <c r="Q304" s="160" t="s">
        <v>182</v>
      </c>
      <c r="R304" s="187">
        <v>7290</v>
      </c>
      <c r="S304" s="185">
        <v>70</v>
      </c>
      <c r="T304" s="247" t="s">
        <v>184</v>
      </c>
      <c r="V304" s="1578"/>
      <c r="W304" s="1579"/>
      <c r="X304" s="176"/>
      <c r="Y304" s="1579"/>
      <c r="Z304" s="1579"/>
      <c r="AA304" s="176"/>
      <c r="AB304" s="177"/>
      <c r="AD304" s="1547"/>
      <c r="AE304" s="248">
        <v>20970</v>
      </c>
      <c r="AF304" s="176"/>
      <c r="AG304" s="176"/>
      <c r="AH304" s="177"/>
      <c r="AJ304" s="187"/>
      <c r="AK304" s="185"/>
      <c r="AL304" s="176"/>
      <c r="AM304" s="176"/>
      <c r="AN304" s="177"/>
      <c r="AP304" s="1551"/>
      <c r="AQ304" s="1554"/>
      <c r="AR304" s="1551"/>
      <c r="AS304" s="1554"/>
      <c r="AT304" s="1544"/>
      <c r="AU304" s="172" t="s">
        <v>699</v>
      </c>
      <c r="AV304" s="249">
        <v>6000</v>
      </c>
      <c r="AW304" s="250">
        <v>6700</v>
      </c>
      <c r="AX304" s="267">
        <v>4200</v>
      </c>
      <c r="AY304" s="252">
        <v>4200</v>
      </c>
      <c r="BA304" s="1545" t="s">
        <v>702</v>
      </c>
      <c r="BC304" s="1557"/>
      <c r="BE304" s="187"/>
      <c r="BF304" s="176"/>
      <c r="BG304" s="176"/>
      <c r="BH304" s="177"/>
      <c r="BJ304" s="253"/>
      <c r="BL304" s="193"/>
      <c r="BM304" s="194"/>
      <c r="BN304" s="194"/>
      <c r="BO304" s="195"/>
      <c r="BQ304" s="187">
        <v>4240</v>
      </c>
      <c r="BR304" s="185" t="s">
        <v>199</v>
      </c>
      <c r="BS304" s="185">
        <v>40</v>
      </c>
      <c r="BT304" s="254" t="s">
        <v>184</v>
      </c>
      <c r="BV304" s="187">
        <v>14590</v>
      </c>
      <c r="BW304" s="185" t="s">
        <v>189</v>
      </c>
      <c r="BX304" s="185">
        <v>140</v>
      </c>
      <c r="BY304" s="185" t="s">
        <v>184</v>
      </c>
      <c r="BZ304" s="254" t="s">
        <v>190</v>
      </c>
      <c r="CB304" s="187">
        <v>9210</v>
      </c>
      <c r="CC304" s="185" t="s">
        <v>189</v>
      </c>
      <c r="CD304" s="185">
        <v>90</v>
      </c>
      <c r="CE304" s="185" t="s">
        <v>184</v>
      </c>
      <c r="CF304" s="254" t="s">
        <v>190</v>
      </c>
      <c r="CH304" s="253"/>
    </row>
    <row r="305" spans="1:86">
      <c r="A305" s="1563"/>
      <c r="B305" s="168"/>
      <c r="C305" s="241" t="s">
        <v>319</v>
      </c>
      <c r="D305" s="177" t="s">
        <v>320</v>
      </c>
      <c r="F305" s="242">
        <v>156140</v>
      </c>
      <c r="G305" s="243">
        <v>229120</v>
      </c>
      <c r="H305" s="242">
        <v>139690</v>
      </c>
      <c r="I305" s="243">
        <v>212670</v>
      </c>
      <c r="J305" s="179" t="s">
        <v>182</v>
      </c>
      <c r="K305" s="244">
        <v>1440</v>
      </c>
      <c r="L305" s="245">
        <v>2170</v>
      </c>
      <c r="M305" s="246" t="s">
        <v>795</v>
      </c>
      <c r="N305" s="244">
        <v>1280</v>
      </c>
      <c r="O305" s="245">
        <v>2010</v>
      </c>
      <c r="P305" s="246" t="s">
        <v>795</v>
      </c>
      <c r="R305" s="182"/>
      <c r="S305" s="176"/>
      <c r="T305" s="177"/>
      <c r="V305" s="1578"/>
      <c r="W305" s="1579"/>
      <c r="X305" s="176"/>
      <c r="Y305" s="1579"/>
      <c r="Z305" s="1579"/>
      <c r="AA305" s="176"/>
      <c r="AB305" s="177"/>
      <c r="AC305" s="160" t="s">
        <v>182</v>
      </c>
      <c r="AD305" s="1548">
        <v>20970</v>
      </c>
      <c r="AE305" s="255"/>
      <c r="AF305" s="176"/>
      <c r="AG305" s="176">
        <v>0</v>
      </c>
      <c r="AH305" s="177"/>
      <c r="AJ305" s="187">
        <v>12870</v>
      </c>
      <c r="AK305" s="185" t="s">
        <v>321</v>
      </c>
      <c r="AL305" s="176"/>
      <c r="AM305" s="176"/>
      <c r="AN305" s="177"/>
      <c r="AP305" s="1551"/>
      <c r="AQ305" s="1554"/>
      <c r="AR305" s="1551"/>
      <c r="AS305" s="1554"/>
      <c r="AT305" s="1544"/>
      <c r="AU305" s="172" t="s">
        <v>700</v>
      </c>
      <c r="AV305" s="249">
        <v>5200</v>
      </c>
      <c r="AW305" s="250">
        <v>5800</v>
      </c>
      <c r="AX305" s="267">
        <v>3600</v>
      </c>
      <c r="AY305" s="252">
        <v>3600</v>
      </c>
      <c r="BA305" s="1545"/>
      <c r="BC305" s="359"/>
      <c r="BE305" s="187"/>
      <c r="BF305" s="176"/>
      <c r="BG305" s="176"/>
      <c r="BH305" s="177"/>
      <c r="BJ305" s="253"/>
      <c r="BL305" s="193">
        <v>0.01</v>
      </c>
      <c r="BM305" s="194">
        <v>0.03</v>
      </c>
      <c r="BN305" s="194">
        <v>0.04</v>
      </c>
      <c r="BO305" s="195">
        <v>0.05</v>
      </c>
      <c r="BQ305" s="187"/>
      <c r="BR305" s="185"/>
      <c r="BS305" s="185"/>
      <c r="BT305" s="254"/>
      <c r="BV305" s="187"/>
      <c r="BW305" s="185"/>
      <c r="BX305" s="185"/>
      <c r="BY305" s="185"/>
      <c r="BZ305" s="254"/>
      <c r="CB305" s="187"/>
      <c r="CC305" s="185"/>
      <c r="CD305" s="185"/>
      <c r="CE305" s="185"/>
      <c r="CF305" s="254"/>
      <c r="CH305" s="253">
        <v>0.87</v>
      </c>
    </row>
    <row r="306" spans="1:86">
      <c r="A306" s="1563"/>
      <c r="B306" s="168"/>
      <c r="C306" s="241"/>
      <c r="D306" s="177" t="s">
        <v>322</v>
      </c>
      <c r="F306" s="256">
        <v>229120</v>
      </c>
      <c r="G306" s="257"/>
      <c r="H306" s="256">
        <v>212670</v>
      </c>
      <c r="I306" s="257"/>
      <c r="J306" s="179" t="s">
        <v>182</v>
      </c>
      <c r="K306" s="258">
        <v>2170</v>
      </c>
      <c r="L306" s="259"/>
      <c r="M306" s="260" t="s">
        <v>795</v>
      </c>
      <c r="N306" s="258">
        <v>2010</v>
      </c>
      <c r="O306" s="259"/>
      <c r="P306" s="260" t="s">
        <v>795</v>
      </c>
      <c r="R306" s="182"/>
      <c r="S306" s="176"/>
      <c r="T306" s="177"/>
      <c r="V306" s="1578"/>
      <c r="W306" s="1579"/>
      <c r="X306" s="176"/>
      <c r="Y306" s="1579"/>
      <c r="Z306" s="1579"/>
      <c r="AA306" s="176"/>
      <c r="AB306" s="177"/>
      <c r="AD306" s="1549"/>
      <c r="AE306" s="261"/>
      <c r="AF306" s="271"/>
      <c r="AG306" s="271"/>
      <c r="AH306" s="184"/>
      <c r="AJ306" s="187"/>
      <c r="AK306" s="185"/>
      <c r="AL306" s="176"/>
      <c r="AM306" s="176"/>
      <c r="AN306" s="177"/>
      <c r="AP306" s="1552"/>
      <c r="AQ306" s="1555"/>
      <c r="AR306" s="1552"/>
      <c r="AS306" s="1555"/>
      <c r="AT306" s="1544"/>
      <c r="AU306" s="262" t="s">
        <v>701</v>
      </c>
      <c r="AV306" s="263">
        <v>4700</v>
      </c>
      <c r="AW306" s="264">
        <v>5200</v>
      </c>
      <c r="AX306" s="265">
        <v>3300</v>
      </c>
      <c r="AY306" s="266">
        <v>3300</v>
      </c>
      <c r="BA306" s="1545"/>
      <c r="BC306" s="359"/>
      <c r="BE306" s="187"/>
      <c r="BF306" s="176"/>
      <c r="BG306" s="176"/>
      <c r="BH306" s="177"/>
      <c r="BJ306" s="253"/>
      <c r="BL306" s="193"/>
      <c r="BM306" s="194"/>
      <c r="BN306" s="194"/>
      <c r="BO306" s="195"/>
      <c r="BQ306" s="187"/>
      <c r="BR306" s="185"/>
      <c r="BS306" s="185"/>
      <c r="BT306" s="254"/>
      <c r="BV306" s="187"/>
      <c r="BW306" s="185"/>
      <c r="BX306" s="185"/>
      <c r="BY306" s="185"/>
      <c r="BZ306" s="254"/>
      <c r="CB306" s="187"/>
      <c r="CC306" s="185"/>
      <c r="CD306" s="185"/>
      <c r="CE306" s="185"/>
      <c r="CF306" s="254"/>
      <c r="CH306" s="253"/>
    </row>
    <row r="307" spans="1:86" ht="63">
      <c r="A307" s="1563"/>
      <c r="B307" s="215" t="s">
        <v>326</v>
      </c>
      <c r="C307" s="216" t="s">
        <v>313</v>
      </c>
      <c r="D307" s="217" t="s">
        <v>314</v>
      </c>
      <c r="F307" s="218">
        <v>72160</v>
      </c>
      <c r="G307" s="219">
        <v>79450</v>
      </c>
      <c r="H307" s="218">
        <v>59830</v>
      </c>
      <c r="I307" s="219">
        <v>67120</v>
      </c>
      <c r="J307" s="179" t="s">
        <v>182</v>
      </c>
      <c r="K307" s="220">
        <v>700</v>
      </c>
      <c r="L307" s="221">
        <v>770</v>
      </c>
      <c r="M307" s="222" t="s">
        <v>795</v>
      </c>
      <c r="N307" s="220">
        <v>570</v>
      </c>
      <c r="O307" s="221">
        <v>640</v>
      </c>
      <c r="P307" s="222" t="s">
        <v>795</v>
      </c>
      <c r="Q307" s="160" t="s">
        <v>182</v>
      </c>
      <c r="R307" s="223">
        <v>7290</v>
      </c>
      <c r="S307" s="224">
        <v>70</v>
      </c>
      <c r="T307" s="225" t="s">
        <v>184</v>
      </c>
      <c r="V307" s="1578"/>
      <c r="W307" s="1579"/>
      <c r="X307" s="176"/>
      <c r="Y307" s="1579"/>
      <c r="Z307" s="1579"/>
      <c r="AA307" s="176"/>
      <c r="AB307" s="177"/>
      <c r="AC307" s="160" t="s">
        <v>182</v>
      </c>
      <c r="AD307" s="1546">
        <v>18750</v>
      </c>
      <c r="AE307" s="227"/>
      <c r="AF307" s="176" t="s">
        <v>182</v>
      </c>
      <c r="AG307" s="176">
        <v>110</v>
      </c>
      <c r="AH307" s="177" t="s">
        <v>184</v>
      </c>
      <c r="AJ307" s="187" t="s">
        <v>198</v>
      </c>
      <c r="AK307" s="185"/>
      <c r="AL307" s="176" t="s">
        <v>182</v>
      </c>
      <c r="AM307" s="176">
        <v>100</v>
      </c>
      <c r="AN307" s="177" t="s">
        <v>316</v>
      </c>
      <c r="AO307" s="160" t="s">
        <v>182</v>
      </c>
      <c r="AP307" s="1550">
        <v>4800</v>
      </c>
      <c r="AQ307" s="1553">
        <v>5300</v>
      </c>
      <c r="AR307" s="1550">
        <v>3300</v>
      </c>
      <c r="AS307" s="1553">
        <v>3300</v>
      </c>
      <c r="AT307" s="1544" t="s">
        <v>664</v>
      </c>
      <c r="AU307" s="230" t="s">
        <v>697</v>
      </c>
      <c r="AV307" s="231">
        <v>9800</v>
      </c>
      <c r="AW307" s="232">
        <v>10900</v>
      </c>
      <c r="AX307" s="267">
        <v>6800</v>
      </c>
      <c r="AY307" s="252">
        <v>6800</v>
      </c>
      <c r="BA307" s="235" t="s">
        <v>662</v>
      </c>
      <c r="BB307" s="160" t="s">
        <v>182</v>
      </c>
      <c r="BC307" s="1556">
        <v>4700</v>
      </c>
      <c r="BD307" s="160" t="s">
        <v>182</v>
      </c>
      <c r="BE307" s="228">
        <v>5380</v>
      </c>
      <c r="BF307" s="226" t="s">
        <v>182</v>
      </c>
      <c r="BG307" s="226">
        <v>50</v>
      </c>
      <c r="BH307" s="217" t="s">
        <v>184</v>
      </c>
      <c r="BJ307" s="253"/>
      <c r="BK307" s="160" t="s">
        <v>188</v>
      </c>
      <c r="BL307" s="237" t="s">
        <v>317</v>
      </c>
      <c r="BM307" s="238" t="s">
        <v>317</v>
      </c>
      <c r="BN307" s="238" t="s">
        <v>317</v>
      </c>
      <c r="BO307" s="239" t="s">
        <v>317</v>
      </c>
      <c r="BP307" s="160" t="s">
        <v>188</v>
      </c>
      <c r="BQ307" s="228"/>
      <c r="BR307" s="229"/>
      <c r="BS307" s="229"/>
      <c r="BT307" s="240"/>
      <c r="BU307" s="160" t="s">
        <v>188</v>
      </c>
      <c r="BV307" s="228"/>
      <c r="BW307" s="229"/>
      <c r="BX307" s="229"/>
      <c r="BY307" s="229"/>
      <c r="BZ307" s="240"/>
      <c r="CA307" s="160" t="s">
        <v>188</v>
      </c>
      <c r="CB307" s="228"/>
      <c r="CC307" s="229"/>
      <c r="CD307" s="229"/>
      <c r="CE307" s="229"/>
      <c r="CF307" s="240"/>
      <c r="CH307" s="236" t="s">
        <v>324</v>
      </c>
    </row>
    <row r="308" spans="1:86">
      <c r="A308" s="1563"/>
      <c r="B308" s="168"/>
      <c r="C308" s="241"/>
      <c r="D308" s="177" t="s">
        <v>318</v>
      </c>
      <c r="F308" s="242">
        <v>79450</v>
      </c>
      <c r="G308" s="243">
        <v>138800</v>
      </c>
      <c r="H308" s="242">
        <v>67120</v>
      </c>
      <c r="I308" s="243">
        <v>126470</v>
      </c>
      <c r="J308" s="179" t="s">
        <v>182</v>
      </c>
      <c r="K308" s="244">
        <v>770</v>
      </c>
      <c r="L308" s="245">
        <v>1270</v>
      </c>
      <c r="M308" s="246" t="s">
        <v>795</v>
      </c>
      <c r="N308" s="244">
        <v>640</v>
      </c>
      <c r="O308" s="245">
        <v>1150</v>
      </c>
      <c r="P308" s="246" t="s">
        <v>795</v>
      </c>
      <c r="Q308" s="160" t="s">
        <v>182</v>
      </c>
      <c r="R308" s="187">
        <v>7290</v>
      </c>
      <c r="S308" s="185">
        <v>70</v>
      </c>
      <c r="T308" s="247" t="s">
        <v>184</v>
      </c>
      <c r="V308" s="182"/>
      <c r="W308" s="185"/>
      <c r="X308" s="176"/>
      <c r="Y308" s="185"/>
      <c r="Z308" s="176"/>
      <c r="AA308" s="176"/>
      <c r="AB308" s="177"/>
      <c r="AD308" s="1547"/>
      <c r="AE308" s="248">
        <v>17020</v>
      </c>
      <c r="AF308" s="176"/>
      <c r="AG308" s="176"/>
      <c r="AH308" s="177"/>
      <c r="AJ308" s="187"/>
      <c r="AK308" s="185"/>
      <c r="AL308" s="176"/>
      <c r="AM308" s="176"/>
      <c r="AN308" s="177"/>
      <c r="AP308" s="1551"/>
      <c r="AQ308" s="1554"/>
      <c r="AR308" s="1551"/>
      <c r="AS308" s="1554"/>
      <c r="AT308" s="1544"/>
      <c r="AU308" s="172" t="s">
        <v>699</v>
      </c>
      <c r="AV308" s="249">
        <v>5400</v>
      </c>
      <c r="AW308" s="250">
        <v>6000</v>
      </c>
      <c r="AX308" s="267">
        <v>3700</v>
      </c>
      <c r="AY308" s="252">
        <v>3700</v>
      </c>
      <c r="BA308" s="235">
        <v>27330</v>
      </c>
      <c r="BC308" s="1557"/>
      <c r="BE308" s="187"/>
      <c r="BF308" s="176"/>
      <c r="BG308" s="176"/>
      <c r="BH308" s="177"/>
      <c r="BJ308" s="253"/>
      <c r="BL308" s="193"/>
      <c r="BM308" s="194"/>
      <c r="BN308" s="194"/>
      <c r="BO308" s="195"/>
      <c r="BQ308" s="187">
        <v>3180</v>
      </c>
      <c r="BR308" s="185" t="s">
        <v>199</v>
      </c>
      <c r="BS308" s="185">
        <v>30</v>
      </c>
      <c r="BT308" s="254" t="s">
        <v>184</v>
      </c>
      <c r="BV308" s="187">
        <v>10940</v>
      </c>
      <c r="BW308" s="185" t="s">
        <v>189</v>
      </c>
      <c r="BX308" s="185">
        <v>100</v>
      </c>
      <c r="BY308" s="185" t="s">
        <v>184</v>
      </c>
      <c r="BZ308" s="254" t="s">
        <v>190</v>
      </c>
      <c r="CB308" s="187">
        <v>6910</v>
      </c>
      <c r="CC308" s="185" t="s">
        <v>189</v>
      </c>
      <c r="CD308" s="185">
        <v>60</v>
      </c>
      <c r="CE308" s="185" t="s">
        <v>184</v>
      </c>
      <c r="CF308" s="254" t="s">
        <v>190</v>
      </c>
      <c r="CH308" s="253"/>
    </row>
    <row r="309" spans="1:86">
      <c r="A309" s="1563"/>
      <c r="B309" s="168"/>
      <c r="C309" s="241" t="s">
        <v>319</v>
      </c>
      <c r="D309" s="177" t="s">
        <v>320</v>
      </c>
      <c r="F309" s="242">
        <v>138800</v>
      </c>
      <c r="G309" s="243">
        <v>211780</v>
      </c>
      <c r="H309" s="242">
        <v>126470</v>
      </c>
      <c r="I309" s="243">
        <v>199450</v>
      </c>
      <c r="J309" s="179" t="s">
        <v>182</v>
      </c>
      <c r="K309" s="244">
        <v>1270</v>
      </c>
      <c r="L309" s="245">
        <v>2000</v>
      </c>
      <c r="M309" s="246" t="s">
        <v>795</v>
      </c>
      <c r="N309" s="244">
        <v>1150</v>
      </c>
      <c r="O309" s="245">
        <v>1880</v>
      </c>
      <c r="P309" s="246" t="s">
        <v>795</v>
      </c>
      <c r="R309" s="182"/>
      <c r="S309" s="176"/>
      <c r="T309" s="177"/>
      <c r="V309" s="182"/>
      <c r="W309" s="185"/>
      <c r="X309" s="176"/>
      <c r="Y309" s="185"/>
      <c r="Z309" s="176"/>
      <c r="AA309" s="176"/>
      <c r="AB309" s="177"/>
      <c r="AC309" s="160" t="s">
        <v>182</v>
      </c>
      <c r="AD309" s="1548">
        <v>17020</v>
      </c>
      <c r="AE309" s="255"/>
      <c r="AF309" s="176"/>
      <c r="AG309" s="176">
        <v>0</v>
      </c>
      <c r="AH309" s="177"/>
      <c r="AJ309" s="187">
        <v>10010</v>
      </c>
      <c r="AK309" s="185" t="s">
        <v>321</v>
      </c>
      <c r="AL309" s="176"/>
      <c r="AM309" s="176"/>
      <c r="AN309" s="177"/>
      <c r="AP309" s="1551"/>
      <c r="AQ309" s="1554"/>
      <c r="AR309" s="1551"/>
      <c r="AS309" s="1554"/>
      <c r="AT309" s="1544"/>
      <c r="AU309" s="172" t="s">
        <v>700</v>
      </c>
      <c r="AV309" s="249">
        <v>4700</v>
      </c>
      <c r="AW309" s="250">
        <v>5200</v>
      </c>
      <c r="AX309" s="267">
        <v>3300</v>
      </c>
      <c r="AY309" s="252">
        <v>3300</v>
      </c>
      <c r="BA309" s="277"/>
      <c r="BC309" s="359"/>
      <c r="BE309" s="187"/>
      <c r="BF309" s="176"/>
      <c r="BG309" s="176"/>
      <c r="BH309" s="177"/>
      <c r="BJ309" s="253"/>
      <c r="BL309" s="193">
        <v>0.01</v>
      </c>
      <c r="BM309" s="194">
        <v>0.03</v>
      </c>
      <c r="BN309" s="194">
        <v>0.04</v>
      </c>
      <c r="BO309" s="195">
        <v>0.05</v>
      </c>
      <c r="BQ309" s="187"/>
      <c r="BR309" s="185"/>
      <c r="BS309" s="185"/>
      <c r="BT309" s="254"/>
      <c r="BV309" s="187"/>
      <c r="BW309" s="185"/>
      <c r="BX309" s="185"/>
      <c r="BY309" s="185"/>
      <c r="BZ309" s="254"/>
      <c r="CB309" s="187"/>
      <c r="CC309" s="185"/>
      <c r="CD309" s="185"/>
      <c r="CE309" s="185"/>
      <c r="CF309" s="254"/>
      <c r="CH309" s="253">
        <v>0.96</v>
      </c>
    </row>
    <row r="310" spans="1:86">
      <c r="A310" s="1563"/>
      <c r="B310" s="269"/>
      <c r="C310" s="270"/>
      <c r="D310" s="184" t="s">
        <v>322</v>
      </c>
      <c r="F310" s="256">
        <v>211780</v>
      </c>
      <c r="G310" s="257"/>
      <c r="H310" s="256">
        <v>199450</v>
      </c>
      <c r="I310" s="257"/>
      <c r="J310" s="179" t="s">
        <v>182</v>
      </c>
      <c r="K310" s="258">
        <v>2000</v>
      </c>
      <c r="L310" s="259"/>
      <c r="M310" s="260" t="s">
        <v>795</v>
      </c>
      <c r="N310" s="258">
        <v>1880</v>
      </c>
      <c r="O310" s="259"/>
      <c r="P310" s="260" t="s">
        <v>795</v>
      </c>
      <c r="R310" s="183"/>
      <c r="S310" s="271"/>
      <c r="T310" s="184"/>
      <c r="V310" s="278"/>
      <c r="W310" s="279" t="s">
        <v>703</v>
      </c>
      <c r="X310" s="176"/>
      <c r="Y310" s="279" t="s">
        <v>703</v>
      </c>
      <c r="Z310" s="279"/>
      <c r="AA310" s="176"/>
      <c r="AB310" s="177"/>
      <c r="AD310" s="1549"/>
      <c r="AE310" s="261"/>
      <c r="AF310" s="176"/>
      <c r="AG310" s="176"/>
      <c r="AH310" s="177"/>
      <c r="AJ310" s="187"/>
      <c r="AK310" s="185"/>
      <c r="AL310" s="176"/>
      <c r="AM310" s="176"/>
      <c r="AN310" s="177"/>
      <c r="AP310" s="1552"/>
      <c r="AQ310" s="1555"/>
      <c r="AR310" s="1552"/>
      <c r="AS310" s="1555"/>
      <c r="AT310" s="1544"/>
      <c r="AU310" s="262" t="s">
        <v>701</v>
      </c>
      <c r="AV310" s="263">
        <v>4200</v>
      </c>
      <c r="AW310" s="264">
        <v>4600</v>
      </c>
      <c r="AX310" s="265">
        <v>2900</v>
      </c>
      <c r="AY310" s="266">
        <v>2900</v>
      </c>
      <c r="BA310" s="235" t="s">
        <v>665</v>
      </c>
      <c r="BC310" s="359"/>
      <c r="BE310" s="186"/>
      <c r="BF310" s="271"/>
      <c r="BG310" s="271"/>
      <c r="BH310" s="184"/>
      <c r="BJ310" s="253"/>
      <c r="BL310" s="272"/>
      <c r="BM310" s="273"/>
      <c r="BN310" s="273"/>
      <c r="BO310" s="274"/>
      <c r="BQ310" s="186"/>
      <c r="BR310" s="196"/>
      <c r="BS310" s="196"/>
      <c r="BT310" s="197"/>
      <c r="BV310" s="186"/>
      <c r="BW310" s="196"/>
      <c r="BX310" s="196"/>
      <c r="BY310" s="196"/>
      <c r="BZ310" s="197"/>
      <c r="CB310" s="186"/>
      <c r="CC310" s="196"/>
      <c r="CD310" s="196"/>
      <c r="CE310" s="196"/>
      <c r="CF310" s="197"/>
      <c r="CH310" s="198"/>
    </row>
    <row r="311" spans="1:86" ht="63">
      <c r="A311" s="1563"/>
      <c r="B311" s="168" t="s">
        <v>327</v>
      </c>
      <c r="C311" s="241" t="s">
        <v>313</v>
      </c>
      <c r="D311" s="177" t="s">
        <v>314</v>
      </c>
      <c r="F311" s="218">
        <v>67090</v>
      </c>
      <c r="G311" s="219">
        <v>74380</v>
      </c>
      <c r="H311" s="218">
        <v>57230</v>
      </c>
      <c r="I311" s="219">
        <v>64520</v>
      </c>
      <c r="J311" s="179" t="s">
        <v>182</v>
      </c>
      <c r="K311" s="220">
        <v>650</v>
      </c>
      <c r="L311" s="221">
        <v>720</v>
      </c>
      <c r="M311" s="222" t="s">
        <v>795</v>
      </c>
      <c r="N311" s="220">
        <v>550</v>
      </c>
      <c r="O311" s="221">
        <v>620</v>
      </c>
      <c r="P311" s="222" t="s">
        <v>795</v>
      </c>
      <c r="Q311" s="160" t="s">
        <v>182</v>
      </c>
      <c r="R311" s="275">
        <v>7290</v>
      </c>
      <c r="S311" s="276">
        <v>70</v>
      </c>
      <c r="T311" s="247" t="s">
        <v>184</v>
      </c>
      <c r="V311" s="182"/>
      <c r="W311" s="185">
        <v>248500</v>
      </c>
      <c r="X311" s="176"/>
      <c r="Y311" s="185">
        <v>2480</v>
      </c>
      <c r="Z311" s="176" t="s">
        <v>184</v>
      </c>
      <c r="AA311" s="176"/>
      <c r="AB311" s="177"/>
      <c r="AC311" s="160" t="s">
        <v>182</v>
      </c>
      <c r="AD311" s="1546">
        <v>16380</v>
      </c>
      <c r="AE311" s="227"/>
      <c r="AF311" s="226" t="s">
        <v>182</v>
      </c>
      <c r="AG311" s="226">
        <v>90</v>
      </c>
      <c r="AH311" s="217" t="s">
        <v>184</v>
      </c>
      <c r="AJ311" s="187" t="s">
        <v>201</v>
      </c>
      <c r="AK311" s="185"/>
      <c r="AL311" s="176" t="s">
        <v>182</v>
      </c>
      <c r="AM311" s="176">
        <v>70</v>
      </c>
      <c r="AN311" s="177" t="s">
        <v>316</v>
      </c>
      <c r="AO311" s="160" t="s">
        <v>182</v>
      </c>
      <c r="AP311" s="1550">
        <v>4300</v>
      </c>
      <c r="AQ311" s="1553">
        <v>4800</v>
      </c>
      <c r="AR311" s="1550">
        <v>3000</v>
      </c>
      <c r="AS311" s="1553">
        <v>3000</v>
      </c>
      <c r="AT311" s="1544" t="s">
        <v>664</v>
      </c>
      <c r="AU311" s="230" t="s">
        <v>697</v>
      </c>
      <c r="AV311" s="231">
        <v>8800</v>
      </c>
      <c r="AW311" s="232">
        <v>9800</v>
      </c>
      <c r="AX311" s="267">
        <v>6100</v>
      </c>
      <c r="AY311" s="252">
        <v>6100</v>
      </c>
      <c r="BA311" s="235">
        <v>16800</v>
      </c>
      <c r="BB311" s="160" t="s">
        <v>182</v>
      </c>
      <c r="BC311" s="1556">
        <v>4700</v>
      </c>
      <c r="BD311" s="160" t="s">
        <v>182</v>
      </c>
      <c r="BE311" s="187">
        <v>4300</v>
      </c>
      <c r="BF311" s="176" t="s">
        <v>182</v>
      </c>
      <c r="BG311" s="176">
        <v>40</v>
      </c>
      <c r="BH311" s="177" t="s">
        <v>184</v>
      </c>
      <c r="BJ311" s="253"/>
      <c r="BK311" s="160" t="s">
        <v>188</v>
      </c>
      <c r="BL311" s="193" t="s">
        <v>317</v>
      </c>
      <c r="BM311" s="194" t="s">
        <v>317</v>
      </c>
      <c r="BN311" s="194" t="s">
        <v>317</v>
      </c>
      <c r="BO311" s="195" t="s">
        <v>317</v>
      </c>
      <c r="BP311" s="160" t="s">
        <v>188</v>
      </c>
      <c r="BQ311" s="187"/>
      <c r="BR311" s="185"/>
      <c r="BS311" s="185"/>
      <c r="BT311" s="254"/>
      <c r="BU311" s="160" t="s">
        <v>188</v>
      </c>
      <c r="BV311" s="187"/>
      <c r="BW311" s="185"/>
      <c r="BX311" s="185"/>
      <c r="BY311" s="185"/>
      <c r="BZ311" s="254"/>
      <c r="CA311" s="160" t="s">
        <v>188</v>
      </c>
      <c r="CB311" s="187"/>
      <c r="CC311" s="185"/>
      <c r="CD311" s="185"/>
      <c r="CE311" s="185"/>
      <c r="CF311" s="254"/>
      <c r="CH311" s="253" t="s">
        <v>324</v>
      </c>
    </row>
    <row r="312" spans="1:86">
      <c r="A312" s="1563"/>
      <c r="B312" s="168"/>
      <c r="C312" s="241"/>
      <c r="D312" s="177" t="s">
        <v>318</v>
      </c>
      <c r="F312" s="242">
        <v>74380</v>
      </c>
      <c r="G312" s="243">
        <v>133730</v>
      </c>
      <c r="H312" s="242">
        <v>64520</v>
      </c>
      <c r="I312" s="243">
        <v>123870</v>
      </c>
      <c r="J312" s="179" t="s">
        <v>182</v>
      </c>
      <c r="K312" s="244">
        <v>720</v>
      </c>
      <c r="L312" s="245">
        <v>1220</v>
      </c>
      <c r="M312" s="246" t="s">
        <v>795</v>
      </c>
      <c r="N312" s="244">
        <v>620</v>
      </c>
      <c r="O312" s="245">
        <v>1120</v>
      </c>
      <c r="P312" s="246" t="s">
        <v>795</v>
      </c>
      <c r="Q312" s="160" t="s">
        <v>182</v>
      </c>
      <c r="R312" s="187">
        <v>7290</v>
      </c>
      <c r="S312" s="185">
        <v>70</v>
      </c>
      <c r="T312" s="247" t="s">
        <v>184</v>
      </c>
      <c r="V312" s="182"/>
      <c r="W312" s="185"/>
      <c r="X312" s="176"/>
      <c r="Y312" s="185"/>
      <c r="Z312" s="176"/>
      <c r="AA312" s="176"/>
      <c r="AB312" s="177"/>
      <c r="AD312" s="1547"/>
      <c r="AE312" s="248">
        <v>14660</v>
      </c>
      <c r="AF312" s="176"/>
      <c r="AG312" s="176"/>
      <c r="AH312" s="177"/>
      <c r="AJ312" s="187"/>
      <c r="AK312" s="185"/>
      <c r="AL312" s="176"/>
      <c r="AM312" s="176"/>
      <c r="AN312" s="177"/>
      <c r="AP312" s="1551"/>
      <c r="AQ312" s="1554"/>
      <c r="AR312" s="1551"/>
      <c r="AS312" s="1554"/>
      <c r="AT312" s="1544"/>
      <c r="AU312" s="172" t="s">
        <v>699</v>
      </c>
      <c r="AV312" s="249">
        <v>4800</v>
      </c>
      <c r="AW312" s="250">
        <v>5400</v>
      </c>
      <c r="AX312" s="267">
        <v>3400</v>
      </c>
      <c r="AY312" s="252">
        <v>3400</v>
      </c>
      <c r="BA312" s="277"/>
      <c r="BC312" s="1557"/>
      <c r="BE312" s="187"/>
      <c r="BF312" s="176"/>
      <c r="BG312" s="176"/>
      <c r="BH312" s="177"/>
      <c r="BJ312" s="253"/>
      <c r="BL312" s="193"/>
      <c r="BM312" s="194"/>
      <c r="BN312" s="194"/>
      <c r="BO312" s="195"/>
      <c r="BQ312" s="187">
        <v>2540</v>
      </c>
      <c r="BR312" s="185" t="s">
        <v>199</v>
      </c>
      <c r="BS312" s="185">
        <v>20</v>
      </c>
      <c r="BT312" s="254" t="s">
        <v>184</v>
      </c>
      <c r="BV312" s="187">
        <v>8750</v>
      </c>
      <c r="BW312" s="185" t="s">
        <v>189</v>
      </c>
      <c r="BX312" s="185">
        <v>80</v>
      </c>
      <c r="BY312" s="185" t="s">
        <v>184</v>
      </c>
      <c r="BZ312" s="254" t="s">
        <v>190</v>
      </c>
      <c r="CB312" s="187">
        <v>5530</v>
      </c>
      <c r="CC312" s="185" t="s">
        <v>189</v>
      </c>
      <c r="CD312" s="185">
        <v>50</v>
      </c>
      <c r="CE312" s="185" t="s">
        <v>184</v>
      </c>
      <c r="CF312" s="254" t="s">
        <v>190</v>
      </c>
      <c r="CH312" s="253"/>
    </row>
    <row r="313" spans="1:86">
      <c r="A313" s="1563"/>
      <c r="B313" s="168"/>
      <c r="C313" s="241" t="s">
        <v>319</v>
      </c>
      <c r="D313" s="177" t="s">
        <v>320</v>
      </c>
      <c r="F313" s="242">
        <v>133730</v>
      </c>
      <c r="G313" s="243">
        <v>206710</v>
      </c>
      <c r="H313" s="242">
        <v>123870</v>
      </c>
      <c r="I313" s="243">
        <v>196850</v>
      </c>
      <c r="J313" s="179" t="s">
        <v>182</v>
      </c>
      <c r="K313" s="244">
        <v>1220</v>
      </c>
      <c r="L313" s="245">
        <v>1950</v>
      </c>
      <c r="M313" s="246" t="s">
        <v>795</v>
      </c>
      <c r="N313" s="244">
        <v>1120</v>
      </c>
      <c r="O313" s="245">
        <v>1850</v>
      </c>
      <c r="P313" s="246" t="s">
        <v>795</v>
      </c>
      <c r="R313" s="182"/>
      <c r="S313" s="176"/>
      <c r="T313" s="177"/>
      <c r="V313" s="278"/>
      <c r="W313" s="279" t="s">
        <v>704</v>
      </c>
      <c r="X313" s="176"/>
      <c r="Y313" s="279" t="s">
        <v>704</v>
      </c>
      <c r="Z313" s="279"/>
      <c r="AA313" s="176"/>
      <c r="AB313" s="177"/>
      <c r="AC313" s="160" t="s">
        <v>182</v>
      </c>
      <c r="AD313" s="1548">
        <v>14660</v>
      </c>
      <c r="AE313" s="255"/>
      <c r="AF313" s="176"/>
      <c r="AG313" s="176">
        <v>0</v>
      </c>
      <c r="AH313" s="177"/>
      <c r="AJ313" s="187">
        <v>7500</v>
      </c>
      <c r="AK313" s="185" t="s">
        <v>321</v>
      </c>
      <c r="AL313" s="176"/>
      <c r="AM313" s="176"/>
      <c r="AN313" s="177"/>
      <c r="AP313" s="1551"/>
      <c r="AQ313" s="1554"/>
      <c r="AR313" s="1551"/>
      <c r="AS313" s="1554"/>
      <c r="AT313" s="1544"/>
      <c r="AU313" s="172" t="s">
        <v>700</v>
      </c>
      <c r="AV313" s="249">
        <v>4200</v>
      </c>
      <c r="AW313" s="250">
        <v>4700</v>
      </c>
      <c r="AX313" s="267">
        <v>2900</v>
      </c>
      <c r="AY313" s="252">
        <v>2900</v>
      </c>
      <c r="BA313" s="235" t="s">
        <v>666</v>
      </c>
      <c r="BC313" s="358"/>
      <c r="BE313" s="187"/>
      <c r="BF313" s="176"/>
      <c r="BG313" s="176"/>
      <c r="BH313" s="177"/>
      <c r="BJ313" s="253"/>
      <c r="BL313" s="193">
        <v>0.01</v>
      </c>
      <c r="BM313" s="194">
        <v>0.03</v>
      </c>
      <c r="BN313" s="194">
        <v>0.04</v>
      </c>
      <c r="BO313" s="195">
        <v>0.06</v>
      </c>
      <c r="BQ313" s="187"/>
      <c r="BR313" s="185"/>
      <c r="BS313" s="185"/>
      <c r="BT313" s="254"/>
      <c r="BV313" s="187"/>
      <c r="BW313" s="185"/>
      <c r="BX313" s="185"/>
      <c r="BY313" s="185"/>
      <c r="BZ313" s="254"/>
      <c r="CB313" s="187"/>
      <c r="CC313" s="185"/>
      <c r="CD313" s="185"/>
      <c r="CE313" s="185"/>
      <c r="CF313" s="254"/>
      <c r="CH313" s="253">
        <v>0.92</v>
      </c>
    </row>
    <row r="314" spans="1:86">
      <c r="A314" s="1563"/>
      <c r="B314" s="168"/>
      <c r="C314" s="241"/>
      <c r="D314" s="177" t="s">
        <v>322</v>
      </c>
      <c r="F314" s="256">
        <v>206710</v>
      </c>
      <c r="G314" s="257"/>
      <c r="H314" s="256">
        <v>196850</v>
      </c>
      <c r="I314" s="257"/>
      <c r="J314" s="179" t="s">
        <v>182</v>
      </c>
      <c r="K314" s="258">
        <v>1950</v>
      </c>
      <c r="L314" s="259"/>
      <c r="M314" s="260" t="s">
        <v>795</v>
      </c>
      <c r="N314" s="258">
        <v>1850</v>
      </c>
      <c r="O314" s="259"/>
      <c r="P314" s="260" t="s">
        <v>795</v>
      </c>
      <c r="R314" s="182"/>
      <c r="S314" s="176"/>
      <c r="T314" s="177"/>
      <c r="V314" s="182"/>
      <c r="W314" s="185">
        <v>266000</v>
      </c>
      <c r="X314" s="176"/>
      <c r="Y314" s="185">
        <v>2660</v>
      </c>
      <c r="Z314" s="176" t="s">
        <v>184</v>
      </c>
      <c r="AA314" s="176"/>
      <c r="AB314" s="177"/>
      <c r="AD314" s="1549"/>
      <c r="AE314" s="261"/>
      <c r="AF314" s="271"/>
      <c r="AG314" s="271"/>
      <c r="AH314" s="184"/>
      <c r="AJ314" s="187"/>
      <c r="AK314" s="185"/>
      <c r="AL314" s="176"/>
      <c r="AM314" s="176"/>
      <c r="AN314" s="177"/>
      <c r="AP314" s="1552"/>
      <c r="AQ314" s="1555"/>
      <c r="AR314" s="1552"/>
      <c r="AS314" s="1555"/>
      <c r="AT314" s="1544"/>
      <c r="AU314" s="262" t="s">
        <v>701</v>
      </c>
      <c r="AV314" s="263">
        <v>3800</v>
      </c>
      <c r="AW314" s="264">
        <v>4200</v>
      </c>
      <c r="AX314" s="265">
        <v>2600</v>
      </c>
      <c r="AY314" s="266">
        <v>2600</v>
      </c>
      <c r="BA314" s="235">
        <v>12280</v>
      </c>
      <c r="BC314" s="359"/>
      <c r="BE314" s="187"/>
      <c r="BF314" s="176"/>
      <c r="BG314" s="176"/>
      <c r="BH314" s="177"/>
      <c r="BJ314" s="253"/>
      <c r="BL314" s="193"/>
      <c r="BM314" s="194"/>
      <c r="BN314" s="194"/>
      <c r="BO314" s="195"/>
      <c r="BQ314" s="187"/>
      <c r="BR314" s="185"/>
      <c r="BS314" s="185"/>
      <c r="BT314" s="254"/>
      <c r="BV314" s="187"/>
      <c r="BW314" s="185"/>
      <c r="BX314" s="185"/>
      <c r="BY314" s="185"/>
      <c r="BZ314" s="254"/>
      <c r="CB314" s="187"/>
      <c r="CC314" s="185"/>
      <c r="CD314" s="185"/>
      <c r="CE314" s="185"/>
      <c r="CF314" s="254"/>
      <c r="CH314" s="253"/>
    </row>
    <row r="315" spans="1:86" ht="63">
      <c r="A315" s="1563"/>
      <c r="B315" s="215" t="s">
        <v>328</v>
      </c>
      <c r="C315" s="216" t="s">
        <v>313</v>
      </c>
      <c r="D315" s="217" t="s">
        <v>314</v>
      </c>
      <c r="F315" s="218">
        <v>58680</v>
      </c>
      <c r="G315" s="219">
        <v>65970</v>
      </c>
      <c r="H315" s="218">
        <v>50460</v>
      </c>
      <c r="I315" s="219">
        <v>57750</v>
      </c>
      <c r="J315" s="179" t="s">
        <v>182</v>
      </c>
      <c r="K315" s="220">
        <v>560</v>
      </c>
      <c r="L315" s="221">
        <v>630</v>
      </c>
      <c r="M315" s="222" t="s">
        <v>795</v>
      </c>
      <c r="N315" s="220">
        <v>480</v>
      </c>
      <c r="O315" s="221">
        <v>550</v>
      </c>
      <c r="P315" s="222" t="s">
        <v>795</v>
      </c>
      <c r="Q315" s="160" t="s">
        <v>182</v>
      </c>
      <c r="R315" s="223">
        <v>7290</v>
      </c>
      <c r="S315" s="224">
        <v>70</v>
      </c>
      <c r="T315" s="225" t="s">
        <v>184</v>
      </c>
      <c r="V315" s="182"/>
      <c r="W315" s="185"/>
      <c r="X315" s="176"/>
      <c r="Y315" s="185"/>
      <c r="Z315" s="176"/>
      <c r="AA315" s="176"/>
      <c r="AB315" s="177"/>
      <c r="AC315" s="160" t="s">
        <v>182</v>
      </c>
      <c r="AD315" s="1546">
        <v>14800</v>
      </c>
      <c r="AE315" s="227"/>
      <c r="AF315" s="176" t="s">
        <v>182</v>
      </c>
      <c r="AG315" s="176">
        <v>70</v>
      </c>
      <c r="AH315" s="177" t="s">
        <v>184</v>
      </c>
      <c r="AJ315" s="187" t="s">
        <v>203</v>
      </c>
      <c r="AK315" s="185"/>
      <c r="AL315" s="176" t="s">
        <v>182</v>
      </c>
      <c r="AM315" s="176">
        <v>60</v>
      </c>
      <c r="AN315" s="177" t="s">
        <v>316</v>
      </c>
      <c r="AO315" s="160" t="s">
        <v>182</v>
      </c>
      <c r="AP315" s="1550">
        <v>3600</v>
      </c>
      <c r="AQ315" s="1553">
        <v>4000</v>
      </c>
      <c r="AR315" s="1550">
        <v>2500</v>
      </c>
      <c r="AS315" s="1553">
        <v>2500</v>
      </c>
      <c r="AT315" s="1544" t="s">
        <v>664</v>
      </c>
      <c r="AU315" s="230" t="s">
        <v>697</v>
      </c>
      <c r="AV315" s="231">
        <v>7200</v>
      </c>
      <c r="AW315" s="232">
        <v>8100</v>
      </c>
      <c r="AX315" s="267">
        <v>5100</v>
      </c>
      <c r="AY315" s="252">
        <v>5100</v>
      </c>
      <c r="BA315" s="277"/>
      <c r="BB315" s="160" t="s">
        <v>182</v>
      </c>
      <c r="BC315" s="1556">
        <v>4700</v>
      </c>
      <c r="BD315" s="160" t="s">
        <v>182</v>
      </c>
      <c r="BE315" s="228">
        <v>3580</v>
      </c>
      <c r="BF315" s="226" t="s">
        <v>182</v>
      </c>
      <c r="BG315" s="226">
        <v>30</v>
      </c>
      <c r="BH315" s="217" t="s">
        <v>184</v>
      </c>
      <c r="BJ315" s="253"/>
      <c r="BK315" s="160" t="s">
        <v>188</v>
      </c>
      <c r="BL315" s="237" t="s">
        <v>317</v>
      </c>
      <c r="BM315" s="238" t="s">
        <v>317</v>
      </c>
      <c r="BN315" s="238" t="s">
        <v>317</v>
      </c>
      <c r="BO315" s="239" t="s">
        <v>317</v>
      </c>
      <c r="BP315" s="160" t="s">
        <v>188</v>
      </c>
      <c r="BQ315" s="228"/>
      <c r="BR315" s="229"/>
      <c r="BS315" s="229"/>
      <c r="BT315" s="240"/>
      <c r="BU315" s="160" t="s">
        <v>188</v>
      </c>
      <c r="BV315" s="228"/>
      <c r="BW315" s="229"/>
      <c r="BX315" s="229"/>
      <c r="BY315" s="229"/>
      <c r="BZ315" s="240"/>
      <c r="CA315" s="160" t="s">
        <v>188</v>
      </c>
      <c r="CB315" s="228"/>
      <c r="CC315" s="229"/>
      <c r="CD315" s="229"/>
      <c r="CE315" s="229"/>
      <c r="CF315" s="240"/>
      <c r="CH315" s="236" t="s">
        <v>324</v>
      </c>
    </row>
    <row r="316" spans="1:86">
      <c r="A316" s="1563"/>
      <c r="B316" s="168"/>
      <c r="C316" s="241"/>
      <c r="D316" s="177" t="s">
        <v>318</v>
      </c>
      <c r="F316" s="242">
        <v>65970</v>
      </c>
      <c r="G316" s="243">
        <v>125320</v>
      </c>
      <c r="H316" s="242">
        <v>57750</v>
      </c>
      <c r="I316" s="243">
        <v>117100</v>
      </c>
      <c r="J316" s="179" t="s">
        <v>182</v>
      </c>
      <c r="K316" s="244">
        <v>630</v>
      </c>
      <c r="L316" s="245">
        <v>1140</v>
      </c>
      <c r="M316" s="246" t="s">
        <v>795</v>
      </c>
      <c r="N316" s="244">
        <v>550</v>
      </c>
      <c r="O316" s="245">
        <v>1050</v>
      </c>
      <c r="P316" s="246" t="s">
        <v>795</v>
      </c>
      <c r="Q316" s="160" t="s">
        <v>182</v>
      </c>
      <c r="R316" s="187">
        <v>7290</v>
      </c>
      <c r="S316" s="185">
        <v>70</v>
      </c>
      <c r="T316" s="247" t="s">
        <v>184</v>
      </c>
      <c r="V316" s="278"/>
      <c r="W316" s="279" t="s">
        <v>705</v>
      </c>
      <c r="X316" s="176"/>
      <c r="Y316" s="279" t="s">
        <v>705</v>
      </c>
      <c r="Z316" s="279"/>
      <c r="AA316" s="176"/>
      <c r="AB316" s="177"/>
      <c r="AD316" s="1547"/>
      <c r="AE316" s="248">
        <v>13080</v>
      </c>
      <c r="AF316" s="176"/>
      <c r="AG316" s="176"/>
      <c r="AH316" s="177"/>
      <c r="AJ316" s="187"/>
      <c r="AK316" s="185"/>
      <c r="AL316" s="176"/>
      <c r="AM316" s="176"/>
      <c r="AN316" s="177"/>
      <c r="AP316" s="1551"/>
      <c r="AQ316" s="1554"/>
      <c r="AR316" s="1551"/>
      <c r="AS316" s="1554"/>
      <c r="AT316" s="1544"/>
      <c r="AU316" s="172" t="s">
        <v>699</v>
      </c>
      <c r="AV316" s="249">
        <v>4000</v>
      </c>
      <c r="AW316" s="250">
        <v>4400</v>
      </c>
      <c r="AX316" s="267">
        <v>2800</v>
      </c>
      <c r="AY316" s="252">
        <v>2800</v>
      </c>
      <c r="BA316" s="235" t="s">
        <v>667</v>
      </c>
      <c r="BC316" s="1557"/>
      <c r="BE316" s="187"/>
      <c r="BF316" s="176"/>
      <c r="BG316" s="176"/>
      <c r="BH316" s="177"/>
      <c r="BJ316" s="253"/>
      <c r="BL316" s="193"/>
      <c r="BM316" s="194"/>
      <c r="BN316" s="194"/>
      <c r="BO316" s="195"/>
      <c r="BQ316" s="187">
        <v>2120</v>
      </c>
      <c r="BR316" s="185" t="s">
        <v>199</v>
      </c>
      <c r="BS316" s="185">
        <v>20</v>
      </c>
      <c r="BT316" s="254" t="s">
        <v>184</v>
      </c>
      <c r="BV316" s="187">
        <v>7290</v>
      </c>
      <c r="BW316" s="185" t="s">
        <v>189</v>
      </c>
      <c r="BX316" s="185">
        <v>70</v>
      </c>
      <c r="BY316" s="185" t="s">
        <v>184</v>
      </c>
      <c r="BZ316" s="254" t="s">
        <v>190</v>
      </c>
      <c r="CB316" s="187">
        <v>4600</v>
      </c>
      <c r="CC316" s="185" t="s">
        <v>189</v>
      </c>
      <c r="CD316" s="185">
        <v>40</v>
      </c>
      <c r="CE316" s="185" t="s">
        <v>184</v>
      </c>
      <c r="CF316" s="254" t="s">
        <v>190</v>
      </c>
      <c r="CH316" s="253"/>
    </row>
    <row r="317" spans="1:86">
      <c r="A317" s="1563"/>
      <c r="B317" s="168"/>
      <c r="C317" s="241" t="s">
        <v>319</v>
      </c>
      <c r="D317" s="177" t="s">
        <v>320</v>
      </c>
      <c r="F317" s="242">
        <v>125320</v>
      </c>
      <c r="G317" s="243">
        <v>198300</v>
      </c>
      <c r="H317" s="242">
        <v>117100</v>
      </c>
      <c r="I317" s="243">
        <v>190080</v>
      </c>
      <c r="J317" s="179" t="s">
        <v>182</v>
      </c>
      <c r="K317" s="244">
        <v>1140</v>
      </c>
      <c r="L317" s="245">
        <v>1870</v>
      </c>
      <c r="M317" s="246" t="s">
        <v>795</v>
      </c>
      <c r="N317" s="244">
        <v>1050</v>
      </c>
      <c r="O317" s="245">
        <v>1780</v>
      </c>
      <c r="P317" s="246" t="s">
        <v>795</v>
      </c>
      <c r="R317" s="182"/>
      <c r="S317" s="176"/>
      <c r="T317" s="177"/>
      <c r="V317" s="182"/>
      <c r="W317" s="185">
        <v>301000</v>
      </c>
      <c r="X317" s="176"/>
      <c r="Y317" s="185">
        <v>3010</v>
      </c>
      <c r="Z317" s="176" t="s">
        <v>184</v>
      </c>
      <c r="AA317" s="176"/>
      <c r="AB317" s="177"/>
      <c r="AC317" s="160" t="s">
        <v>182</v>
      </c>
      <c r="AD317" s="1548">
        <v>13080</v>
      </c>
      <c r="AE317" s="255"/>
      <c r="AF317" s="176"/>
      <c r="AG317" s="176">
        <v>0</v>
      </c>
      <c r="AH317" s="177"/>
      <c r="AJ317" s="187">
        <v>6000</v>
      </c>
      <c r="AK317" s="185" t="s">
        <v>321</v>
      </c>
      <c r="AL317" s="176"/>
      <c r="AM317" s="176"/>
      <c r="AN317" s="177"/>
      <c r="AP317" s="1551"/>
      <c r="AQ317" s="1554"/>
      <c r="AR317" s="1551"/>
      <c r="AS317" s="1554"/>
      <c r="AT317" s="1544"/>
      <c r="AU317" s="172" t="s">
        <v>700</v>
      </c>
      <c r="AV317" s="249">
        <v>3500</v>
      </c>
      <c r="AW317" s="250">
        <v>3800</v>
      </c>
      <c r="AX317" s="267">
        <v>2400</v>
      </c>
      <c r="AY317" s="252">
        <v>2400</v>
      </c>
      <c r="BA317" s="235">
        <v>9770</v>
      </c>
      <c r="BC317" s="359"/>
      <c r="BE317" s="187"/>
      <c r="BF317" s="176"/>
      <c r="BG317" s="176"/>
      <c r="BH317" s="177"/>
      <c r="BJ317" s="253"/>
      <c r="BL317" s="193">
        <v>0.01</v>
      </c>
      <c r="BM317" s="194">
        <v>0.03</v>
      </c>
      <c r="BN317" s="194">
        <v>0.04</v>
      </c>
      <c r="BO317" s="195">
        <v>0.06</v>
      </c>
      <c r="BQ317" s="187"/>
      <c r="BR317" s="185"/>
      <c r="BS317" s="185"/>
      <c r="BT317" s="254"/>
      <c r="BV317" s="187"/>
      <c r="BW317" s="185"/>
      <c r="BX317" s="185"/>
      <c r="BY317" s="185"/>
      <c r="BZ317" s="254"/>
      <c r="CB317" s="187"/>
      <c r="CC317" s="185"/>
      <c r="CD317" s="185"/>
      <c r="CE317" s="185"/>
      <c r="CF317" s="254"/>
      <c r="CH317" s="253">
        <v>0.9</v>
      </c>
    </row>
    <row r="318" spans="1:86">
      <c r="A318" s="1563"/>
      <c r="B318" s="269"/>
      <c r="C318" s="270"/>
      <c r="D318" s="184" t="s">
        <v>322</v>
      </c>
      <c r="F318" s="256">
        <v>198300</v>
      </c>
      <c r="G318" s="257"/>
      <c r="H318" s="256">
        <v>190080</v>
      </c>
      <c r="I318" s="257"/>
      <c r="J318" s="179" t="s">
        <v>182</v>
      </c>
      <c r="K318" s="258">
        <v>1870</v>
      </c>
      <c r="L318" s="259"/>
      <c r="M318" s="260" t="s">
        <v>795</v>
      </c>
      <c r="N318" s="258">
        <v>1780</v>
      </c>
      <c r="O318" s="259"/>
      <c r="P318" s="260" t="s">
        <v>795</v>
      </c>
      <c r="R318" s="183"/>
      <c r="S318" s="271"/>
      <c r="T318" s="184"/>
      <c r="V318" s="182"/>
      <c r="W318" s="185"/>
      <c r="X318" s="176"/>
      <c r="Y318" s="185"/>
      <c r="Z318" s="176"/>
      <c r="AA318" s="176"/>
      <c r="AB318" s="177"/>
      <c r="AD318" s="1549"/>
      <c r="AE318" s="261"/>
      <c r="AF318" s="176"/>
      <c r="AG318" s="176"/>
      <c r="AH318" s="177"/>
      <c r="AJ318" s="187"/>
      <c r="AK318" s="185"/>
      <c r="AL318" s="176"/>
      <c r="AM318" s="176"/>
      <c r="AN318" s="177"/>
      <c r="AP318" s="1552"/>
      <c r="AQ318" s="1555"/>
      <c r="AR318" s="1552"/>
      <c r="AS318" s="1555"/>
      <c r="AT318" s="1544"/>
      <c r="AU318" s="262" t="s">
        <v>701</v>
      </c>
      <c r="AV318" s="263">
        <v>3100</v>
      </c>
      <c r="AW318" s="264">
        <v>3400</v>
      </c>
      <c r="AX318" s="265">
        <v>2100</v>
      </c>
      <c r="AY318" s="266">
        <v>2100</v>
      </c>
      <c r="BA318" s="277"/>
      <c r="BC318" s="359"/>
      <c r="BE318" s="186"/>
      <c r="BF318" s="271"/>
      <c r="BG318" s="271"/>
      <c r="BH318" s="184"/>
      <c r="BJ318" s="253"/>
      <c r="BL318" s="272"/>
      <c r="BM318" s="273"/>
      <c r="BN318" s="273"/>
      <c r="BO318" s="274"/>
      <c r="BQ318" s="186"/>
      <c r="BR318" s="196"/>
      <c r="BS318" s="196"/>
      <c r="BT318" s="197"/>
      <c r="BV318" s="186"/>
      <c r="BW318" s="196"/>
      <c r="BX318" s="196"/>
      <c r="BY318" s="196"/>
      <c r="BZ318" s="197"/>
      <c r="CB318" s="186"/>
      <c r="CC318" s="196"/>
      <c r="CD318" s="196"/>
      <c r="CE318" s="196"/>
      <c r="CF318" s="197"/>
      <c r="CH318" s="198"/>
    </row>
    <row r="319" spans="1:86" ht="63">
      <c r="A319" s="1563"/>
      <c r="B319" s="168" t="s">
        <v>329</v>
      </c>
      <c r="C319" s="241" t="s">
        <v>313</v>
      </c>
      <c r="D319" s="177" t="s">
        <v>314</v>
      </c>
      <c r="F319" s="218">
        <v>52750</v>
      </c>
      <c r="G319" s="219">
        <v>60040</v>
      </c>
      <c r="H319" s="218">
        <v>45700</v>
      </c>
      <c r="I319" s="219">
        <v>52990</v>
      </c>
      <c r="J319" s="179" t="s">
        <v>182</v>
      </c>
      <c r="K319" s="220">
        <v>500</v>
      </c>
      <c r="L319" s="221">
        <v>570</v>
      </c>
      <c r="M319" s="222" t="s">
        <v>795</v>
      </c>
      <c r="N319" s="220">
        <v>430</v>
      </c>
      <c r="O319" s="221">
        <v>500</v>
      </c>
      <c r="P319" s="222" t="s">
        <v>795</v>
      </c>
      <c r="Q319" s="160" t="s">
        <v>182</v>
      </c>
      <c r="R319" s="275">
        <v>7290</v>
      </c>
      <c r="S319" s="276">
        <v>70</v>
      </c>
      <c r="T319" s="247" t="s">
        <v>184</v>
      </c>
      <c r="V319" s="278"/>
      <c r="W319" s="279" t="s">
        <v>706</v>
      </c>
      <c r="X319" s="176"/>
      <c r="Y319" s="279" t="s">
        <v>706</v>
      </c>
      <c r="Z319" s="279"/>
      <c r="AA319" s="176"/>
      <c r="AB319" s="177"/>
      <c r="AC319" s="160" t="s">
        <v>182</v>
      </c>
      <c r="AD319" s="1546">
        <v>13680</v>
      </c>
      <c r="AE319" s="227"/>
      <c r="AF319" s="226" t="s">
        <v>182</v>
      </c>
      <c r="AG319" s="226">
        <v>60</v>
      </c>
      <c r="AH319" s="217" t="s">
        <v>184</v>
      </c>
      <c r="AJ319" s="187" t="s">
        <v>205</v>
      </c>
      <c r="AK319" s="185"/>
      <c r="AL319" s="176" t="s">
        <v>182</v>
      </c>
      <c r="AM319" s="176">
        <v>50</v>
      </c>
      <c r="AN319" s="177" t="s">
        <v>316</v>
      </c>
      <c r="AO319" s="160" t="s">
        <v>182</v>
      </c>
      <c r="AP319" s="1550">
        <v>3100</v>
      </c>
      <c r="AQ319" s="1553">
        <v>3400</v>
      </c>
      <c r="AR319" s="1550">
        <v>2100</v>
      </c>
      <c r="AS319" s="1553">
        <v>2100</v>
      </c>
      <c r="AT319" s="1544" t="s">
        <v>664</v>
      </c>
      <c r="AU319" s="230" t="s">
        <v>697</v>
      </c>
      <c r="AV319" s="231">
        <v>6300</v>
      </c>
      <c r="AW319" s="232">
        <v>7100</v>
      </c>
      <c r="AX319" s="267">
        <v>4400</v>
      </c>
      <c r="AY319" s="252">
        <v>4400</v>
      </c>
      <c r="BA319" s="235" t="s">
        <v>668</v>
      </c>
      <c r="BB319" s="160" t="s">
        <v>182</v>
      </c>
      <c r="BC319" s="1556">
        <v>4700</v>
      </c>
      <c r="BD319" s="160" t="s">
        <v>182</v>
      </c>
      <c r="BE319" s="187">
        <v>3070</v>
      </c>
      <c r="BF319" s="176" t="s">
        <v>182</v>
      </c>
      <c r="BG319" s="176">
        <v>30</v>
      </c>
      <c r="BH319" s="177" t="s">
        <v>184</v>
      </c>
      <c r="BJ319" s="253"/>
      <c r="BK319" s="160" t="s">
        <v>188</v>
      </c>
      <c r="BL319" s="193" t="s">
        <v>317</v>
      </c>
      <c r="BM319" s="194" t="s">
        <v>317</v>
      </c>
      <c r="BN319" s="194" t="s">
        <v>317</v>
      </c>
      <c r="BO319" s="195" t="s">
        <v>317</v>
      </c>
      <c r="BP319" s="160" t="s">
        <v>188</v>
      </c>
      <c r="BQ319" s="187"/>
      <c r="BR319" s="185"/>
      <c r="BS319" s="185"/>
      <c r="BT319" s="254"/>
      <c r="BU319" s="160" t="s">
        <v>188</v>
      </c>
      <c r="BV319" s="187"/>
      <c r="BW319" s="185"/>
      <c r="BX319" s="185"/>
      <c r="BY319" s="185"/>
      <c r="BZ319" s="254"/>
      <c r="CA319" s="160" t="s">
        <v>188</v>
      </c>
      <c r="CB319" s="187"/>
      <c r="CC319" s="185"/>
      <c r="CD319" s="185"/>
      <c r="CE319" s="185"/>
      <c r="CF319" s="254"/>
      <c r="CH319" s="253" t="s">
        <v>324</v>
      </c>
    </row>
    <row r="320" spans="1:86">
      <c r="A320" s="1563"/>
      <c r="B320" s="168"/>
      <c r="C320" s="241"/>
      <c r="D320" s="177" t="s">
        <v>318</v>
      </c>
      <c r="F320" s="242">
        <v>60040</v>
      </c>
      <c r="G320" s="243">
        <v>119390</v>
      </c>
      <c r="H320" s="242">
        <v>52990</v>
      </c>
      <c r="I320" s="243">
        <v>112340</v>
      </c>
      <c r="J320" s="179" t="s">
        <v>182</v>
      </c>
      <c r="K320" s="244">
        <v>570</v>
      </c>
      <c r="L320" s="245">
        <v>1080</v>
      </c>
      <c r="M320" s="246" t="s">
        <v>795</v>
      </c>
      <c r="N320" s="244">
        <v>500</v>
      </c>
      <c r="O320" s="245">
        <v>1010</v>
      </c>
      <c r="P320" s="246" t="s">
        <v>795</v>
      </c>
      <c r="Q320" s="160" t="s">
        <v>182</v>
      </c>
      <c r="R320" s="187">
        <v>7290</v>
      </c>
      <c r="S320" s="185">
        <v>70</v>
      </c>
      <c r="T320" s="247" t="s">
        <v>184</v>
      </c>
      <c r="V320" s="182"/>
      <c r="W320" s="185">
        <v>336000</v>
      </c>
      <c r="X320" s="176"/>
      <c r="Y320" s="185">
        <v>3360</v>
      </c>
      <c r="Z320" s="176" t="s">
        <v>184</v>
      </c>
      <c r="AA320" s="176"/>
      <c r="AB320" s="177"/>
      <c r="AD320" s="1547"/>
      <c r="AE320" s="248">
        <v>11950</v>
      </c>
      <c r="AF320" s="176"/>
      <c r="AG320" s="176"/>
      <c r="AH320" s="177"/>
      <c r="AJ320" s="187"/>
      <c r="AK320" s="185"/>
      <c r="AL320" s="176"/>
      <c r="AM320" s="176"/>
      <c r="AN320" s="177"/>
      <c r="AP320" s="1551"/>
      <c r="AQ320" s="1554"/>
      <c r="AR320" s="1551"/>
      <c r="AS320" s="1554"/>
      <c r="AT320" s="1544"/>
      <c r="AU320" s="172" t="s">
        <v>699</v>
      </c>
      <c r="AV320" s="249">
        <v>3500</v>
      </c>
      <c r="AW320" s="250">
        <v>3900</v>
      </c>
      <c r="AX320" s="267">
        <v>2400</v>
      </c>
      <c r="AY320" s="252">
        <v>2400</v>
      </c>
      <c r="BA320" s="235">
        <v>7500</v>
      </c>
      <c r="BC320" s="1557"/>
      <c r="BE320" s="187"/>
      <c r="BF320" s="176"/>
      <c r="BG320" s="176"/>
      <c r="BH320" s="177"/>
      <c r="BJ320" s="253"/>
      <c r="BL320" s="193"/>
      <c r="BM320" s="194"/>
      <c r="BN320" s="194"/>
      <c r="BO320" s="195"/>
      <c r="BQ320" s="187">
        <v>1810</v>
      </c>
      <c r="BR320" s="185" t="s">
        <v>199</v>
      </c>
      <c r="BS320" s="185">
        <v>10</v>
      </c>
      <c r="BT320" s="254" t="s">
        <v>184</v>
      </c>
      <c r="BV320" s="187">
        <v>6250</v>
      </c>
      <c r="BW320" s="185" t="s">
        <v>189</v>
      </c>
      <c r="BX320" s="185">
        <v>60</v>
      </c>
      <c r="BY320" s="185" t="s">
        <v>184</v>
      </c>
      <c r="BZ320" s="254" t="s">
        <v>190</v>
      </c>
      <c r="CB320" s="187">
        <v>3950</v>
      </c>
      <c r="CC320" s="185" t="s">
        <v>189</v>
      </c>
      <c r="CD320" s="185">
        <v>40</v>
      </c>
      <c r="CE320" s="185" t="s">
        <v>184</v>
      </c>
      <c r="CF320" s="254" t="s">
        <v>190</v>
      </c>
      <c r="CH320" s="253"/>
    </row>
    <row r="321" spans="1:86">
      <c r="A321" s="1563"/>
      <c r="B321" s="168"/>
      <c r="C321" s="241" t="s">
        <v>319</v>
      </c>
      <c r="D321" s="177" t="s">
        <v>320</v>
      </c>
      <c r="F321" s="242">
        <v>119390</v>
      </c>
      <c r="G321" s="243">
        <v>192370</v>
      </c>
      <c r="H321" s="242">
        <v>112340</v>
      </c>
      <c r="I321" s="243">
        <v>185320</v>
      </c>
      <c r="J321" s="179" t="s">
        <v>182</v>
      </c>
      <c r="K321" s="244">
        <v>1080</v>
      </c>
      <c r="L321" s="245">
        <v>1810</v>
      </c>
      <c r="M321" s="246" t="s">
        <v>795</v>
      </c>
      <c r="N321" s="244">
        <v>1010</v>
      </c>
      <c r="O321" s="245">
        <v>1740</v>
      </c>
      <c r="P321" s="246" t="s">
        <v>795</v>
      </c>
      <c r="R321" s="182"/>
      <c r="S321" s="176"/>
      <c r="T321" s="177"/>
      <c r="V321" s="182"/>
      <c r="W321" s="185"/>
      <c r="X321" s="176"/>
      <c r="Y321" s="185"/>
      <c r="Z321" s="176"/>
      <c r="AA321" s="176"/>
      <c r="AB321" s="177"/>
      <c r="AC321" s="160" t="s">
        <v>182</v>
      </c>
      <c r="AD321" s="1548">
        <v>11950</v>
      </c>
      <c r="AE321" s="255"/>
      <c r="AF321" s="176"/>
      <c r="AG321" s="176">
        <v>0</v>
      </c>
      <c r="AH321" s="177"/>
      <c r="AJ321" s="187">
        <v>5000</v>
      </c>
      <c r="AK321" s="185" t="s">
        <v>321</v>
      </c>
      <c r="AL321" s="176"/>
      <c r="AM321" s="176"/>
      <c r="AN321" s="177"/>
      <c r="AP321" s="1551"/>
      <c r="AQ321" s="1554"/>
      <c r="AR321" s="1551"/>
      <c r="AS321" s="1554"/>
      <c r="AT321" s="1544"/>
      <c r="AU321" s="172" t="s">
        <v>700</v>
      </c>
      <c r="AV321" s="249">
        <v>3000</v>
      </c>
      <c r="AW321" s="250">
        <v>3400</v>
      </c>
      <c r="AX321" s="267">
        <v>2100</v>
      </c>
      <c r="AY321" s="252">
        <v>2100</v>
      </c>
      <c r="BA321" s="277"/>
      <c r="BC321" s="359"/>
      <c r="BE321" s="187"/>
      <c r="BF321" s="176"/>
      <c r="BG321" s="176"/>
      <c r="BH321" s="177"/>
      <c r="BJ321" s="253"/>
      <c r="BL321" s="193">
        <v>0.02</v>
      </c>
      <c r="BM321" s="194">
        <v>0.03</v>
      </c>
      <c r="BN321" s="194">
        <v>0.05</v>
      </c>
      <c r="BO321" s="195">
        <v>0.06</v>
      </c>
      <c r="BQ321" s="187"/>
      <c r="BR321" s="185"/>
      <c r="BS321" s="185"/>
      <c r="BT321" s="254"/>
      <c r="BV321" s="187"/>
      <c r="BW321" s="185"/>
      <c r="BX321" s="185"/>
      <c r="BY321" s="185"/>
      <c r="BZ321" s="254"/>
      <c r="CB321" s="187"/>
      <c r="CC321" s="185"/>
      <c r="CD321" s="185"/>
      <c r="CE321" s="185"/>
      <c r="CF321" s="254"/>
      <c r="CH321" s="253">
        <v>0.92</v>
      </c>
    </row>
    <row r="322" spans="1:86">
      <c r="A322" s="1563"/>
      <c r="B322" s="168"/>
      <c r="C322" s="241"/>
      <c r="D322" s="177" t="s">
        <v>322</v>
      </c>
      <c r="F322" s="256">
        <v>192370</v>
      </c>
      <c r="G322" s="257"/>
      <c r="H322" s="256">
        <v>185320</v>
      </c>
      <c r="I322" s="257"/>
      <c r="J322" s="179" t="s">
        <v>182</v>
      </c>
      <c r="K322" s="258">
        <v>1810</v>
      </c>
      <c r="L322" s="259"/>
      <c r="M322" s="260" t="s">
        <v>795</v>
      </c>
      <c r="N322" s="258">
        <v>1740</v>
      </c>
      <c r="O322" s="259"/>
      <c r="P322" s="260" t="s">
        <v>795</v>
      </c>
      <c r="R322" s="182"/>
      <c r="S322" s="176"/>
      <c r="T322" s="177"/>
      <c r="V322" s="278"/>
      <c r="W322" s="279" t="s">
        <v>707</v>
      </c>
      <c r="X322" s="176"/>
      <c r="Y322" s="279" t="s">
        <v>707</v>
      </c>
      <c r="Z322" s="279"/>
      <c r="AA322" s="176"/>
      <c r="AB322" s="177"/>
      <c r="AD322" s="1549"/>
      <c r="AE322" s="261"/>
      <c r="AF322" s="271"/>
      <c r="AG322" s="271"/>
      <c r="AH322" s="184"/>
      <c r="AJ322" s="187"/>
      <c r="AK322" s="185"/>
      <c r="AL322" s="176"/>
      <c r="AM322" s="176"/>
      <c r="AN322" s="177"/>
      <c r="AP322" s="1552"/>
      <c r="AQ322" s="1555"/>
      <c r="AR322" s="1552"/>
      <c r="AS322" s="1555"/>
      <c r="AT322" s="1544"/>
      <c r="AU322" s="262" t="s">
        <v>701</v>
      </c>
      <c r="AV322" s="263">
        <v>2700</v>
      </c>
      <c r="AW322" s="264">
        <v>3000</v>
      </c>
      <c r="AX322" s="265">
        <v>1900</v>
      </c>
      <c r="AY322" s="266">
        <v>1900</v>
      </c>
      <c r="BA322" s="235" t="s">
        <v>669</v>
      </c>
      <c r="BC322" s="359"/>
      <c r="BE322" s="187"/>
      <c r="BF322" s="176"/>
      <c r="BG322" s="176"/>
      <c r="BH322" s="177"/>
      <c r="BJ322" s="253"/>
      <c r="BL322" s="193"/>
      <c r="BM322" s="194"/>
      <c r="BN322" s="194"/>
      <c r="BO322" s="195"/>
      <c r="BQ322" s="187"/>
      <c r="BR322" s="185"/>
      <c r="BS322" s="185"/>
      <c r="BT322" s="254"/>
      <c r="BV322" s="187"/>
      <c r="BW322" s="185"/>
      <c r="BX322" s="185"/>
      <c r="BY322" s="185"/>
      <c r="BZ322" s="254"/>
      <c r="CB322" s="187"/>
      <c r="CC322" s="185"/>
      <c r="CD322" s="185"/>
      <c r="CE322" s="185"/>
      <c r="CF322" s="254"/>
      <c r="CH322" s="253"/>
    </row>
    <row r="323" spans="1:86" ht="63">
      <c r="A323" s="1563"/>
      <c r="B323" s="215" t="s">
        <v>330</v>
      </c>
      <c r="C323" s="216" t="s">
        <v>313</v>
      </c>
      <c r="D323" s="217" t="s">
        <v>314</v>
      </c>
      <c r="F323" s="218">
        <v>48360</v>
      </c>
      <c r="G323" s="219">
        <v>55650</v>
      </c>
      <c r="H323" s="218">
        <v>42190</v>
      </c>
      <c r="I323" s="219">
        <v>49480</v>
      </c>
      <c r="J323" s="179" t="s">
        <v>182</v>
      </c>
      <c r="K323" s="220">
        <v>460</v>
      </c>
      <c r="L323" s="221">
        <v>530</v>
      </c>
      <c r="M323" s="222" t="s">
        <v>795</v>
      </c>
      <c r="N323" s="220">
        <v>400</v>
      </c>
      <c r="O323" s="221">
        <v>470</v>
      </c>
      <c r="P323" s="222" t="s">
        <v>795</v>
      </c>
      <c r="Q323" s="160" t="s">
        <v>182</v>
      </c>
      <c r="R323" s="223">
        <v>7290</v>
      </c>
      <c r="S323" s="224">
        <v>70</v>
      </c>
      <c r="T323" s="225" t="s">
        <v>184</v>
      </c>
      <c r="V323" s="182"/>
      <c r="W323" s="185">
        <v>371000</v>
      </c>
      <c r="X323" s="176"/>
      <c r="Y323" s="185">
        <v>3710</v>
      </c>
      <c r="Z323" s="176" t="s">
        <v>184</v>
      </c>
      <c r="AA323" s="176"/>
      <c r="AB323" s="177"/>
      <c r="AC323" s="160" t="s">
        <v>182</v>
      </c>
      <c r="AD323" s="1546">
        <v>12830</v>
      </c>
      <c r="AE323" s="227"/>
      <c r="AF323" s="176" t="s">
        <v>182</v>
      </c>
      <c r="AG323" s="176">
        <v>50</v>
      </c>
      <c r="AH323" s="177" t="s">
        <v>184</v>
      </c>
      <c r="AJ323" s="187" t="s">
        <v>207</v>
      </c>
      <c r="AK323" s="185"/>
      <c r="AL323" s="176" t="s">
        <v>182</v>
      </c>
      <c r="AM323" s="176">
        <v>40</v>
      </c>
      <c r="AN323" s="177" t="s">
        <v>316</v>
      </c>
      <c r="AO323" s="160" t="s">
        <v>182</v>
      </c>
      <c r="AP323" s="1550">
        <v>3500</v>
      </c>
      <c r="AQ323" s="1553">
        <v>3900</v>
      </c>
      <c r="AR323" s="1550">
        <v>2500</v>
      </c>
      <c r="AS323" s="1553">
        <v>2500</v>
      </c>
      <c r="AT323" s="1544" t="s">
        <v>664</v>
      </c>
      <c r="AU323" s="230" t="s">
        <v>697</v>
      </c>
      <c r="AV323" s="231">
        <v>7100</v>
      </c>
      <c r="AW323" s="232">
        <v>7900</v>
      </c>
      <c r="AX323" s="267">
        <v>4900</v>
      </c>
      <c r="AY323" s="252">
        <v>4900</v>
      </c>
      <c r="BA323" s="235">
        <v>6130</v>
      </c>
      <c r="BB323" s="160" t="s">
        <v>182</v>
      </c>
      <c r="BC323" s="1556">
        <v>4700</v>
      </c>
      <c r="BD323" s="160" t="s">
        <v>182</v>
      </c>
      <c r="BE323" s="228">
        <v>2690</v>
      </c>
      <c r="BF323" s="226" t="s">
        <v>182</v>
      </c>
      <c r="BG323" s="226">
        <v>20</v>
      </c>
      <c r="BH323" s="217" t="s">
        <v>184</v>
      </c>
      <c r="BJ323" s="253"/>
      <c r="BK323" s="160" t="s">
        <v>188</v>
      </c>
      <c r="BL323" s="237" t="s">
        <v>317</v>
      </c>
      <c r="BM323" s="238" t="s">
        <v>317</v>
      </c>
      <c r="BN323" s="238" t="s">
        <v>317</v>
      </c>
      <c r="BO323" s="239" t="s">
        <v>317</v>
      </c>
      <c r="BP323" s="160" t="s">
        <v>188</v>
      </c>
      <c r="BQ323" s="228"/>
      <c r="BR323" s="229"/>
      <c r="BS323" s="229"/>
      <c r="BT323" s="240"/>
      <c r="BU323" s="160" t="s">
        <v>188</v>
      </c>
      <c r="BV323" s="228"/>
      <c r="BW323" s="229"/>
      <c r="BX323" s="229"/>
      <c r="BY323" s="229"/>
      <c r="BZ323" s="240"/>
      <c r="CA323" s="160" t="s">
        <v>188</v>
      </c>
      <c r="CB323" s="228"/>
      <c r="CC323" s="229"/>
      <c r="CD323" s="229"/>
      <c r="CE323" s="229"/>
      <c r="CF323" s="240"/>
      <c r="CH323" s="236" t="s">
        <v>324</v>
      </c>
    </row>
    <row r="324" spans="1:86">
      <c r="A324" s="1563"/>
      <c r="B324" s="168"/>
      <c r="C324" s="241"/>
      <c r="D324" s="177" t="s">
        <v>318</v>
      </c>
      <c r="F324" s="242">
        <v>55650</v>
      </c>
      <c r="G324" s="243">
        <v>115000</v>
      </c>
      <c r="H324" s="242">
        <v>49480</v>
      </c>
      <c r="I324" s="243">
        <v>108830</v>
      </c>
      <c r="J324" s="179" t="s">
        <v>182</v>
      </c>
      <c r="K324" s="244">
        <v>530</v>
      </c>
      <c r="L324" s="245">
        <v>1030</v>
      </c>
      <c r="M324" s="246" t="s">
        <v>795</v>
      </c>
      <c r="N324" s="244">
        <v>470</v>
      </c>
      <c r="O324" s="245">
        <v>970</v>
      </c>
      <c r="P324" s="246" t="s">
        <v>795</v>
      </c>
      <c r="Q324" s="160" t="s">
        <v>182</v>
      </c>
      <c r="R324" s="187">
        <v>7290</v>
      </c>
      <c r="S324" s="185">
        <v>70</v>
      </c>
      <c r="T324" s="247" t="s">
        <v>184</v>
      </c>
      <c r="V324" s="182"/>
      <c r="W324" s="185"/>
      <c r="X324" s="176"/>
      <c r="Y324" s="185"/>
      <c r="Z324" s="176"/>
      <c r="AA324" s="176"/>
      <c r="AB324" s="177"/>
      <c r="AD324" s="1547"/>
      <c r="AE324" s="248">
        <v>11100</v>
      </c>
      <c r="AF324" s="176"/>
      <c r="AG324" s="176"/>
      <c r="AH324" s="177"/>
      <c r="AJ324" s="187"/>
      <c r="AK324" s="185"/>
      <c r="AL324" s="176"/>
      <c r="AM324" s="176"/>
      <c r="AN324" s="177"/>
      <c r="AP324" s="1551"/>
      <c r="AQ324" s="1554"/>
      <c r="AR324" s="1551"/>
      <c r="AS324" s="1554"/>
      <c r="AT324" s="1544"/>
      <c r="AU324" s="172" t="s">
        <v>699</v>
      </c>
      <c r="AV324" s="249">
        <v>3900</v>
      </c>
      <c r="AW324" s="250">
        <v>4300</v>
      </c>
      <c r="AX324" s="267">
        <v>2700</v>
      </c>
      <c r="AY324" s="252">
        <v>2700</v>
      </c>
      <c r="BA324" s="277"/>
      <c r="BC324" s="1557"/>
      <c r="BE324" s="187"/>
      <c r="BF324" s="176"/>
      <c r="BG324" s="176"/>
      <c r="BH324" s="177"/>
      <c r="BJ324" s="253"/>
      <c r="BL324" s="193"/>
      <c r="BM324" s="194"/>
      <c r="BN324" s="194"/>
      <c r="BO324" s="195"/>
      <c r="BQ324" s="187">
        <v>1590</v>
      </c>
      <c r="BR324" s="185" t="s">
        <v>199</v>
      </c>
      <c r="BS324" s="185">
        <v>10</v>
      </c>
      <c r="BT324" s="254" t="s">
        <v>184</v>
      </c>
      <c r="BV324" s="187">
        <v>5470</v>
      </c>
      <c r="BW324" s="185" t="s">
        <v>189</v>
      </c>
      <c r="BX324" s="185">
        <v>50</v>
      </c>
      <c r="BY324" s="185" t="s">
        <v>184</v>
      </c>
      <c r="BZ324" s="254" t="s">
        <v>190</v>
      </c>
      <c r="CB324" s="187">
        <v>3450</v>
      </c>
      <c r="CC324" s="185" t="s">
        <v>189</v>
      </c>
      <c r="CD324" s="185">
        <v>30</v>
      </c>
      <c r="CE324" s="185" t="s">
        <v>184</v>
      </c>
      <c r="CF324" s="254" t="s">
        <v>190</v>
      </c>
      <c r="CH324" s="253"/>
    </row>
    <row r="325" spans="1:86">
      <c r="A325" s="1563"/>
      <c r="B325" s="168"/>
      <c r="C325" s="241" t="s">
        <v>319</v>
      </c>
      <c r="D325" s="177" t="s">
        <v>320</v>
      </c>
      <c r="F325" s="242">
        <v>115000</v>
      </c>
      <c r="G325" s="243">
        <v>187980</v>
      </c>
      <c r="H325" s="242">
        <v>108830</v>
      </c>
      <c r="I325" s="243">
        <v>181810</v>
      </c>
      <c r="J325" s="179" t="s">
        <v>182</v>
      </c>
      <c r="K325" s="244">
        <v>1030</v>
      </c>
      <c r="L325" s="245">
        <v>1760</v>
      </c>
      <c r="M325" s="246" t="s">
        <v>795</v>
      </c>
      <c r="N325" s="244">
        <v>970</v>
      </c>
      <c r="O325" s="245">
        <v>1700</v>
      </c>
      <c r="P325" s="246" t="s">
        <v>795</v>
      </c>
      <c r="R325" s="182"/>
      <c r="S325" s="176"/>
      <c r="T325" s="177"/>
      <c r="V325" s="278"/>
      <c r="W325" s="279" t="s">
        <v>708</v>
      </c>
      <c r="X325" s="176"/>
      <c r="Y325" s="279" t="s">
        <v>708</v>
      </c>
      <c r="Z325" s="279"/>
      <c r="AA325" s="176"/>
      <c r="AB325" s="177"/>
      <c r="AC325" s="160" t="s">
        <v>182</v>
      </c>
      <c r="AD325" s="1548">
        <v>11100</v>
      </c>
      <c r="AE325" s="255"/>
      <c r="AF325" s="176"/>
      <c r="AG325" s="176">
        <v>0</v>
      </c>
      <c r="AH325" s="177"/>
      <c r="AJ325" s="187">
        <v>4290</v>
      </c>
      <c r="AK325" s="185" t="s">
        <v>321</v>
      </c>
      <c r="AL325" s="176"/>
      <c r="AM325" s="176"/>
      <c r="AN325" s="177"/>
      <c r="AP325" s="1551"/>
      <c r="AQ325" s="1554"/>
      <c r="AR325" s="1551"/>
      <c r="AS325" s="1554"/>
      <c r="AT325" s="1544"/>
      <c r="AU325" s="172" t="s">
        <v>700</v>
      </c>
      <c r="AV325" s="249">
        <v>3400</v>
      </c>
      <c r="AW325" s="250">
        <v>3800</v>
      </c>
      <c r="AX325" s="267">
        <v>2300</v>
      </c>
      <c r="AY325" s="252">
        <v>2300</v>
      </c>
      <c r="BA325" s="235" t="s">
        <v>670</v>
      </c>
      <c r="BC325" s="359"/>
      <c r="BE325" s="187"/>
      <c r="BF325" s="176"/>
      <c r="BG325" s="176"/>
      <c r="BH325" s="177"/>
      <c r="BJ325" s="253"/>
      <c r="BL325" s="193">
        <v>0.02</v>
      </c>
      <c r="BM325" s="194">
        <v>0.03</v>
      </c>
      <c r="BN325" s="194">
        <v>0.05</v>
      </c>
      <c r="BO325" s="195">
        <v>0.06</v>
      </c>
      <c r="BQ325" s="187"/>
      <c r="BR325" s="185"/>
      <c r="BS325" s="185"/>
      <c r="BT325" s="254"/>
      <c r="BV325" s="187"/>
      <c r="BW325" s="185"/>
      <c r="BX325" s="185"/>
      <c r="BY325" s="185"/>
      <c r="BZ325" s="254"/>
      <c r="CB325" s="187"/>
      <c r="CC325" s="185"/>
      <c r="CD325" s="185"/>
      <c r="CE325" s="185"/>
      <c r="CF325" s="254"/>
      <c r="CH325" s="253">
        <v>0.89</v>
      </c>
    </row>
    <row r="326" spans="1:86">
      <c r="A326" s="1563"/>
      <c r="B326" s="269"/>
      <c r="C326" s="270"/>
      <c r="D326" s="184" t="s">
        <v>322</v>
      </c>
      <c r="F326" s="256">
        <v>187980</v>
      </c>
      <c r="G326" s="257"/>
      <c r="H326" s="256">
        <v>181810</v>
      </c>
      <c r="I326" s="257"/>
      <c r="J326" s="179" t="s">
        <v>182</v>
      </c>
      <c r="K326" s="258">
        <v>1760</v>
      </c>
      <c r="L326" s="259"/>
      <c r="M326" s="260" t="s">
        <v>795</v>
      </c>
      <c r="N326" s="258">
        <v>1700</v>
      </c>
      <c r="O326" s="259"/>
      <c r="P326" s="260" t="s">
        <v>795</v>
      </c>
      <c r="R326" s="183"/>
      <c r="S326" s="271"/>
      <c r="T326" s="184"/>
      <c r="V326" s="182"/>
      <c r="W326" s="185">
        <v>406000</v>
      </c>
      <c r="X326" s="176"/>
      <c r="Y326" s="185">
        <v>4060</v>
      </c>
      <c r="Z326" s="176" t="s">
        <v>184</v>
      </c>
      <c r="AA326" s="176"/>
      <c r="AB326" s="177"/>
      <c r="AD326" s="1549"/>
      <c r="AE326" s="261"/>
      <c r="AF326" s="176"/>
      <c r="AG326" s="176"/>
      <c r="AH326" s="177"/>
      <c r="AJ326" s="187"/>
      <c r="AK326" s="185"/>
      <c r="AL326" s="176"/>
      <c r="AM326" s="176"/>
      <c r="AN326" s="177"/>
      <c r="AP326" s="1552"/>
      <c r="AQ326" s="1555"/>
      <c r="AR326" s="1552"/>
      <c r="AS326" s="1555"/>
      <c r="AT326" s="1544"/>
      <c r="AU326" s="262" t="s">
        <v>701</v>
      </c>
      <c r="AV326" s="263">
        <v>3000</v>
      </c>
      <c r="AW326" s="264">
        <v>3400</v>
      </c>
      <c r="AX326" s="265">
        <v>2100</v>
      </c>
      <c r="AY326" s="266">
        <v>2100</v>
      </c>
      <c r="BA326" s="235">
        <v>5220</v>
      </c>
      <c r="BC326" s="359"/>
      <c r="BE326" s="186"/>
      <c r="BF326" s="271"/>
      <c r="BG326" s="271"/>
      <c r="BH326" s="184"/>
      <c r="BJ326" s="253"/>
      <c r="BL326" s="272"/>
      <c r="BM326" s="273"/>
      <c r="BN326" s="273"/>
      <c r="BO326" s="274"/>
      <c r="BQ326" s="186"/>
      <c r="BR326" s="196"/>
      <c r="BS326" s="196"/>
      <c r="BT326" s="197"/>
      <c r="BV326" s="186"/>
      <c r="BW326" s="196"/>
      <c r="BX326" s="196"/>
      <c r="BY326" s="196"/>
      <c r="BZ326" s="197"/>
      <c r="CB326" s="186"/>
      <c r="CC326" s="196"/>
      <c r="CD326" s="196"/>
      <c r="CE326" s="196"/>
      <c r="CF326" s="197"/>
      <c r="CH326" s="198"/>
    </row>
    <row r="327" spans="1:86" ht="63">
      <c r="A327" s="1563"/>
      <c r="B327" s="168" t="s">
        <v>331</v>
      </c>
      <c r="C327" s="241" t="s">
        <v>313</v>
      </c>
      <c r="D327" s="177" t="s">
        <v>314</v>
      </c>
      <c r="F327" s="218">
        <v>44890</v>
      </c>
      <c r="G327" s="219">
        <v>52180</v>
      </c>
      <c r="H327" s="218">
        <v>39410</v>
      </c>
      <c r="I327" s="219">
        <v>46700</v>
      </c>
      <c r="J327" s="179" t="s">
        <v>182</v>
      </c>
      <c r="K327" s="220">
        <v>430</v>
      </c>
      <c r="L327" s="221">
        <v>500</v>
      </c>
      <c r="M327" s="222" t="s">
        <v>795</v>
      </c>
      <c r="N327" s="220">
        <v>370</v>
      </c>
      <c r="O327" s="221">
        <v>440</v>
      </c>
      <c r="P327" s="222" t="s">
        <v>795</v>
      </c>
      <c r="Q327" s="160" t="s">
        <v>182</v>
      </c>
      <c r="R327" s="275">
        <v>7290</v>
      </c>
      <c r="S327" s="276">
        <v>70</v>
      </c>
      <c r="T327" s="247" t="s">
        <v>184</v>
      </c>
      <c r="V327" s="182"/>
      <c r="W327" s="185"/>
      <c r="X327" s="176"/>
      <c r="Y327" s="185"/>
      <c r="Z327" s="176"/>
      <c r="AA327" s="176"/>
      <c r="AB327" s="177"/>
      <c r="AC327" s="160" t="s">
        <v>182</v>
      </c>
      <c r="AD327" s="1546">
        <v>12170</v>
      </c>
      <c r="AE327" s="227"/>
      <c r="AF327" s="226" t="s">
        <v>182</v>
      </c>
      <c r="AG327" s="226">
        <v>50</v>
      </c>
      <c r="AH327" s="217" t="s">
        <v>184</v>
      </c>
      <c r="AJ327" s="187" t="s">
        <v>209</v>
      </c>
      <c r="AK327" s="185"/>
      <c r="AL327" s="176" t="s">
        <v>182</v>
      </c>
      <c r="AM327" s="176">
        <v>30</v>
      </c>
      <c r="AN327" s="177" t="s">
        <v>316</v>
      </c>
      <c r="AO327" s="160" t="s">
        <v>182</v>
      </c>
      <c r="AP327" s="1550">
        <v>3100</v>
      </c>
      <c r="AQ327" s="1553">
        <v>3400</v>
      </c>
      <c r="AR327" s="1550">
        <v>2200</v>
      </c>
      <c r="AS327" s="1553">
        <v>2200</v>
      </c>
      <c r="AT327" s="1544" t="s">
        <v>664</v>
      </c>
      <c r="AU327" s="230" t="s">
        <v>697</v>
      </c>
      <c r="AV327" s="231">
        <v>6300</v>
      </c>
      <c r="AW327" s="232">
        <v>7100</v>
      </c>
      <c r="AX327" s="267">
        <v>4400</v>
      </c>
      <c r="AY327" s="252">
        <v>4400</v>
      </c>
      <c r="BA327" s="277"/>
      <c r="BB327" s="160" t="s">
        <v>182</v>
      </c>
      <c r="BC327" s="1556">
        <v>4700</v>
      </c>
      <c r="BD327" s="160" t="s">
        <v>182</v>
      </c>
      <c r="BE327" s="187">
        <v>2390</v>
      </c>
      <c r="BF327" s="176" t="s">
        <v>182</v>
      </c>
      <c r="BG327" s="176">
        <v>20</v>
      </c>
      <c r="BH327" s="177" t="s">
        <v>184</v>
      </c>
      <c r="BJ327" s="253"/>
      <c r="BK327" s="160" t="s">
        <v>188</v>
      </c>
      <c r="BL327" s="193" t="s">
        <v>317</v>
      </c>
      <c r="BM327" s="194" t="s">
        <v>317</v>
      </c>
      <c r="BN327" s="194" t="s">
        <v>317</v>
      </c>
      <c r="BO327" s="195" t="s">
        <v>317</v>
      </c>
      <c r="BP327" s="160" t="s">
        <v>188</v>
      </c>
      <c r="BQ327" s="187"/>
      <c r="BR327" s="185"/>
      <c r="BS327" s="185"/>
      <c r="BT327" s="254"/>
      <c r="BU327" s="160" t="s">
        <v>188</v>
      </c>
      <c r="BV327" s="187"/>
      <c r="BW327" s="185"/>
      <c r="BX327" s="185"/>
      <c r="BY327" s="185"/>
      <c r="BZ327" s="254"/>
      <c r="CA327" s="160" t="s">
        <v>188</v>
      </c>
      <c r="CB327" s="187"/>
      <c r="CC327" s="185"/>
      <c r="CD327" s="185"/>
      <c r="CE327" s="185"/>
      <c r="CF327" s="254"/>
      <c r="CH327" s="253" t="s">
        <v>324</v>
      </c>
    </row>
    <row r="328" spans="1:86">
      <c r="A328" s="1563"/>
      <c r="B328" s="168"/>
      <c r="C328" s="241"/>
      <c r="D328" s="177" t="s">
        <v>318</v>
      </c>
      <c r="F328" s="242">
        <v>52180</v>
      </c>
      <c r="G328" s="243">
        <v>111530</v>
      </c>
      <c r="H328" s="242">
        <v>46700</v>
      </c>
      <c r="I328" s="243">
        <v>106050</v>
      </c>
      <c r="J328" s="179" t="s">
        <v>182</v>
      </c>
      <c r="K328" s="244">
        <v>500</v>
      </c>
      <c r="L328" s="245">
        <v>1000</v>
      </c>
      <c r="M328" s="246" t="s">
        <v>795</v>
      </c>
      <c r="N328" s="244">
        <v>440</v>
      </c>
      <c r="O328" s="245">
        <v>940</v>
      </c>
      <c r="P328" s="246" t="s">
        <v>795</v>
      </c>
      <c r="Q328" s="160" t="s">
        <v>182</v>
      </c>
      <c r="R328" s="187">
        <v>7290</v>
      </c>
      <c r="S328" s="185">
        <v>70</v>
      </c>
      <c r="T328" s="247" t="s">
        <v>184</v>
      </c>
      <c r="V328" s="278"/>
      <c r="W328" s="279" t="s">
        <v>709</v>
      </c>
      <c r="X328" s="176"/>
      <c r="Y328" s="279" t="s">
        <v>709</v>
      </c>
      <c r="Z328" s="279"/>
      <c r="AA328" s="176" t="s">
        <v>332</v>
      </c>
      <c r="AB328" s="177" t="s">
        <v>333</v>
      </c>
      <c r="AD328" s="1547"/>
      <c r="AE328" s="248">
        <v>10440</v>
      </c>
      <c r="AF328" s="176"/>
      <c r="AG328" s="176"/>
      <c r="AH328" s="177"/>
      <c r="AJ328" s="187"/>
      <c r="AK328" s="185"/>
      <c r="AL328" s="176"/>
      <c r="AM328" s="176"/>
      <c r="AN328" s="177"/>
      <c r="AP328" s="1551"/>
      <c r="AQ328" s="1554"/>
      <c r="AR328" s="1551"/>
      <c r="AS328" s="1554"/>
      <c r="AT328" s="1544"/>
      <c r="AU328" s="172" t="s">
        <v>699</v>
      </c>
      <c r="AV328" s="249">
        <v>3500</v>
      </c>
      <c r="AW328" s="250">
        <v>3900</v>
      </c>
      <c r="AX328" s="267">
        <v>2400</v>
      </c>
      <c r="AY328" s="252">
        <v>2400</v>
      </c>
      <c r="BA328" s="235" t="s">
        <v>671</v>
      </c>
      <c r="BC328" s="1557"/>
      <c r="BE328" s="187"/>
      <c r="BF328" s="176"/>
      <c r="BG328" s="176"/>
      <c r="BH328" s="177"/>
      <c r="BJ328" s="253"/>
      <c r="BL328" s="193"/>
      <c r="BM328" s="194"/>
      <c r="BN328" s="194"/>
      <c r="BO328" s="195"/>
      <c r="BQ328" s="187">
        <v>1410</v>
      </c>
      <c r="BR328" s="185" t="s">
        <v>199</v>
      </c>
      <c r="BS328" s="185">
        <v>10</v>
      </c>
      <c r="BT328" s="254" t="s">
        <v>184</v>
      </c>
      <c r="BV328" s="187">
        <v>4860</v>
      </c>
      <c r="BW328" s="185" t="s">
        <v>189</v>
      </c>
      <c r="BX328" s="185">
        <v>40</v>
      </c>
      <c r="BY328" s="185" t="s">
        <v>184</v>
      </c>
      <c r="BZ328" s="254" t="s">
        <v>190</v>
      </c>
      <c r="CB328" s="187">
        <v>3070</v>
      </c>
      <c r="CC328" s="185" t="s">
        <v>189</v>
      </c>
      <c r="CD328" s="185">
        <v>30</v>
      </c>
      <c r="CE328" s="185" t="s">
        <v>184</v>
      </c>
      <c r="CF328" s="254" t="s">
        <v>190</v>
      </c>
      <c r="CH328" s="253"/>
    </row>
    <row r="329" spans="1:86">
      <c r="A329" s="1563"/>
      <c r="B329" s="168"/>
      <c r="C329" s="241" t="s">
        <v>319</v>
      </c>
      <c r="D329" s="177" t="s">
        <v>320</v>
      </c>
      <c r="F329" s="242">
        <v>111530</v>
      </c>
      <c r="G329" s="243">
        <v>184510</v>
      </c>
      <c r="H329" s="242">
        <v>106050</v>
      </c>
      <c r="I329" s="243">
        <v>179030</v>
      </c>
      <c r="J329" s="179" t="s">
        <v>182</v>
      </c>
      <c r="K329" s="244">
        <v>1000</v>
      </c>
      <c r="L329" s="245">
        <v>1730</v>
      </c>
      <c r="M329" s="246" t="s">
        <v>795</v>
      </c>
      <c r="N329" s="244">
        <v>940</v>
      </c>
      <c r="O329" s="245">
        <v>1670</v>
      </c>
      <c r="P329" s="246" t="s">
        <v>795</v>
      </c>
      <c r="R329" s="182"/>
      <c r="S329" s="176"/>
      <c r="T329" s="177"/>
      <c r="V329" s="182"/>
      <c r="W329" s="185">
        <v>441000</v>
      </c>
      <c r="X329" s="176"/>
      <c r="Y329" s="185">
        <v>4410</v>
      </c>
      <c r="Z329" s="176" t="s">
        <v>184</v>
      </c>
      <c r="AA329" s="176"/>
      <c r="AB329" s="177" t="s">
        <v>334</v>
      </c>
      <c r="AC329" s="160" t="s">
        <v>182</v>
      </c>
      <c r="AD329" s="1548">
        <v>10440</v>
      </c>
      <c r="AE329" s="255"/>
      <c r="AF329" s="176"/>
      <c r="AG329" s="176">
        <v>0</v>
      </c>
      <c r="AH329" s="177"/>
      <c r="AJ329" s="187">
        <v>3750</v>
      </c>
      <c r="AK329" s="185" t="s">
        <v>321</v>
      </c>
      <c r="AL329" s="176"/>
      <c r="AM329" s="176"/>
      <c r="AN329" s="177"/>
      <c r="AP329" s="1551"/>
      <c r="AQ329" s="1554"/>
      <c r="AR329" s="1551"/>
      <c r="AS329" s="1554"/>
      <c r="AT329" s="1544"/>
      <c r="AU329" s="172" t="s">
        <v>700</v>
      </c>
      <c r="AV329" s="249">
        <v>3000</v>
      </c>
      <c r="AW329" s="250">
        <v>3400</v>
      </c>
      <c r="AX329" s="267">
        <v>2100</v>
      </c>
      <c r="AY329" s="252">
        <v>2100</v>
      </c>
      <c r="BA329" s="235">
        <v>4660</v>
      </c>
      <c r="BC329" s="358"/>
      <c r="BE329" s="187"/>
      <c r="BF329" s="176"/>
      <c r="BG329" s="176"/>
      <c r="BH329" s="177"/>
      <c r="BJ329" s="253" t="s">
        <v>335</v>
      </c>
      <c r="BL329" s="193">
        <v>0.02</v>
      </c>
      <c r="BM329" s="194">
        <v>0.03</v>
      </c>
      <c r="BN329" s="194">
        <v>0.05</v>
      </c>
      <c r="BO329" s="195">
        <v>0.06</v>
      </c>
      <c r="BQ329" s="187"/>
      <c r="BR329" s="185"/>
      <c r="BS329" s="185"/>
      <c r="BT329" s="254"/>
      <c r="BV329" s="187"/>
      <c r="BW329" s="185"/>
      <c r="BX329" s="185"/>
      <c r="BY329" s="185"/>
      <c r="BZ329" s="254"/>
      <c r="CB329" s="187"/>
      <c r="CC329" s="185"/>
      <c r="CD329" s="185"/>
      <c r="CE329" s="185"/>
      <c r="CF329" s="254"/>
      <c r="CH329" s="253">
        <v>0.91</v>
      </c>
    </row>
    <row r="330" spans="1:86">
      <c r="A330" s="1563"/>
      <c r="B330" s="168"/>
      <c r="C330" s="241"/>
      <c r="D330" s="177" t="s">
        <v>322</v>
      </c>
      <c r="F330" s="256">
        <v>184510</v>
      </c>
      <c r="G330" s="257"/>
      <c r="H330" s="256">
        <v>179030</v>
      </c>
      <c r="I330" s="257"/>
      <c r="J330" s="179" t="s">
        <v>182</v>
      </c>
      <c r="K330" s="258">
        <v>1730</v>
      </c>
      <c r="L330" s="259"/>
      <c r="M330" s="260" t="s">
        <v>795</v>
      </c>
      <c r="N330" s="258">
        <v>1670</v>
      </c>
      <c r="O330" s="259"/>
      <c r="P330" s="260" t="s">
        <v>795</v>
      </c>
      <c r="R330" s="182"/>
      <c r="S330" s="176"/>
      <c r="T330" s="177"/>
      <c r="V330" s="182"/>
      <c r="W330" s="185"/>
      <c r="X330" s="176"/>
      <c r="Y330" s="185"/>
      <c r="Z330" s="176"/>
      <c r="AA330" s="176"/>
      <c r="AB330" s="177"/>
      <c r="AD330" s="1549"/>
      <c r="AE330" s="261"/>
      <c r="AF330" s="271"/>
      <c r="AG330" s="271"/>
      <c r="AH330" s="184"/>
      <c r="AJ330" s="187"/>
      <c r="AK330" s="185"/>
      <c r="AL330" s="176"/>
      <c r="AM330" s="176"/>
      <c r="AN330" s="177"/>
      <c r="AP330" s="1552"/>
      <c r="AQ330" s="1555"/>
      <c r="AR330" s="1552"/>
      <c r="AS330" s="1555"/>
      <c r="AT330" s="1544"/>
      <c r="AU330" s="262" t="s">
        <v>701</v>
      </c>
      <c r="AV330" s="263">
        <v>2700</v>
      </c>
      <c r="AW330" s="264">
        <v>3000</v>
      </c>
      <c r="AX330" s="265">
        <v>1900</v>
      </c>
      <c r="AY330" s="266">
        <v>1900</v>
      </c>
      <c r="BA330" s="277"/>
      <c r="BC330" s="359"/>
      <c r="BE330" s="187"/>
      <c r="BF330" s="176"/>
      <c r="BG330" s="176"/>
      <c r="BH330" s="177"/>
      <c r="BJ330" s="253"/>
      <c r="BL330" s="193"/>
      <c r="BM330" s="194"/>
      <c r="BN330" s="194"/>
      <c r="BO330" s="195"/>
      <c r="BQ330" s="187"/>
      <c r="BR330" s="185"/>
      <c r="BS330" s="185"/>
      <c r="BT330" s="254"/>
      <c r="BV330" s="187"/>
      <c r="BW330" s="185"/>
      <c r="BX330" s="185"/>
      <c r="BY330" s="185"/>
      <c r="BZ330" s="254"/>
      <c r="CB330" s="187"/>
      <c r="CC330" s="185"/>
      <c r="CD330" s="185"/>
      <c r="CE330" s="185"/>
      <c r="CF330" s="254"/>
      <c r="CH330" s="253"/>
    </row>
    <row r="331" spans="1:86" ht="63">
      <c r="A331" s="1563"/>
      <c r="B331" s="215" t="s">
        <v>336</v>
      </c>
      <c r="C331" s="216" t="s">
        <v>313</v>
      </c>
      <c r="D331" s="217" t="s">
        <v>314</v>
      </c>
      <c r="F331" s="218">
        <v>38920</v>
      </c>
      <c r="G331" s="219">
        <v>46210</v>
      </c>
      <c r="H331" s="218">
        <v>33990</v>
      </c>
      <c r="I331" s="219">
        <v>41280</v>
      </c>
      <c r="J331" s="179" t="s">
        <v>182</v>
      </c>
      <c r="K331" s="220">
        <v>370</v>
      </c>
      <c r="L331" s="221">
        <v>440</v>
      </c>
      <c r="M331" s="222" t="s">
        <v>795</v>
      </c>
      <c r="N331" s="220">
        <v>320</v>
      </c>
      <c r="O331" s="221">
        <v>390</v>
      </c>
      <c r="P331" s="222" t="s">
        <v>795</v>
      </c>
      <c r="Q331" s="160" t="s">
        <v>182</v>
      </c>
      <c r="R331" s="223">
        <v>7290</v>
      </c>
      <c r="S331" s="224">
        <v>70</v>
      </c>
      <c r="T331" s="225" t="s">
        <v>184</v>
      </c>
      <c r="V331" s="278"/>
      <c r="W331" s="279" t="s">
        <v>710</v>
      </c>
      <c r="X331" s="176"/>
      <c r="Y331" s="279" t="s">
        <v>710</v>
      </c>
      <c r="Z331" s="279"/>
      <c r="AA331" s="176"/>
      <c r="AB331" s="177"/>
      <c r="AD331" s="281"/>
      <c r="AE331" s="281"/>
      <c r="AF331" s="176"/>
      <c r="AG331" s="176"/>
      <c r="AH331" s="177"/>
      <c r="AJ331" s="187" t="s">
        <v>211</v>
      </c>
      <c r="AK331" s="185"/>
      <c r="AL331" s="176" t="s">
        <v>182</v>
      </c>
      <c r="AM331" s="176">
        <v>30</v>
      </c>
      <c r="AN331" s="177" t="s">
        <v>316</v>
      </c>
      <c r="AO331" s="160" t="s">
        <v>182</v>
      </c>
      <c r="AP331" s="1550">
        <v>2800</v>
      </c>
      <c r="AQ331" s="1553">
        <v>3100</v>
      </c>
      <c r="AR331" s="1550">
        <v>2000</v>
      </c>
      <c r="AS331" s="1553">
        <v>2000</v>
      </c>
      <c r="AT331" s="1544" t="s">
        <v>664</v>
      </c>
      <c r="AU331" s="230" t="s">
        <v>697</v>
      </c>
      <c r="AV331" s="231">
        <v>5500</v>
      </c>
      <c r="AW331" s="232">
        <v>6200</v>
      </c>
      <c r="AX331" s="267">
        <v>3900</v>
      </c>
      <c r="AY331" s="252">
        <v>3900</v>
      </c>
      <c r="BA331" s="235" t="s">
        <v>672</v>
      </c>
      <c r="BB331" s="160" t="s">
        <v>182</v>
      </c>
      <c r="BC331" s="1556">
        <v>4700</v>
      </c>
      <c r="BD331" s="160" t="s">
        <v>182</v>
      </c>
      <c r="BE331" s="228">
        <v>2150</v>
      </c>
      <c r="BF331" s="226" t="s">
        <v>182</v>
      </c>
      <c r="BG331" s="226">
        <v>20</v>
      </c>
      <c r="BH331" s="217" t="s">
        <v>184</v>
      </c>
      <c r="BJ331" s="253">
        <v>0.1</v>
      </c>
      <c r="BK331" s="160" t="s">
        <v>188</v>
      </c>
      <c r="BL331" s="237" t="s">
        <v>317</v>
      </c>
      <c r="BM331" s="238" t="s">
        <v>317</v>
      </c>
      <c r="BN331" s="238" t="s">
        <v>317</v>
      </c>
      <c r="BO331" s="239" t="s">
        <v>317</v>
      </c>
      <c r="BP331" s="160" t="s">
        <v>188</v>
      </c>
      <c r="BQ331" s="228"/>
      <c r="BR331" s="229"/>
      <c r="BS331" s="229"/>
      <c r="BT331" s="240"/>
      <c r="BU331" s="160" t="s">
        <v>188</v>
      </c>
      <c r="BV331" s="228"/>
      <c r="BW331" s="229"/>
      <c r="BX331" s="229"/>
      <c r="BY331" s="229"/>
      <c r="BZ331" s="240"/>
      <c r="CA331" s="160" t="s">
        <v>188</v>
      </c>
      <c r="CB331" s="228"/>
      <c r="CC331" s="229"/>
      <c r="CD331" s="229"/>
      <c r="CE331" s="229"/>
      <c r="CF331" s="240"/>
      <c r="CH331" s="236" t="s">
        <v>324</v>
      </c>
    </row>
    <row r="332" spans="1:86">
      <c r="A332" s="1563"/>
      <c r="B332" s="168"/>
      <c r="C332" s="241"/>
      <c r="D332" s="177" t="s">
        <v>318</v>
      </c>
      <c r="F332" s="242">
        <v>46210</v>
      </c>
      <c r="G332" s="243">
        <v>105560</v>
      </c>
      <c r="H332" s="242">
        <v>41280</v>
      </c>
      <c r="I332" s="243">
        <v>100630</v>
      </c>
      <c r="J332" s="179" t="s">
        <v>182</v>
      </c>
      <c r="K332" s="244">
        <v>440</v>
      </c>
      <c r="L332" s="245">
        <v>940</v>
      </c>
      <c r="M332" s="246" t="s">
        <v>795</v>
      </c>
      <c r="N332" s="244">
        <v>390</v>
      </c>
      <c r="O332" s="245">
        <v>890</v>
      </c>
      <c r="P332" s="246" t="s">
        <v>795</v>
      </c>
      <c r="Q332" s="160" t="s">
        <v>182</v>
      </c>
      <c r="R332" s="187">
        <v>7290</v>
      </c>
      <c r="S332" s="185">
        <v>70</v>
      </c>
      <c r="T332" s="247" t="s">
        <v>184</v>
      </c>
      <c r="V332" s="182"/>
      <c r="W332" s="185">
        <v>476000</v>
      </c>
      <c r="X332" s="176"/>
      <c r="Y332" s="185">
        <v>4760</v>
      </c>
      <c r="Z332" s="176" t="s">
        <v>184</v>
      </c>
      <c r="AA332" s="176"/>
      <c r="AB332" s="177"/>
      <c r="AD332" s="281"/>
      <c r="AE332" s="281"/>
      <c r="AF332" s="176"/>
      <c r="AG332" s="176"/>
      <c r="AH332" s="177"/>
      <c r="AJ332" s="187"/>
      <c r="AK332" s="185"/>
      <c r="AL332" s="176"/>
      <c r="AM332" s="176"/>
      <c r="AN332" s="177"/>
      <c r="AP332" s="1551"/>
      <c r="AQ332" s="1554"/>
      <c r="AR332" s="1551"/>
      <c r="AS332" s="1554"/>
      <c r="AT332" s="1544"/>
      <c r="AU332" s="172" t="s">
        <v>699</v>
      </c>
      <c r="AV332" s="249">
        <v>3000</v>
      </c>
      <c r="AW332" s="250">
        <v>3400</v>
      </c>
      <c r="AX332" s="267">
        <v>2100</v>
      </c>
      <c r="AY332" s="252">
        <v>2100</v>
      </c>
      <c r="BA332" s="235">
        <v>4250</v>
      </c>
      <c r="BC332" s="1557"/>
      <c r="BE332" s="187"/>
      <c r="BF332" s="176"/>
      <c r="BG332" s="176"/>
      <c r="BH332" s="177"/>
      <c r="BJ332" s="253"/>
      <c r="BL332" s="193"/>
      <c r="BM332" s="194"/>
      <c r="BN332" s="194"/>
      <c r="BO332" s="195"/>
      <c r="BQ332" s="187">
        <v>1270</v>
      </c>
      <c r="BR332" s="185" t="s">
        <v>199</v>
      </c>
      <c r="BS332" s="185">
        <v>10</v>
      </c>
      <c r="BT332" s="254" t="s">
        <v>184</v>
      </c>
      <c r="BV332" s="187">
        <v>4370</v>
      </c>
      <c r="BW332" s="185" t="s">
        <v>189</v>
      </c>
      <c r="BX332" s="185">
        <v>40</v>
      </c>
      <c r="BY332" s="185" t="s">
        <v>184</v>
      </c>
      <c r="BZ332" s="254" t="s">
        <v>190</v>
      </c>
      <c r="CB332" s="187">
        <v>2760</v>
      </c>
      <c r="CC332" s="185" t="s">
        <v>189</v>
      </c>
      <c r="CD332" s="185">
        <v>20</v>
      </c>
      <c r="CE332" s="185" t="s">
        <v>184</v>
      </c>
      <c r="CF332" s="254" t="s">
        <v>190</v>
      </c>
      <c r="CH332" s="253"/>
    </row>
    <row r="333" spans="1:86">
      <c r="A333" s="1563"/>
      <c r="B333" s="168"/>
      <c r="C333" s="241" t="s">
        <v>319</v>
      </c>
      <c r="D333" s="177" t="s">
        <v>320</v>
      </c>
      <c r="F333" s="242">
        <v>105560</v>
      </c>
      <c r="G333" s="243">
        <v>178540</v>
      </c>
      <c r="H333" s="242">
        <v>100630</v>
      </c>
      <c r="I333" s="243">
        <v>173610</v>
      </c>
      <c r="J333" s="179" t="s">
        <v>182</v>
      </c>
      <c r="K333" s="244">
        <v>940</v>
      </c>
      <c r="L333" s="245">
        <v>1670</v>
      </c>
      <c r="M333" s="246" t="s">
        <v>795</v>
      </c>
      <c r="N333" s="244">
        <v>890</v>
      </c>
      <c r="O333" s="245">
        <v>1620</v>
      </c>
      <c r="P333" s="246" t="s">
        <v>795</v>
      </c>
      <c r="R333" s="182"/>
      <c r="S333" s="176"/>
      <c r="T333" s="177"/>
      <c r="V333" s="182"/>
      <c r="W333" s="185"/>
      <c r="X333" s="176"/>
      <c r="Y333" s="185"/>
      <c r="Z333" s="176"/>
      <c r="AA333" s="176"/>
      <c r="AB333" s="177"/>
      <c r="AD333" s="281"/>
      <c r="AE333" s="281"/>
      <c r="AF333" s="176"/>
      <c r="AG333" s="176"/>
      <c r="AH333" s="177"/>
      <c r="AJ333" s="187">
        <v>3330</v>
      </c>
      <c r="AK333" s="185" t="s">
        <v>321</v>
      </c>
      <c r="AL333" s="176"/>
      <c r="AM333" s="176"/>
      <c r="AN333" s="177"/>
      <c r="AP333" s="1551"/>
      <c r="AQ333" s="1554"/>
      <c r="AR333" s="1551"/>
      <c r="AS333" s="1554"/>
      <c r="AT333" s="1544"/>
      <c r="AU333" s="172" t="s">
        <v>700</v>
      </c>
      <c r="AV333" s="249">
        <v>2600</v>
      </c>
      <c r="AW333" s="250">
        <v>2900</v>
      </c>
      <c r="AX333" s="267">
        <v>1800</v>
      </c>
      <c r="AY333" s="252">
        <v>1800</v>
      </c>
      <c r="BA333" s="277"/>
      <c r="BC333" s="359"/>
      <c r="BE333" s="187"/>
      <c r="BF333" s="176"/>
      <c r="BG333" s="176"/>
      <c r="BH333" s="177"/>
      <c r="BJ333" s="253"/>
      <c r="BL333" s="193">
        <v>0.02</v>
      </c>
      <c r="BM333" s="194">
        <v>0.03</v>
      </c>
      <c r="BN333" s="194">
        <v>0.05</v>
      </c>
      <c r="BO333" s="195">
        <v>0.06</v>
      </c>
      <c r="BQ333" s="187"/>
      <c r="BR333" s="185"/>
      <c r="BS333" s="185"/>
      <c r="BT333" s="254"/>
      <c r="BV333" s="187"/>
      <c r="BW333" s="185"/>
      <c r="BX333" s="185"/>
      <c r="BY333" s="185"/>
      <c r="BZ333" s="254"/>
      <c r="CB333" s="187"/>
      <c r="CC333" s="185"/>
      <c r="CD333" s="185"/>
      <c r="CE333" s="185"/>
      <c r="CF333" s="254"/>
      <c r="CH333" s="253">
        <v>0.96</v>
      </c>
    </row>
    <row r="334" spans="1:86">
      <c r="A334" s="1563"/>
      <c r="B334" s="269"/>
      <c r="C334" s="270"/>
      <c r="D334" s="184" t="s">
        <v>322</v>
      </c>
      <c r="F334" s="256">
        <v>178540</v>
      </c>
      <c r="G334" s="257"/>
      <c r="H334" s="256">
        <v>173610</v>
      </c>
      <c r="I334" s="257"/>
      <c r="J334" s="179" t="s">
        <v>182</v>
      </c>
      <c r="K334" s="258">
        <v>1670</v>
      </c>
      <c r="L334" s="259"/>
      <c r="M334" s="260" t="s">
        <v>795</v>
      </c>
      <c r="N334" s="258">
        <v>1620</v>
      </c>
      <c r="O334" s="259"/>
      <c r="P334" s="260" t="s">
        <v>795</v>
      </c>
      <c r="R334" s="183"/>
      <c r="S334" s="271"/>
      <c r="T334" s="184"/>
      <c r="V334" s="278"/>
      <c r="W334" s="279" t="s">
        <v>711</v>
      </c>
      <c r="X334" s="176"/>
      <c r="Y334" s="279" t="s">
        <v>711</v>
      </c>
      <c r="Z334" s="279"/>
      <c r="AA334" s="176"/>
      <c r="AB334" s="177"/>
      <c r="AD334" s="281"/>
      <c r="AE334" s="281"/>
      <c r="AF334" s="176"/>
      <c r="AG334" s="176"/>
      <c r="AH334" s="177"/>
      <c r="AJ334" s="187"/>
      <c r="AK334" s="185"/>
      <c r="AL334" s="176"/>
      <c r="AM334" s="176"/>
      <c r="AN334" s="177"/>
      <c r="AP334" s="1552"/>
      <c r="AQ334" s="1555"/>
      <c r="AR334" s="1552"/>
      <c r="AS334" s="1555"/>
      <c r="AT334" s="1544"/>
      <c r="AU334" s="262" t="s">
        <v>701</v>
      </c>
      <c r="AV334" s="263">
        <v>2400</v>
      </c>
      <c r="AW334" s="264">
        <v>2600</v>
      </c>
      <c r="AX334" s="265">
        <v>1600</v>
      </c>
      <c r="AY334" s="266">
        <v>1600</v>
      </c>
      <c r="BA334" s="235" t="s">
        <v>673</v>
      </c>
      <c r="BC334" s="359"/>
      <c r="BE334" s="186"/>
      <c r="BF334" s="271"/>
      <c r="BG334" s="271"/>
      <c r="BH334" s="184"/>
      <c r="BJ334" s="253"/>
      <c r="BL334" s="272"/>
      <c r="BM334" s="273"/>
      <c r="BN334" s="273"/>
      <c r="BO334" s="274"/>
      <c r="BQ334" s="186"/>
      <c r="BR334" s="196"/>
      <c r="BS334" s="196"/>
      <c r="BT334" s="197"/>
      <c r="BV334" s="186"/>
      <c r="BW334" s="196"/>
      <c r="BX334" s="196"/>
      <c r="BY334" s="196"/>
      <c r="BZ334" s="197"/>
      <c r="CB334" s="186"/>
      <c r="CC334" s="196"/>
      <c r="CD334" s="196"/>
      <c r="CE334" s="196"/>
      <c r="CF334" s="197"/>
      <c r="CH334" s="198"/>
    </row>
    <row r="335" spans="1:86" ht="63">
      <c r="A335" s="1563"/>
      <c r="B335" s="168" t="s">
        <v>337</v>
      </c>
      <c r="C335" s="241" t="s">
        <v>313</v>
      </c>
      <c r="D335" s="177" t="s">
        <v>314</v>
      </c>
      <c r="F335" s="218">
        <v>36980</v>
      </c>
      <c r="G335" s="219">
        <v>44270</v>
      </c>
      <c r="H335" s="218">
        <v>32500</v>
      </c>
      <c r="I335" s="219">
        <v>39790</v>
      </c>
      <c r="J335" s="179" t="s">
        <v>182</v>
      </c>
      <c r="K335" s="220">
        <v>350</v>
      </c>
      <c r="L335" s="221">
        <v>420</v>
      </c>
      <c r="M335" s="222" t="s">
        <v>795</v>
      </c>
      <c r="N335" s="220">
        <v>300</v>
      </c>
      <c r="O335" s="221">
        <v>370</v>
      </c>
      <c r="P335" s="222" t="s">
        <v>795</v>
      </c>
      <c r="Q335" s="160" t="s">
        <v>182</v>
      </c>
      <c r="R335" s="275">
        <v>7290</v>
      </c>
      <c r="S335" s="276">
        <v>70</v>
      </c>
      <c r="T335" s="247" t="s">
        <v>184</v>
      </c>
      <c r="V335" s="182"/>
      <c r="W335" s="185">
        <v>511000</v>
      </c>
      <c r="X335" s="176"/>
      <c r="Y335" s="185">
        <v>5110</v>
      </c>
      <c r="Z335" s="176" t="s">
        <v>184</v>
      </c>
      <c r="AA335" s="176"/>
      <c r="AB335" s="177"/>
      <c r="AD335" s="281"/>
      <c r="AE335" s="281"/>
      <c r="AF335" s="176"/>
      <c r="AG335" s="176"/>
      <c r="AH335" s="177"/>
      <c r="AJ335" s="187" t="s">
        <v>213</v>
      </c>
      <c r="AK335" s="185"/>
      <c r="AL335" s="176" t="s">
        <v>182</v>
      </c>
      <c r="AM335" s="176">
        <v>30</v>
      </c>
      <c r="AN335" s="177" t="s">
        <v>316</v>
      </c>
      <c r="AO335" s="160" t="s">
        <v>182</v>
      </c>
      <c r="AP335" s="1550">
        <v>3100</v>
      </c>
      <c r="AQ335" s="1553">
        <v>3400</v>
      </c>
      <c r="AR335" s="1550">
        <v>2100</v>
      </c>
      <c r="AS335" s="1553">
        <v>2100</v>
      </c>
      <c r="AT335" s="1544" t="s">
        <v>664</v>
      </c>
      <c r="AU335" s="230" t="s">
        <v>697</v>
      </c>
      <c r="AV335" s="231">
        <v>6100</v>
      </c>
      <c r="AW335" s="232">
        <v>6800</v>
      </c>
      <c r="AX335" s="267">
        <v>4200</v>
      </c>
      <c r="AY335" s="252">
        <v>4200</v>
      </c>
      <c r="BA335" s="235">
        <v>3920</v>
      </c>
      <c r="BB335" s="160" t="s">
        <v>182</v>
      </c>
      <c r="BC335" s="1556">
        <v>4700</v>
      </c>
      <c r="BD335" s="160" t="s">
        <v>182</v>
      </c>
      <c r="BE335" s="187">
        <v>1950</v>
      </c>
      <c r="BF335" s="176" t="s">
        <v>182</v>
      </c>
      <c r="BG335" s="176">
        <v>10</v>
      </c>
      <c r="BH335" s="177" t="s">
        <v>184</v>
      </c>
      <c r="BJ335" s="253"/>
      <c r="BK335" s="160" t="s">
        <v>188</v>
      </c>
      <c r="BL335" s="193" t="s">
        <v>317</v>
      </c>
      <c r="BM335" s="194" t="s">
        <v>317</v>
      </c>
      <c r="BN335" s="194" t="s">
        <v>317</v>
      </c>
      <c r="BO335" s="195" t="s">
        <v>317</v>
      </c>
      <c r="BP335" s="160" t="s">
        <v>188</v>
      </c>
      <c r="BQ335" s="187"/>
      <c r="BR335" s="185"/>
      <c r="BS335" s="185"/>
      <c r="BT335" s="254"/>
      <c r="BU335" s="160" t="s">
        <v>188</v>
      </c>
      <c r="BV335" s="187"/>
      <c r="BW335" s="185"/>
      <c r="BX335" s="185"/>
      <c r="BY335" s="185"/>
      <c r="BZ335" s="254"/>
      <c r="CA335" s="160" t="s">
        <v>188</v>
      </c>
      <c r="CB335" s="187"/>
      <c r="CC335" s="185"/>
      <c r="CD335" s="185"/>
      <c r="CE335" s="185"/>
      <c r="CF335" s="254"/>
      <c r="CH335" s="253" t="s">
        <v>324</v>
      </c>
    </row>
    <row r="336" spans="1:86">
      <c r="A336" s="1563"/>
      <c r="B336" s="168"/>
      <c r="C336" s="241"/>
      <c r="D336" s="177" t="s">
        <v>318</v>
      </c>
      <c r="F336" s="242">
        <v>44270</v>
      </c>
      <c r="G336" s="243">
        <v>103620</v>
      </c>
      <c r="H336" s="242">
        <v>39790</v>
      </c>
      <c r="I336" s="243">
        <v>99140</v>
      </c>
      <c r="J336" s="179" t="s">
        <v>182</v>
      </c>
      <c r="K336" s="244">
        <v>420</v>
      </c>
      <c r="L336" s="245">
        <v>920</v>
      </c>
      <c r="M336" s="246" t="s">
        <v>795</v>
      </c>
      <c r="N336" s="244">
        <v>370</v>
      </c>
      <c r="O336" s="245">
        <v>870</v>
      </c>
      <c r="P336" s="246" t="s">
        <v>795</v>
      </c>
      <c r="Q336" s="160" t="s">
        <v>182</v>
      </c>
      <c r="R336" s="187">
        <v>7290</v>
      </c>
      <c r="S336" s="185">
        <v>70</v>
      </c>
      <c r="T336" s="247" t="s">
        <v>184</v>
      </c>
      <c r="V336" s="182"/>
      <c r="W336" s="185"/>
      <c r="X336" s="176"/>
      <c r="Y336" s="185"/>
      <c r="Z336" s="176"/>
      <c r="AA336" s="176"/>
      <c r="AB336" s="177"/>
      <c r="AD336" s="281"/>
      <c r="AE336" s="281"/>
      <c r="AF336" s="176"/>
      <c r="AG336" s="176"/>
      <c r="AH336" s="177"/>
      <c r="AJ336" s="187"/>
      <c r="AK336" s="185"/>
      <c r="AL336" s="176"/>
      <c r="AM336" s="176"/>
      <c r="AN336" s="177"/>
      <c r="AP336" s="1551"/>
      <c r="AQ336" s="1554"/>
      <c r="AR336" s="1551"/>
      <c r="AS336" s="1554"/>
      <c r="AT336" s="1544"/>
      <c r="AU336" s="172" t="s">
        <v>699</v>
      </c>
      <c r="AV336" s="249">
        <v>3300</v>
      </c>
      <c r="AW336" s="250">
        <v>3700</v>
      </c>
      <c r="AX336" s="267">
        <v>2300</v>
      </c>
      <c r="AY336" s="252">
        <v>2300</v>
      </c>
      <c r="BA336" s="277"/>
      <c r="BC336" s="1557"/>
      <c r="BE336" s="187"/>
      <c r="BF336" s="176"/>
      <c r="BG336" s="176"/>
      <c r="BH336" s="177"/>
      <c r="BJ336" s="253"/>
      <c r="BL336" s="193"/>
      <c r="BM336" s="194"/>
      <c r="BN336" s="194"/>
      <c r="BO336" s="195"/>
      <c r="BQ336" s="187">
        <v>1150</v>
      </c>
      <c r="BR336" s="185" t="s">
        <v>199</v>
      </c>
      <c r="BS336" s="185">
        <v>10</v>
      </c>
      <c r="BT336" s="254" t="s">
        <v>184</v>
      </c>
      <c r="BV336" s="187">
        <v>3980</v>
      </c>
      <c r="BW336" s="185" t="s">
        <v>189</v>
      </c>
      <c r="BX336" s="185">
        <v>40</v>
      </c>
      <c r="BY336" s="185" t="s">
        <v>184</v>
      </c>
      <c r="BZ336" s="254" t="s">
        <v>190</v>
      </c>
      <c r="CB336" s="187">
        <v>2510</v>
      </c>
      <c r="CC336" s="185" t="s">
        <v>189</v>
      </c>
      <c r="CD336" s="185">
        <v>20</v>
      </c>
      <c r="CE336" s="185" t="s">
        <v>184</v>
      </c>
      <c r="CF336" s="254" t="s">
        <v>190</v>
      </c>
      <c r="CH336" s="253"/>
    </row>
    <row r="337" spans="1:86">
      <c r="A337" s="1563"/>
      <c r="B337" s="168"/>
      <c r="C337" s="241" t="s">
        <v>319</v>
      </c>
      <c r="D337" s="177" t="s">
        <v>320</v>
      </c>
      <c r="F337" s="242">
        <v>103620</v>
      </c>
      <c r="G337" s="243">
        <v>176600</v>
      </c>
      <c r="H337" s="242">
        <v>99140</v>
      </c>
      <c r="I337" s="243">
        <v>172120</v>
      </c>
      <c r="J337" s="179" t="s">
        <v>182</v>
      </c>
      <c r="K337" s="244">
        <v>920</v>
      </c>
      <c r="L337" s="245">
        <v>1650</v>
      </c>
      <c r="M337" s="246" t="s">
        <v>795</v>
      </c>
      <c r="N337" s="244">
        <v>870</v>
      </c>
      <c r="O337" s="245">
        <v>1600</v>
      </c>
      <c r="P337" s="246" t="s">
        <v>795</v>
      </c>
      <c r="R337" s="182"/>
      <c r="S337" s="176"/>
      <c r="T337" s="177"/>
      <c r="V337" s="278"/>
      <c r="W337" s="279" t="s">
        <v>712</v>
      </c>
      <c r="X337" s="176"/>
      <c r="Y337" s="279" t="s">
        <v>712</v>
      </c>
      <c r="Z337" s="279"/>
      <c r="AA337" s="176"/>
      <c r="AB337" s="177"/>
      <c r="AD337" s="281"/>
      <c r="AE337" s="281"/>
      <c r="AF337" s="176"/>
      <c r="AG337" s="176"/>
      <c r="AH337" s="177"/>
      <c r="AJ337" s="187">
        <v>3000</v>
      </c>
      <c r="AK337" s="185" t="s">
        <v>321</v>
      </c>
      <c r="AL337" s="176"/>
      <c r="AM337" s="176"/>
      <c r="AN337" s="177"/>
      <c r="AP337" s="1551"/>
      <c r="AQ337" s="1554"/>
      <c r="AR337" s="1551"/>
      <c r="AS337" s="1554"/>
      <c r="AT337" s="1544"/>
      <c r="AU337" s="172" t="s">
        <v>700</v>
      </c>
      <c r="AV337" s="249">
        <v>2900</v>
      </c>
      <c r="AW337" s="250">
        <v>3200</v>
      </c>
      <c r="AX337" s="267">
        <v>2000</v>
      </c>
      <c r="AY337" s="252">
        <v>2000</v>
      </c>
      <c r="BA337" s="235" t="s">
        <v>674</v>
      </c>
      <c r="BC337" s="359"/>
      <c r="BE337" s="187"/>
      <c r="BF337" s="176"/>
      <c r="BG337" s="176"/>
      <c r="BH337" s="177"/>
      <c r="BJ337" s="253"/>
      <c r="BL337" s="193">
        <v>0.02</v>
      </c>
      <c r="BM337" s="194">
        <v>0.03</v>
      </c>
      <c r="BN337" s="194">
        <v>0.05</v>
      </c>
      <c r="BO337" s="195">
        <v>0.06</v>
      </c>
      <c r="BQ337" s="187"/>
      <c r="BR337" s="185"/>
      <c r="BS337" s="185"/>
      <c r="BT337" s="254"/>
      <c r="BV337" s="187"/>
      <c r="BW337" s="185"/>
      <c r="BX337" s="185"/>
      <c r="BY337" s="185"/>
      <c r="BZ337" s="254"/>
      <c r="CB337" s="187"/>
      <c r="CC337" s="185"/>
      <c r="CD337" s="185"/>
      <c r="CE337" s="185"/>
      <c r="CF337" s="254"/>
      <c r="CH337" s="253">
        <v>0.95</v>
      </c>
    </row>
    <row r="338" spans="1:86">
      <c r="A338" s="1563"/>
      <c r="B338" s="168"/>
      <c r="C338" s="241"/>
      <c r="D338" s="177" t="s">
        <v>322</v>
      </c>
      <c r="F338" s="256">
        <v>176600</v>
      </c>
      <c r="G338" s="257"/>
      <c r="H338" s="256">
        <v>172120</v>
      </c>
      <c r="I338" s="257"/>
      <c r="J338" s="179" t="s">
        <v>182</v>
      </c>
      <c r="K338" s="258">
        <v>1650</v>
      </c>
      <c r="L338" s="259"/>
      <c r="M338" s="260" t="s">
        <v>795</v>
      </c>
      <c r="N338" s="258">
        <v>1600</v>
      </c>
      <c r="O338" s="259"/>
      <c r="P338" s="260" t="s">
        <v>795</v>
      </c>
      <c r="R338" s="182"/>
      <c r="S338" s="176"/>
      <c r="T338" s="177"/>
      <c r="V338" s="182"/>
      <c r="W338" s="185">
        <v>546000</v>
      </c>
      <c r="X338" s="176"/>
      <c r="Y338" s="185">
        <v>5460</v>
      </c>
      <c r="Z338" s="176" t="s">
        <v>184</v>
      </c>
      <c r="AA338" s="176"/>
      <c r="AB338" s="177"/>
      <c r="AD338" s="281"/>
      <c r="AE338" s="281"/>
      <c r="AF338" s="176"/>
      <c r="AG338" s="176"/>
      <c r="AH338" s="177"/>
      <c r="AJ338" s="187"/>
      <c r="AK338" s="185"/>
      <c r="AL338" s="176"/>
      <c r="AM338" s="176"/>
      <c r="AN338" s="177"/>
      <c r="AP338" s="1552"/>
      <c r="AQ338" s="1555"/>
      <c r="AR338" s="1552"/>
      <c r="AS338" s="1555"/>
      <c r="AT338" s="1544"/>
      <c r="AU338" s="262" t="s">
        <v>701</v>
      </c>
      <c r="AV338" s="263">
        <v>2600</v>
      </c>
      <c r="AW338" s="264">
        <v>2900</v>
      </c>
      <c r="AX338" s="265">
        <v>1800</v>
      </c>
      <c r="AY338" s="266">
        <v>1800</v>
      </c>
      <c r="BA338" s="235">
        <v>3660</v>
      </c>
      <c r="BC338" s="359"/>
      <c r="BE338" s="187"/>
      <c r="BF338" s="176"/>
      <c r="BG338" s="176"/>
      <c r="BH338" s="177"/>
      <c r="BJ338" s="253"/>
      <c r="BL338" s="193"/>
      <c r="BM338" s="194"/>
      <c r="BN338" s="194"/>
      <c r="BO338" s="195"/>
      <c r="BQ338" s="187"/>
      <c r="BR338" s="185"/>
      <c r="BS338" s="185"/>
      <c r="BT338" s="254"/>
      <c r="BV338" s="187"/>
      <c r="BW338" s="185"/>
      <c r="BX338" s="185"/>
      <c r="BY338" s="185"/>
      <c r="BZ338" s="254"/>
      <c r="CB338" s="187"/>
      <c r="CC338" s="185"/>
      <c r="CD338" s="185"/>
      <c r="CE338" s="185"/>
      <c r="CF338" s="254"/>
      <c r="CH338" s="253"/>
    </row>
    <row r="339" spans="1:86" ht="63">
      <c r="A339" s="1563"/>
      <c r="B339" s="215" t="s">
        <v>338</v>
      </c>
      <c r="C339" s="216" t="s">
        <v>313</v>
      </c>
      <c r="D339" s="217" t="s">
        <v>314</v>
      </c>
      <c r="F339" s="218">
        <v>35330</v>
      </c>
      <c r="G339" s="219">
        <v>42620</v>
      </c>
      <c r="H339" s="218">
        <v>31220</v>
      </c>
      <c r="I339" s="219">
        <v>38510</v>
      </c>
      <c r="J339" s="179" t="s">
        <v>182</v>
      </c>
      <c r="K339" s="220">
        <v>330</v>
      </c>
      <c r="L339" s="221">
        <v>400</v>
      </c>
      <c r="M339" s="222" t="s">
        <v>795</v>
      </c>
      <c r="N339" s="220">
        <v>290</v>
      </c>
      <c r="O339" s="221">
        <v>360</v>
      </c>
      <c r="P339" s="222" t="s">
        <v>795</v>
      </c>
      <c r="Q339" s="160" t="s">
        <v>182</v>
      </c>
      <c r="R339" s="223">
        <v>7290</v>
      </c>
      <c r="S339" s="224">
        <v>70</v>
      </c>
      <c r="T339" s="225" t="s">
        <v>184</v>
      </c>
      <c r="V339" s="182"/>
      <c r="W339" s="185"/>
      <c r="X339" s="176"/>
      <c r="Y339" s="185"/>
      <c r="Z339" s="176"/>
      <c r="AA339" s="176"/>
      <c r="AB339" s="177"/>
      <c r="AD339" s="281"/>
      <c r="AE339" s="281"/>
      <c r="AF339" s="176"/>
      <c r="AG339" s="176"/>
      <c r="AH339" s="177"/>
      <c r="AJ339" s="187" t="s">
        <v>215</v>
      </c>
      <c r="AK339" s="185"/>
      <c r="AL339" s="176" t="s">
        <v>182</v>
      </c>
      <c r="AM339" s="176">
        <v>20</v>
      </c>
      <c r="AN339" s="177" t="s">
        <v>316</v>
      </c>
      <c r="AO339" s="160" t="s">
        <v>182</v>
      </c>
      <c r="AP339" s="1550">
        <v>2800</v>
      </c>
      <c r="AQ339" s="1553">
        <v>3100</v>
      </c>
      <c r="AR339" s="1550">
        <v>2000</v>
      </c>
      <c r="AS339" s="1553">
        <v>2000</v>
      </c>
      <c r="AT339" s="1544" t="s">
        <v>664</v>
      </c>
      <c r="AU339" s="230" t="s">
        <v>697</v>
      </c>
      <c r="AV339" s="231">
        <v>5500</v>
      </c>
      <c r="AW339" s="232">
        <v>6200</v>
      </c>
      <c r="AX339" s="267">
        <v>3900</v>
      </c>
      <c r="AY339" s="252">
        <v>3900</v>
      </c>
      <c r="BA339" s="277"/>
      <c r="BB339" s="160" t="s">
        <v>182</v>
      </c>
      <c r="BC339" s="1556">
        <v>4700</v>
      </c>
      <c r="BD339" s="160" t="s">
        <v>182</v>
      </c>
      <c r="BE339" s="228">
        <v>1790</v>
      </c>
      <c r="BF339" s="226" t="s">
        <v>182</v>
      </c>
      <c r="BG339" s="226">
        <v>10</v>
      </c>
      <c r="BH339" s="217" t="s">
        <v>184</v>
      </c>
      <c r="BJ339" s="253"/>
      <c r="BK339" s="160" t="s">
        <v>188</v>
      </c>
      <c r="BL339" s="237" t="s">
        <v>317</v>
      </c>
      <c r="BM339" s="238" t="s">
        <v>317</v>
      </c>
      <c r="BN339" s="238" t="s">
        <v>317</v>
      </c>
      <c r="BO339" s="239" t="s">
        <v>317</v>
      </c>
      <c r="BP339" s="160" t="s">
        <v>188</v>
      </c>
      <c r="BQ339" s="228"/>
      <c r="BR339" s="229"/>
      <c r="BS339" s="229"/>
      <c r="BT339" s="240"/>
      <c r="BU339" s="160" t="s">
        <v>188</v>
      </c>
      <c r="BV339" s="228"/>
      <c r="BW339" s="229"/>
      <c r="BX339" s="229"/>
      <c r="BY339" s="229"/>
      <c r="BZ339" s="240"/>
      <c r="CA339" s="160" t="s">
        <v>188</v>
      </c>
      <c r="CB339" s="228"/>
      <c r="CC339" s="229"/>
      <c r="CD339" s="229"/>
      <c r="CE339" s="229"/>
      <c r="CF339" s="240"/>
      <c r="CH339" s="236" t="s">
        <v>324</v>
      </c>
    </row>
    <row r="340" spans="1:86">
      <c r="A340" s="1563"/>
      <c r="B340" s="168"/>
      <c r="C340" s="241"/>
      <c r="D340" s="177" t="s">
        <v>318</v>
      </c>
      <c r="F340" s="242">
        <v>42620</v>
      </c>
      <c r="G340" s="243">
        <v>101970</v>
      </c>
      <c r="H340" s="242">
        <v>38510</v>
      </c>
      <c r="I340" s="243">
        <v>97860</v>
      </c>
      <c r="J340" s="179" t="s">
        <v>182</v>
      </c>
      <c r="K340" s="244">
        <v>400</v>
      </c>
      <c r="L340" s="245">
        <v>900</v>
      </c>
      <c r="M340" s="246" t="s">
        <v>795</v>
      </c>
      <c r="N340" s="244">
        <v>360</v>
      </c>
      <c r="O340" s="245">
        <v>860</v>
      </c>
      <c r="P340" s="246" t="s">
        <v>795</v>
      </c>
      <c r="Q340" s="160" t="s">
        <v>182</v>
      </c>
      <c r="R340" s="187">
        <v>7290</v>
      </c>
      <c r="S340" s="185">
        <v>70</v>
      </c>
      <c r="T340" s="247" t="s">
        <v>184</v>
      </c>
      <c r="V340" s="278"/>
      <c r="W340" s="279" t="s">
        <v>713</v>
      </c>
      <c r="X340" s="176"/>
      <c r="Y340" s="279" t="s">
        <v>713</v>
      </c>
      <c r="Z340" s="279"/>
      <c r="AA340" s="176"/>
      <c r="AB340" s="177"/>
      <c r="AD340" s="281"/>
      <c r="AE340" s="281"/>
      <c r="AF340" s="176"/>
      <c r="AG340" s="176"/>
      <c r="AH340" s="177"/>
      <c r="AJ340" s="187"/>
      <c r="AK340" s="185"/>
      <c r="AL340" s="176"/>
      <c r="AM340" s="176"/>
      <c r="AN340" s="177"/>
      <c r="AP340" s="1551"/>
      <c r="AQ340" s="1554"/>
      <c r="AR340" s="1551"/>
      <c r="AS340" s="1554"/>
      <c r="AT340" s="1544"/>
      <c r="AU340" s="172" t="s">
        <v>699</v>
      </c>
      <c r="AV340" s="249">
        <v>3000</v>
      </c>
      <c r="AW340" s="250">
        <v>3400</v>
      </c>
      <c r="AX340" s="267">
        <v>2100</v>
      </c>
      <c r="AY340" s="252">
        <v>2100</v>
      </c>
      <c r="BA340" s="235" t="s">
        <v>675</v>
      </c>
      <c r="BC340" s="1557"/>
      <c r="BE340" s="187"/>
      <c r="BF340" s="176"/>
      <c r="BG340" s="176"/>
      <c r="BH340" s="177"/>
      <c r="BJ340" s="253"/>
      <c r="BL340" s="193"/>
      <c r="BM340" s="194"/>
      <c r="BN340" s="194"/>
      <c r="BO340" s="195"/>
      <c r="BQ340" s="187">
        <v>1060</v>
      </c>
      <c r="BR340" s="185" t="s">
        <v>199</v>
      </c>
      <c r="BS340" s="185">
        <v>10</v>
      </c>
      <c r="BT340" s="254" t="s">
        <v>184</v>
      </c>
      <c r="BV340" s="187">
        <v>3640</v>
      </c>
      <c r="BW340" s="185" t="s">
        <v>189</v>
      </c>
      <c r="BX340" s="185">
        <v>30</v>
      </c>
      <c r="BY340" s="185" t="s">
        <v>184</v>
      </c>
      <c r="BZ340" s="254" t="s">
        <v>190</v>
      </c>
      <c r="CB340" s="187">
        <v>2300</v>
      </c>
      <c r="CC340" s="185" t="s">
        <v>189</v>
      </c>
      <c r="CD340" s="185">
        <v>20</v>
      </c>
      <c r="CE340" s="185" t="s">
        <v>184</v>
      </c>
      <c r="CF340" s="254" t="s">
        <v>190</v>
      </c>
      <c r="CH340" s="253"/>
    </row>
    <row r="341" spans="1:86">
      <c r="A341" s="1563"/>
      <c r="B341" s="168"/>
      <c r="C341" s="241" t="s">
        <v>319</v>
      </c>
      <c r="D341" s="177" t="s">
        <v>320</v>
      </c>
      <c r="F341" s="242">
        <v>101970</v>
      </c>
      <c r="G341" s="243">
        <v>174950</v>
      </c>
      <c r="H341" s="242">
        <v>97860</v>
      </c>
      <c r="I341" s="243">
        <v>170840</v>
      </c>
      <c r="J341" s="179" t="s">
        <v>182</v>
      </c>
      <c r="K341" s="244">
        <v>900</v>
      </c>
      <c r="L341" s="245">
        <v>1630</v>
      </c>
      <c r="M341" s="246" t="s">
        <v>795</v>
      </c>
      <c r="N341" s="244">
        <v>860</v>
      </c>
      <c r="O341" s="245">
        <v>1590</v>
      </c>
      <c r="P341" s="246" t="s">
        <v>795</v>
      </c>
      <c r="R341" s="182"/>
      <c r="S341" s="176"/>
      <c r="T341" s="177"/>
      <c r="V341" s="182"/>
      <c r="W341" s="185">
        <v>581000</v>
      </c>
      <c r="X341" s="176"/>
      <c r="Y341" s="185">
        <v>5810</v>
      </c>
      <c r="Z341" s="176" t="s">
        <v>184</v>
      </c>
      <c r="AA341" s="176"/>
      <c r="AB341" s="177"/>
      <c r="AD341" s="281"/>
      <c r="AE341" s="281"/>
      <c r="AF341" s="176"/>
      <c r="AG341" s="176"/>
      <c r="AH341" s="177"/>
      <c r="AJ341" s="187">
        <v>2500</v>
      </c>
      <c r="AK341" s="185" t="s">
        <v>321</v>
      </c>
      <c r="AL341" s="176"/>
      <c r="AM341" s="176"/>
      <c r="AN341" s="177"/>
      <c r="AP341" s="1551"/>
      <c r="AQ341" s="1554"/>
      <c r="AR341" s="1551"/>
      <c r="AS341" s="1554"/>
      <c r="AT341" s="1544"/>
      <c r="AU341" s="172" t="s">
        <v>700</v>
      </c>
      <c r="AV341" s="249">
        <v>2600</v>
      </c>
      <c r="AW341" s="250">
        <v>2900</v>
      </c>
      <c r="AX341" s="267">
        <v>1800</v>
      </c>
      <c r="AY341" s="252">
        <v>1800</v>
      </c>
      <c r="BA341" s="235">
        <v>3160</v>
      </c>
      <c r="BC341" s="359"/>
      <c r="BE341" s="187"/>
      <c r="BF341" s="176"/>
      <c r="BG341" s="176"/>
      <c r="BH341" s="177"/>
      <c r="BJ341" s="253"/>
      <c r="BL341" s="193">
        <v>0.02</v>
      </c>
      <c r="BM341" s="194">
        <v>0.03</v>
      </c>
      <c r="BN341" s="194">
        <v>0.05</v>
      </c>
      <c r="BO341" s="195">
        <v>0.06</v>
      </c>
      <c r="BQ341" s="187"/>
      <c r="BR341" s="185"/>
      <c r="BS341" s="185"/>
      <c r="BT341" s="254"/>
      <c r="BV341" s="187"/>
      <c r="BW341" s="185"/>
      <c r="BX341" s="185"/>
      <c r="BY341" s="185"/>
      <c r="BZ341" s="254"/>
      <c r="CB341" s="187"/>
      <c r="CC341" s="185"/>
      <c r="CD341" s="185"/>
      <c r="CE341" s="185"/>
      <c r="CF341" s="254"/>
      <c r="CH341" s="253">
        <v>0.95</v>
      </c>
    </row>
    <row r="342" spans="1:86">
      <c r="A342" s="1563"/>
      <c r="B342" s="269"/>
      <c r="C342" s="270"/>
      <c r="D342" s="184" t="s">
        <v>322</v>
      </c>
      <c r="F342" s="256">
        <v>174950</v>
      </c>
      <c r="G342" s="257"/>
      <c r="H342" s="256">
        <v>170840</v>
      </c>
      <c r="I342" s="257"/>
      <c r="J342" s="179" t="s">
        <v>182</v>
      </c>
      <c r="K342" s="258">
        <v>1630</v>
      </c>
      <c r="L342" s="259"/>
      <c r="M342" s="260" t="s">
        <v>795</v>
      </c>
      <c r="N342" s="258">
        <v>1590</v>
      </c>
      <c r="O342" s="259"/>
      <c r="P342" s="260" t="s">
        <v>795</v>
      </c>
      <c r="R342" s="183"/>
      <c r="S342" s="271"/>
      <c r="T342" s="184"/>
      <c r="V342" s="182"/>
      <c r="W342" s="185"/>
      <c r="X342" s="176"/>
      <c r="Y342" s="185"/>
      <c r="Z342" s="176"/>
      <c r="AA342" s="176"/>
      <c r="AB342" s="177"/>
      <c r="AD342" s="281"/>
      <c r="AE342" s="281"/>
      <c r="AF342" s="176"/>
      <c r="AG342" s="176"/>
      <c r="AH342" s="177"/>
      <c r="AJ342" s="187"/>
      <c r="AK342" s="185"/>
      <c r="AL342" s="176"/>
      <c r="AM342" s="176"/>
      <c r="AN342" s="177"/>
      <c r="AP342" s="1552"/>
      <c r="AQ342" s="1555"/>
      <c r="AR342" s="1552"/>
      <c r="AS342" s="1555"/>
      <c r="AT342" s="1544"/>
      <c r="AU342" s="262" t="s">
        <v>701</v>
      </c>
      <c r="AV342" s="263">
        <v>2400</v>
      </c>
      <c r="AW342" s="264">
        <v>2600</v>
      </c>
      <c r="AX342" s="265">
        <v>1600</v>
      </c>
      <c r="AY342" s="266">
        <v>1600</v>
      </c>
      <c r="BA342" s="277"/>
      <c r="BC342" s="359"/>
      <c r="BE342" s="186"/>
      <c r="BF342" s="271"/>
      <c r="BG342" s="271"/>
      <c r="BH342" s="184"/>
      <c r="BJ342" s="253"/>
      <c r="BL342" s="272"/>
      <c r="BM342" s="273"/>
      <c r="BN342" s="273"/>
      <c r="BO342" s="274"/>
      <c r="BQ342" s="186"/>
      <c r="BR342" s="196"/>
      <c r="BS342" s="196"/>
      <c r="BT342" s="197"/>
      <c r="BV342" s="186"/>
      <c r="BW342" s="196"/>
      <c r="BX342" s="196"/>
      <c r="BY342" s="196"/>
      <c r="BZ342" s="197"/>
      <c r="CB342" s="186"/>
      <c r="CC342" s="196"/>
      <c r="CD342" s="196"/>
      <c r="CE342" s="196"/>
      <c r="CF342" s="197"/>
      <c r="CH342" s="198"/>
    </row>
    <row r="343" spans="1:86" ht="63">
      <c r="A343" s="1563"/>
      <c r="B343" s="168" t="s">
        <v>339</v>
      </c>
      <c r="C343" s="241" t="s">
        <v>313</v>
      </c>
      <c r="D343" s="177" t="s">
        <v>314</v>
      </c>
      <c r="F343" s="218">
        <v>33930</v>
      </c>
      <c r="G343" s="219">
        <v>41220</v>
      </c>
      <c r="H343" s="218">
        <v>30140</v>
      </c>
      <c r="I343" s="219">
        <v>37430</v>
      </c>
      <c r="J343" s="179" t="s">
        <v>182</v>
      </c>
      <c r="K343" s="220">
        <v>320</v>
      </c>
      <c r="L343" s="221">
        <v>390</v>
      </c>
      <c r="M343" s="222" t="s">
        <v>795</v>
      </c>
      <c r="N343" s="220">
        <v>280</v>
      </c>
      <c r="O343" s="221">
        <v>350</v>
      </c>
      <c r="P343" s="222" t="s">
        <v>795</v>
      </c>
      <c r="Q343" s="160" t="s">
        <v>182</v>
      </c>
      <c r="R343" s="275">
        <v>7290</v>
      </c>
      <c r="S343" s="276">
        <v>70</v>
      </c>
      <c r="T343" s="247" t="s">
        <v>184</v>
      </c>
      <c r="V343" s="278"/>
      <c r="W343" s="279" t="s">
        <v>714</v>
      </c>
      <c r="X343" s="176"/>
      <c r="Y343" s="279" t="s">
        <v>714</v>
      </c>
      <c r="Z343" s="279"/>
      <c r="AA343" s="176"/>
      <c r="AB343" s="177"/>
      <c r="AD343" s="281"/>
      <c r="AE343" s="281"/>
      <c r="AF343" s="176"/>
      <c r="AG343" s="176"/>
      <c r="AH343" s="177"/>
      <c r="AJ343" s="187" t="s">
        <v>217</v>
      </c>
      <c r="AK343" s="185"/>
      <c r="AL343" s="176" t="s">
        <v>182</v>
      </c>
      <c r="AM343" s="176">
        <v>20</v>
      </c>
      <c r="AN343" s="177" t="s">
        <v>316</v>
      </c>
      <c r="AO343" s="160" t="s">
        <v>182</v>
      </c>
      <c r="AP343" s="1550">
        <v>2600</v>
      </c>
      <c r="AQ343" s="1553">
        <v>2900</v>
      </c>
      <c r="AR343" s="1550">
        <v>1800</v>
      </c>
      <c r="AS343" s="1553">
        <v>1800</v>
      </c>
      <c r="AT343" s="1544" t="s">
        <v>664</v>
      </c>
      <c r="AU343" s="230" t="s">
        <v>697</v>
      </c>
      <c r="AV343" s="231">
        <v>5100</v>
      </c>
      <c r="AW343" s="232">
        <v>5700</v>
      </c>
      <c r="AX343" s="267">
        <v>3500</v>
      </c>
      <c r="AY343" s="252">
        <v>3500</v>
      </c>
      <c r="BA343" s="235" t="s">
        <v>676</v>
      </c>
      <c r="BB343" s="160" t="s">
        <v>182</v>
      </c>
      <c r="BC343" s="1556">
        <v>4700</v>
      </c>
      <c r="BD343" s="160" t="s">
        <v>182</v>
      </c>
      <c r="BE343" s="187">
        <v>1650</v>
      </c>
      <c r="BF343" s="176" t="s">
        <v>182</v>
      </c>
      <c r="BG343" s="176">
        <v>10</v>
      </c>
      <c r="BH343" s="177" t="s">
        <v>184</v>
      </c>
      <c r="BJ343" s="253"/>
      <c r="BK343" s="160" t="s">
        <v>188</v>
      </c>
      <c r="BL343" s="193" t="s">
        <v>317</v>
      </c>
      <c r="BM343" s="194" t="s">
        <v>317</v>
      </c>
      <c r="BN343" s="194" t="s">
        <v>317</v>
      </c>
      <c r="BO343" s="195" t="s">
        <v>317</v>
      </c>
      <c r="BP343" s="160" t="s">
        <v>188</v>
      </c>
      <c r="BQ343" s="187"/>
      <c r="BR343" s="185"/>
      <c r="BS343" s="185"/>
      <c r="BT343" s="254"/>
      <c r="BU343" s="160" t="s">
        <v>188</v>
      </c>
      <c r="BV343" s="187"/>
      <c r="BW343" s="185"/>
      <c r="BX343" s="185"/>
      <c r="BY343" s="185"/>
      <c r="BZ343" s="254"/>
      <c r="CA343" s="160" t="s">
        <v>188</v>
      </c>
      <c r="CB343" s="187"/>
      <c r="CC343" s="185"/>
      <c r="CD343" s="185"/>
      <c r="CE343" s="185"/>
      <c r="CF343" s="254"/>
      <c r="CH343" s="253" t="s">
        <v>324</v>
      </c>
    </row>
    <row r="344" spans="1:86">
      <c r="A344" s="1563"/>
      <c r="B344" s="168"/>
      <c r="C344" s="241"/>
      <c r="D344" s="177" t="s">
        <v>318</v>
      </c>
      <c r="F344" s="242">
        <v>41220</v>
      </c>
      <c r="G344" s="243">
        <v>100570</v>
      </c>
      <c r="H344" s="242">
        <v>37430</v>
      </c>
      <c r="I344" s="243">
        <v>96780</v>
      </c>
      <c r="J344" s="179" t="s">
        <v>182</v>
      </c>
      <c r="K344" s="244">
        <v>390</v>
      </c>
      <c r="L344" s="245">
        <v>890</v>
      </c>
      <c r="M344" s="246" t="s">
        <v>795</v>
      </c>
      <c r="N344" s="244">
        <v>350</v>
      </c>
      <c r="O344" s="245">
        <v>850</v>
      </c>
      <c r="P344" s="246" t="s">
        <v>795</v>
      </c>
      <c r="Q344" s="160" t="s">
        <v>182</v>
      </c>
      <c r="R344" s="187">
        <v>7290</v>
      </c>
      <c r="S344" s="185">
        <v>70</v>
      </c>
      <c r="T344" s="247" t="s">
        <v>184</v>
      </c>
      <c r="V344" s="182"/>
      <c r="W344" s="185">
        <v>616000</v>
      </c>
      <c r="X344" s="176"/>
      <c r="Y344" s="185">
        <v>6160</v>
      </c>
      <c r="Z344" s="176" t="s">
        <v>184</v>
      </c>
      <c r="AA344" s="176"/>
      <c r="AB344" s="177"/>
      <c r="AD344" s="281"/>
      <c r="AE344" s="281"/>
      <c r="AF344" s="176"/>
      <c r="AG344" s="176"/>
      <c r="AH344" s="177"/>
      <c r="AJ344" s="187"/>
      <c r="AK344" s="185"/>
      <c r="AL344" s="176"/>
      <c r="AM344" s="176"/>
      <c r="AN344" s="177"/>
      <c r="AP344" s="1551"/>
      <c r="AQ344" s="1554"/>
      <c r="AR344" s="1551"/>
      <c r="AS344" s="1554"/>
      <c r="AT344" s="1544"/>
      <c r="AU344" s="172" t="s">
        <v>699</v>
      </c>
      <c r="AV344" s="249">
        <v>2800</v>
      </c>
      <c r="AW344" s="250">
        <v>3100</v>
      </c>
      <c r="AX344" s="267">
        <v>1900</v>
      </c>
      <c r="AY344" s="252">
        <v>1900</v>
      </c>
      <c r="BA344" s="235">
        <v>2810</v>
      </c>
      <c r="BC344" s="1557"/>
      <c r="BE344" s="187"/>
      <c r="BF344" s="176"/>
      <c r="BG344" s="176"/>
      <c r="BH344" s="177"/>
      <c r="BJ344" s="253"/>
      <c r="BL344" s="193"/>
      <c r="BM344" s="194"/>
      <c r="BN344" s="194"/>
      <c r="BO344" s="195"/>
      <c r="BQ344" s="187">
        <v>970</v>
      </c>
      <c r="BR344" s="185" t="s">
        <v>199</v>
      </c>
      <c r="BS344" s="185">
        <v>10</v>
      </c>
      <c r="BT344" s="254" t="s">
        <v>184</v>
      </c>
      <c r="BV344" s="187">
        <v>3360</v>
      </c>
      <c r="BW344" s="185" t="s">
        <v>189</v>
      </c>
      <c r="BX344" s="185">
        <v>30</v>
      </c>
      <c r="BY344" s="185" t="s">
        <v>184</v>
      </c>
      <c r="BZ344" s="254" t="s">
        <v>190</v>
      </c>
      <c r="CB344" s="187">
        <v>2120</v>
      </c>
      <c r="CC344" s="185" t="s">
        <v>189</v>
      </c>
      <c r="CD344" s="185">
        <v>20</v>
      </c>
      <c r="CE344" s="185" t="s">
        <v>184</v>
      </c>
      <c r="CF344" s="254" t="s">
        <v>190</v>
      </c>
      <c r="CH344" s="253"/>
    </row>
    <row r="345" spans="1:86">
      <c r="A345" s="1563"/>
      <c r="B345" s="168"/>
      <c r="C345" s="241" t="s">
        <v>319</v>
      </c>
      <c r="D345" s="177" t="s">
        <v>320</v>
      </c>
      <c r="F345" s="242">
        <v>100570</v>
      </c>
      <c r="G345" s="243">
        <v>173550</v>
      </c>
      <c r="H345" s="242">
        <v>96780</v>
      </c>
      <c r="I345" s="243">
        <v>169760</v>
      </c>
      <c r="J345" s="179" t="s">
        <v>182</v>
      </c>
      <c r="K345" s="244">
        <v>890</v>
      </c>
      <c r="L345" s="245">
        <v>1620</v>
      </c>
      <c r="M345" s="246" t="s">
        <v>795</v>
      </c>
      <c r="N345" s="244">
        <v>850</v>
      </c>
      <c r="O345" s="245">
        <v>1580</v>
      </c>
      <c r="P345" s="246" t="s">
        <v>795</v>
      </c>
      <c r="R345" s="182"/>
      <c r="S345" s="176"/>
      <c r="T345" s="177"/>
      <c r="V345" s="182"/>
      <c r="W345" s="185"/>
      <c r="X345" s="176"/>
      <c r="Y345" s="185"/>
      <c r="Z345" s="176"/>
      <c r="AA345" s="176"/>
      <c r="AB345" s="177"/>
      <c r="AD345" s="281"/>
      <c r="AE345" s="281"/>
      <c r="AF345" s="176"/>
      <c r="AG345" s="176"/>
      <c r="AH345" s="177"/>
      <c r="AJ345" s="187">
        <v>2140</v>
      </c>
      <c r="AK345" s="185" t="s">
        <v>321</v>
      </c>
      <c r="AL345" s="176"/>
      <c r="AM345" s="176"/>
      <c r="AN345" s="177"/>
      <c r="AP345" s="1551"/>
      <c r="AQ345" s="1554"/>
      <c r="AR345" s="1551"/>
      <c r="AS345" s="1554"/>
      <c r="AT345" s="1544"/>
      <c r="AU345" s="172" t="s">
        <v>700</v>
      </c>
      <c r="AV345" s="249">
        <v>2400</v>
      </c>
      <c r="AW345" s="250">
        <v>2700</v>
      </c>
      <c r="AX345" s="267">
        <v>1700</v>
      </c>
      <c r="AY345" s="252">
        <v>1700</v>
      </c>
      <c r="BA345" s="277"/>
      <c r="BC345" s="358"/>
      <c r="BE345" s="187"/>
      <c r="BF345" s="176"/>
      <c r="BG345" s="176"/>
      <c r="BH345" s="177"/>
      <c r="BJ345" s="253"/>
      <c r="BL345" s="193">
        <v>0.02</v>
      </c>
      <c r="BM345" s="194">
        <v>0.03</v>
      </c>
      <c r="BN345" s="194">
        <v>0.05</v>
      </c>
      <c r="BO345" s="195">
        <v>0.06</v>
      </c>
      <c r="BQ345" s="187"/>
      <c r="BR345" s="185"/>
      <c r="BS345" s="185"/>
      <c r="BT345" s="254"/>
      <c r="BV345" s="187"/>
      <c r="BW345" s="185"/>
      <c r="BX345" s="185"/>
      <c r="BY345" s="185"/>
      <c r="BZ345" s="254"/>
      <c r="CB345" s="187"/>
      <c r="CC345" s="185"/>
      <c r="CD345" s="185"/>
      <c r="CE345" s="185"/>
      <c r="CF345" s="254"/>
      <c r="CH345" s="253">
        <v>0.97</v>
      </c>
    </row>
    <row r="346" spans="1:86">
      <c r="A346" s="1563"/>
      <c r="B346" s="168"/>
      <c r="C346" s="241"/>
      <c r="D346" s="177" t="s">
        <v>322</v>
      </c>
      <c r="F346" s="256">
        <v>173550</v>
      </c>
      <c r="G346" s="257"/>
      <c r="H346" s="256">
        <v>169760</v>
      </c>
      <c r="I346" s="257"/>
      <c r="J346" s="179" t="s">
        <v>182</v>
      </c>
      <c r="K346" s="258">
        <v>1620</v>
      </c>
      <c r="L346" s="259"/>
      <c r="M346" s="260" t="s">
        <v>795</v>
      </c>
      <c r="N346" s="258">
        <v>1580</v>
      </c>
      <c r="O346" s="259"/>
      <c r="P346" s="260" t="s">
        <v>795</v>
      </c>
      <c r="R346" s="182"/>
      <c r="S346" s="176"/>
      <c r="T346" s="177"/>
      <c r="V346" s="278"/>
      <c r="W346" s="279" t="s">
        <v>715</v>
      </c>
      <c r="X346" s="176"/>
      <c r="Y346" s="279" t="s">
        <v>715</v>
      </c>
      <c r="Z346" s="279"/>
      <c r="AA346" s="176"/>
      <c r="AB346" s="177"/>
      <c r="AD346" s="281"/>
      <c r="AE346" s="281"/>
      <c r="AF346" s="176"/>
      <c r="AG346" s="176"/>
      <c r="AH346" s="177"/>
      <c r="AJ346" s="187"/>
      <c r="AK346" s="185"/>
      <c r="AL346" s="176"/>
      <c r="AM346" s="176"/>
      <c r="AN346" s="177"/>
      <c r="AP346" s="1552"/>
      <c r="AQ346" s="1555"/>
      <c r="AR346" s="1552"/>
      <c r="AS346" s="1555"/>
      <c r="AT346" s="1544"/>
      <c r="AU346" s="262" t="s">
        <v>701</v>
      </c>
      <c r="AV346" s="263">
        <v>2200</v>
      </c>
      <c r="AW346" s="264">
        <v>2400</v>
      </c>
      <c r="AX346" s="265">
        <v>1500</v>
      </c>
      <c r="AY346" s="266">
        <v>1500</v>
      </c>
      <c r="BA346" s="235" t="s">
        <v>677</v>
      </c>
      <c r="BC346" s="359"/>
      <c r="BE346" s="187"/>
      <c r="BF346" s="176"/>
      <c r="BG346" s="176"/>
      <c r="BH346" s="177"/>
      <c r="BJ346" s="253"/>
      <c r="BL346" s="193"/>
      <c r="BM346" s="194"/>
      <c r="BN346" s="194"/>
      <c r="BO346" s="195"/>
      <c r="BQ346" s="187"/>
      <c r="BR346" s="185"/>
      <c r="BS346" s="185"/>
      <c r="BT346" s="254"/>
      <c r="BV346" s="187"/>
      <c r="BW346" s="185"/>
      <c r="BX346" s="185"/>
      <c r="BY346" s="185"/>
      <c r="BZ346" s="254"/>
      <c r="CB346" s="187"/>
      <c r="CC346" s="185"/>
      <c r="CD346" s="185"/>
      <c r="CE346" s="185"/>
      <c r="CF346" s="254"/>
      <c r="CH346" s="253"/>
    </row>
    <row r="347" spans="1:86" ht="63">
      <c r="A347" s="1563"/>
      <c r="B347" s="215" t="s">
        <v>340</v>
      </c>
      <c r="C347" s="216" t="s">
        <v>313</v>
      </c>
      <c r="D347" s="217" t="s">
        <v>314</v>
      </c>
      <c r="F347" s="218">
        <v>32760</v>
      </c>
      <c r="G347" s="219">
        <v>40050</v>
      </c>
      <c r="H347" s="218">
        <v>29240</v>
      </c>
      <c r="I347" s="219">
        <v>36530</v>
      </c>
      <c r="J347" s="179" t="s">
        <v>182</v>
      </c>
      <c r="K347" s="220">
        <v>300</v>
      </c>
      <c r="L347" s="221">
        <v>370</v>
      </c>
      <c r="M347" s="222" t="s">
        <v>795</v>
      </c>
      <c r="N347" s="220">
        <v>270</v>
      </c>
      <c r="O347" s="221">
        <v>340</v>
      </c>
      <c r="P347" s="222" t="s">
        <v>795</v>
      </c>
      <c r="Q347" s="160" t="s">
        <v>182</v>
      </c>
      <c r="R347" s="223">
        <v>7290</v>
      </c>
      <c r="S347" s="224">
        <v>70</v>
      </c>
      <c r="T347" s="225" t="s">
        <v>184</v>
      </c>
      <c r="V347" s="182"/>
      <c r="W347" s="185">
        <v>651000</v>
      </c>
      <c r="X347" s="176"/>
      <c r="Y347" s="185">
        <v>6510</v>
      </c>
      <c r="Z347" s="176" t="s">
        <v>184</v>
      </c>
      <c r="AA347" s="176"/>
      <c r="AB347" s="177"/>
      <c r="AD347" s="281"/>
      <c r="AE347" s="281"/>
      <c r="AF347" s="176"/>
      <c r="AG347" s="176"/>
      <c r="AH347" s="177"/>
      <c r="AJ347" s="187" t="s">
        <v>219</v>
      </c>
      <c r="AK347" s="185"/>
      <c r="AL347" s="176" t="s">
        <v>182</v>
      </c>
      <c r="AM347" s="176">
        <v>10</v>
      </c>
      <c r="AN347" s="177" t="s">
        <v>316</v>
      </c>
      <c r="AO347" s="160" t="s">
        <v>182</v>
      </c>
      <c r="AP347" s="1550">
        <v>2800</v>
      </c>
      <c r="AQ347" s="1553">
        <v>3100</v>
      </c>
      <c r="AR347" s="1550">
        <v>1900</v>
      </c>
      <c r="AS347" s="1553">
        <v>1900</v>
      </c>
      <c r="AT347" s="1544" t="s">
        <v>664</v>
      </c>
      <c r="AU347" s="230" t="s">
        <v>697</v>
      </c>
      <c r="AV347" s="231">
        <v>5500</v>
      </c>
      <c r="AW347" s="232">
        <v>6200</v>
      </c>
      <c r="AX347" s="267">
        <v>3900</v>
      </c>
      <c r="AY347" s="252">
        <v>3900</v>
      </c>
      <c r="BA347" s="235">
        <v>2540</v>
      </c>
      <c r="BB347" s="160" t="s">
        <v>182</v>
      </c>
      <c r="BC347" s="1556">
        <v>4700</v>
      </c>
      <c r="BD347" s="160" t="s">
        <v>182</v>
      </c>
      <c r="BE347" s="228">
        <v>1540</v>
      </c>
      <c r="BF347" s="226" t="s">
        <v>182</v>
      </c>
      <c r="BG347" s="226">
        <v>10</v>
      </c>
      <c r="BH347" s="217" t="s">
        <v>184</v>
      </c>
      <c r="BJ347" s="253"/>
      <c r="BK347" s="160" t="s">
        <v>188</v>
      </c>
      <c r="BL347" s="237" t="s">
        <v>317</v>
      </c>
      <c r="BM347" s="238" t="s">
        <v>317</v>
      </c>
      <c r="BN347" s="238" t="s">
        <v>317</v>
      </c>
      <c r="BO347" s="239" t="s">
        <v>317</v>
      </c>
      <c r="BP347" s="160" t="s">
        <v>188</v>
      </c>
      <c r="BQ347" s="228"/>
      <c r="BR347" s="229"/>
      <c r="BS347" s="229"/>
      <c r="BT347" s="240"/>
      <c r="BU347" s="160" t="s">
        <v>188</v>
      </c>
      <c r="BV347" s="228"/>
      <c r="BW347" s="229"/>
      <c r="BX347" s="229"/>
      <c r="BY347" s="229"/>
      <c r="BZ347" s="240"/>
      <c r="CA347" s="160" t="s">
        <v>188</v>
      </c>
      <c r="CB347" s="228"/>
      <c r="CC347" s="229"/>
      <c r="CD347" s="229"/>
      <c r="CE347" s="229"/>
      <c r="CF347" s="240"/>
      <c r="CH347" s="236" t="s">
        <v>324</v>
      </c>
    </row>
    <row r="348" spans="1:86">
      <c r="A348" s="1563"/>
      <c r="B348" s="168"/>
      <c r="C348" s="241"/>
      <c r="D348" s="177" t="s">
        <v>318</v>
      </c>
      <c r="F348" s="242">
        <v>40050</v>
      </c>
      <c r="G348" s="243">
        <v>99400</v>
      </c>
      <c r="H348" s="242">
        <v>36530</v>
      </c>
      <c r="I348" s="243">
        <v>95880</v>
      </c>
      <c r="J348" s="179" t="s">
        <v>182</v>
      </c>
      <c r="K348" s="244">
        <v>370</v>
      </c>
      <c r="L348" s="245">
        <v>880</v>
      </c>
      <c r="M348" s="246" t="s">
        <v>795</v>
      </c>
      <c r="N348" s="244">
        <v>340</v>
      </c>
      <c r="O348" s="245">
        <v>840</v>
      </c>
      <c r="P348" s="246" t="s">
        <v>795</v>
      </c>
      <c r="Q348" s="160" t="s">
        <v>182</v>
      </c>
      <c r="R348" s="187">
        <v>7290</v>
      </c>
      <c r="S348" s="185">
        <v>70</v>
      </c>
      <c r="T348" s="247" t="s">
        <v>184</v>
      </c>
      <c r="V348" s="182"/>
      <c r="W348" s="185"/>
      <c r="X348" s="176"/>
      <c r="Y348" s="185"/>
      <c r="Z348" s="176"/>
      <c r="AA348" s="176"/>
      <c r="AB348" s="177"/>
      <c r="AD348" s="281"/>
      <c r="AE348" s="281"/>
      <c r="AF348" s="176"/>
      <c r="AG348" s="176"/>
      <c r="AH348" s="177"/>
      <c r="AJ348" s="187"/>
      <c r="AK348" s="185"/>
      <c r="AL348" s="176"/>
      <c r="AM348" s="176"/>
      <c r="AN348" s="177"/>
      <c r="AP348" s="1551"/>
      <c r="AQ348" s="1554"/>
      <c r="AR348" s="1551"/>
      <c r="AS348" s="1554"/>
      <c r="AT348" s="1544"/>
      <c r="AU348" s="172" t="s">
        <v>699</v>
      </c>
      <c r="AV348" s="249">
        <v>3000</v>
      </c>
      <c r="AW348" s="250">
        <v>3400</v>
      </c>
      <c r="AX348" s="267">
        <v>2100</v>
      </c>
      <c r="AY348" s="252">
        <v>2100</v>
      </c>
      <c r="BA348" s="277"/>
      <c r="BC348" s="1557"/>
      <c r="BE348" s="187"/>
      <c r="BF348" s="176"/>
      <c r="BG348" s="176"/>
      <c r="BH348" s="177"/>
      <c r="BJ348" s="253"/>
      <c r="BL348" s="193"/>
      <c r="BM348" s="194"/>
      <c r="BN348" s="194"/>
      <c r="BO348" s="195"/>
      <c r="BQ348" s="187">
        <v>900</v>
      </c>
      <c r="BR348" s="185" t="s">
        <v>199</v>
      </c>
      <c r="BS348" s="185">
        <v>9</v>
      </c>
      <c r="BT348" s="254" t="s">
        <v>184</v>
      </c>
      <c r="BV348" s="187">
        <v>3120</v>
      </c>
      <c r="BW348" s="185" t="s">
        <v>189</v>
      </c>
      <c r="BX348" s="185">
        <v>30</v>
      </c>
      <c r="BY348" s="185" t="s">
        <v>184</v>
      </c>
      <c r="BZ348" s="254" t="s">
        <v>190</v>
      </c>
      <c r="CB348" s="187">
        <v>1970</v>
      </c>
      <c r="CC348" s="185" t="s">
        <v>189</v>
      </c>
      <c r="CD348" s="185">
        <v>20</v>
      </c>
      <c r="CE348" s="185" t="s">
        <v>184</v>
      </c>
      <c r="CF348" s="254" t="s">
        <v>190</v>
      </c>
      <c r="CH348" s="253"/>
    </row>
    <row r="349" spans="1:86">
      <c r="A349" s="1563"/>
      <c r="B349" s="168"/>
      <c r="C349" s="241" t="s">
        <v>319</v>
      </c>
      <c r="D349" s="177" t="s">
        <v>320</v>
      </c>
      <c r="F349" s="242">
        <v>99400</v>
      </c>
      <c r="G349" s="243">
        <v>172380</v>
      </c>
      <c r="H349" s="242">
        <v>95880</v>
      </c>
      <c r="I349" s="243">
        <v>168860</v>
      </c>
      <c r="J349" s="179" t="s">
        <v>182</v>
      </c>
      <c r="K349" s="244">
        <v>880</v>
      </c>
      <c r="L349" s="245">
        <v>1610</v>
      </c>
      <c r="M349" s="246" t="s">
        <v>795</v>
      </c>
      <c r="N349" s="244">
        <v>840</v>
      </c>
      <c r="O349" s="245">
        <v>1570</v>
      </c>
      <c r="P349" s="246" t="s">
        <v>795</v>
      </c>
      <c r="R349" s="182"/>
      <c r="S349" s="176"/>
      <c r="T349" s="177"/>
      <c r="V349" s="278"/>
      <c r="W349" s="279" t="s">
        <v>716</v>
      </c>
      <c r="X349" s="176"/>
      <c r="Y349" s="279" t="s">
        <v>716</v>
      </c>
      <c r="Z349" s="279"/>
      <c r="AA349" s="176"/>
      <c r="AB349" s="177"/>
      <c r="AD349" s="281"/>
      <c r="AE349" s="281"/>
      <c r="AF349" s="176"/>
      <c r="AG349" s="176"/>
      <c r="AH349" s="177"/>
      <c r="AJ349" s="187">
        <v>1870</v>
      </c>
      <c r="AK349" s="185" t="s">
        <v>321</v>
      </c>
      <c r="AL349" s="176"/>
      <c r="AM349" s="176"/>
      <c r="AN349" s="177"/>
      <c r="AP349" s="1551"/>
      <c r="AQ349" s="1554"/>
      <c r="AR349" s="1551"/>
      <c r="AS349" s="1554"/>
      <c r="AT349" s="1544"/>
      <c r="AU349" s="172" t="s">
        <v>700</v>
      </c>
      <c r="AV349" s="249">
        <v>2600</v>
      </c>
      <c r="AW349" s="250">
        <v>2900</v>
      </c>
      <c r="AX349" s="267">
        <v>1800</v>
      </c>
      <c r="AY349" s="252">
        <v>1800</v>
      </c>
      <c r="BA349" s="235" t="s">
        <v>678</v>
      </c>
      <c r="BC349" s="359"/>
      <c r="BE349" s="187"/>
      <c r="BF349" s="176"/>
      <c r="BG349" s="176"/>
      <c r="BH349" s="177"/>
      <c r="BJ349" s="253"/>
      <c r="BL349" s="193">
        <v>0.02</v>
      </c>
      <c r="BM349" s="194">
        <v>0.03</v>
      </c>
      <c r="BN349" s="194">
        <v>0.05</v>
      </c>
      <c r="BO349" s="195">
        <v>0.06</v>
      </c>
      <c r="BQ349" s="187"/>
      <c r="BR349" s="185"/>
      <c r="BS349" s="185"/>
      <c r="BT349" s="254"/>
      <c r="BV349" s="187"/>
      <c r="BW349" s="185"/>
      <c r="BX349" s="185"/>
      <c r="BY349" s="185"/>
      <c r="BZ349" s="254"/>
      <c r="CB349" s="187"/>
      <c r="CC349" s="185"/>
      <c r="CD349" s="185"/>
      <c r="CE349" s="185"/>
      <c r="CF349" s="254"/>
      <c r="CH349" s="253">
        <v>0.98</v>
      </c>
    </row>
    <row r="350" spans="1:86">
      <c r="A350" s="1563"/>
      <c r="B350" s="269"/>
      <c r="C350" s="270"/>
      <c r="D350" s="184" t="s">
        <v>322</v>
      </c>
      <c r="F350" s="256">
        <v>172380</v>
      </c>
      <c r="G350" s="257"/>
      <c r="H350" s="256">
        <v>168860</v>
      </c>
      <c r="I350" s="257"/>
      <c r="J350" s="179" t="s">
        <v>182</v>
      </c>
      <c r="K350" s="258">
        <v>1610</v>
      </c>
      <c r="L350" s="259"/>
      <c r="M350" s="260" t="s">
        <v>795</v>
      </c>
      <c r="N350" s="258">
        <v>1570</v>
      </c>
      <c r="O350" s="259"/>
      <c r="P350" s="260" t="s">
        <v>795</v>
      </c>
      <c r="R350" s="183"/>
      <c r="S350" s="271"/>
      <c r="T350" s="184"/>
      <c r="V350" s="182"/>
      <c r="W350" s="185">
        <v>686000</v>
      </c>
      <c r="X350" s="176"/>
      <c r="Y350" s="185">
        <v>6860</v>
      </c>
      <c r="Z350" s="176" t="s">
        <v>184</v>
      </c>
      <c r="AA350" s="176"/>
      <c r="AB350" s="177"/>
      <c r="AD350" s="281"/>
      <c r="AE350" s="281"/>
      <c r="AF350" s="176"/>
      <c r="AG350" s="176"/>
      <c r="AH350" s="177"/>
      <c r="AJ350" s="187"/>
      <c r="AK350" s="185"/>
      <c r="AL350" s="176"/>
      <c r="AM350" s="176"/>
      <c r="AN350" s="177"/>
      <c r="AP350" s="1552"/>
      <c r="AQ350" s="1555"/>
      <c r="AR350" s="1552"/>
      <c r="AS350" s="1555"/>
      <c r="AT350" s="1544"/>
      <c r="AU350" s="262" t="s">
        <v>701</v>
      </c>
      <c r="AV350" s="263">
        <v>2400</v>
      </c>
      <c r="AW350" s="264">
        <v>2600</v>
      </c>
      <c r="AX350" s="265">
        <v>1600</v>
      </c>
      <c r="AY350" s="266">
        <v>1600</v>
      </c>
      <c r="BA350" s="235">
        <v>2440</v>
      </c>
      <c r="BC350" s="359"/>
      <c r="BE350" s="186"/>
      <c r="BF350" s="271"/>
      <c r="BG350" s="271"/>
      <c r="BH350" s="184"/>
      <c r="BJ350" s="253"/>
      <c r="BL350" s="272"/>
      <c r="BM350" s="273"/>
      <c r="BN350" s="273"/>
      <c r="BO350" s="274"/>
      <c r="BQ350" s="186"/>
      <c r="BR350" s="196"/>
      <c r="BS350" s="196"/>
      <c r="BT350" s="197"/>
      <c r="BV350" s="186"/>
      <c r="BW350" s="196"/>
      <c r="BX350" s="196"/>
      <c r="BY350" s="196"/>
      <c r="BZ350" s="197"/>
      <c r="CB350" s="186"/>
      <c r="CC350" s="196"/>
      <c r="CD350" s="196"/>
      <c r="CE350" s="196"/>
      <c r="CF350" s="197"/>
      <c r="CH350" s="198"/>
    </row>
    <row r="351" spans="1:86" ht="63">
      <c r="A351" s="1563"/>
      <c r="B351" s="168" t="s">
        <v>341</v>
      </c>
      <c r="C351" s="241" t="s">
        <v>313</v>
      </c>
      <c r="D351" s="177" t="s">
        <v>314</v>
      </c>
      <c r="F351" s="218">
        <v>31730</v>
      </c>
      <c r="G351" s="219">
        <v>39020</v>
      </c>
      <c r="H351" s="218">
        <v>28440</v>
      </c>
      <c r="I351" s="219">
        <v>35730</v>
      </c>
      <c r="J351" s="179" t="s">
        <v>182</v>
      </c>
      <c r="K351" s="220">
        <v>290</v>
      </c>
      <c r="L351" s="221">
        <v>360</v>
      </c>
      <c r="M351" s="222" t="s">
        <v>795</v>
      </c>
      <c r="N351" s="220">
        <v>260</v>
      </c>
      <c r="O351" s="221">
        <v>330</v>
      </c>
      <c r="P351" s="222" t="s">
        <v>795</v>
      </c>
      <c r="Q351" s="160" t="s">
        <v>182</v>
      </c>
      <c r="R351" s="275">
        <v>7290</v>
      </c>
      <c r="S351" s="276">
        <v>70</v>
      </c>
      <c r="T351" s="247" t="s">
        <v>184</v>
      </c>
      <c r="V351" s="182"/>
      <c r="W351" s="185"/>
      <c r="X351" s="176"/>
      <c r="Y351" s="185"/>
      <c r="Z351" s="176"/>
      <c r="AA351" s="176"/>
      <c r="AB351" s="177"/>
      <c r="AD351" s="281"/>
      <c r="AE351" s="281"/>
      <c r="AF351" s="176"/>
      <c r="AG351" s="176"/>
      <c r="AH351" s="177"/>
      <c r="AJ351" s="187" t="s">
        <v>221</v>
      </c>
      <c r="AK351" s="185"/>
      <c r="AL351" s="176" t="s">
        <v>182</v>
      </c>
      <c r="AM351" s="176">
        <v>10</v>
      </c>
      <c r="AN351" s="177" t="s">
        <v>316</v>
      </c>
      <c r="AO351" s="160" t="s">
        <v>182</v>
      </c>
      <c r="AP351" s="1550">
        <v>2600</v>
      </c>
      <c r="AQ351" s="1553">
        <v>2900</v>
      </c>
      <c r="AR351" s="1550">
        <v>1800</v>
      </c>
      <c r="AS351" s="1553">
        <v>1800</v>
      </c>
      <c r="AT351" s="1544" t="s">
        <v>664</v>
      </c>
      <c r="AU351" s="230" t="s">
        <v>697</v>
      </c>
      <c r="AV351" s="231">
        <v>5400</v>
      </c>
      <c r="AW351" s="232">
        <v>6000</v>
      </c>
      <c r="AX351" s="267">
        <v>3700</v>
      </c>
      <c r="AY351" s="252">
        <v>3700</v>
      </c>
      <c r="BA351" s="235"/>
      <c r="BB351" s="160" t="s">
        <v>182</v>
      </c>
      <c r="BC351" s="1556">
        <v>4700</v>
      </c>
      <c r="BD351" s="160" t="s">
        <v>182</v>
      </c>
      <c r="BE351" s="187">
        <v>1430</v>
      </c>
      <c r="BF351" s="176" t="s">
        <v>182</v>
      </c>
      <c r="BG351" s="176">
        <v>10</v>
      </c>
      <c r="BH351" s="177" t="s">
        <v>184</v>
      </c>
      <c r="BJ351" s="253"/>
      <c r="BK351" s="160" t="s">
        <v>188</v>
      </c>
      <c r="BL351" s="193" t="s">
        <v>317</v>
      </c>
      <c r="BM351" s="194" t="s">
        <v>317</v>
      </c>
      <c r="BN351" s="194" t="s">
        <v>317</v>
      </c>
      <c r="BO351" s="195" t="s">
        <v>317</v>
      </c>
      <c r="BP351" s="160" t="s">
        <v>188</v>
      </c>
      <c r="BQ351" s="187"/>
      <c r="BR351" s="185"/>
      <c r="BS351" s="185"/>
      <c r="BT351" s="254"/>
      <c r="BU351" s="160" t="s">
        <v>188</v>
      </c>
      <c r="BV351" s="187"/>
      <c r="BW351" s="185"/>
      <c r="BX351" s="185"/>
      <c r="BY351" s="185"/>
      <c r="BZ351" s="254"/>
      <c r="CA351" s="160" t="s">
        <v>188</v>
      </c>
      <c r="CB351" s="187"/>
      <c r="CC351" s="185"/>
      <c r="CD351" s="185"/>
      <c r="CE351" s="185"/>
      <c r="CF351" s="254"/>
      <c r="CH351" s="253" t="s">
        <v>324</v>
      </c>
    </row>
    <row r="352" spans="1:86">
      <c r="A352" s="1563"/>
      <c r="B352" s="168"/>
      <c r="C352" s="241"/>
      <c r="D352" s="177" t="s">
        <v>318</v>
      </c>
      <c r="F352" s="242">
        <v>39020</v>
      </c>
      <c r="G352" s="243">
        <v>98370</v>
      </c>
      <c r="H352" s="242">
        <v>35730</v>
      </c>
      <c r="I352" s="243">
        <v>95080</v>
      </c>
      <c r="J352" s="179" t="s">
        <v>182</v>
      </c>
      <c r="K352" s="244">
        <v>360</v>
      </c>
      <c r="L352" s="245">
        <v>870</v>
      </c>
      <c r="M352" s="246" t="s">
        <v>795</v>
      </c>
      <c r="N352" s="244">
        <v>330</v>
      </c>
      <c r="O352" s="245">
        <v>830</v>
      </c>
      <c r="P352" s="246" t="s">
        <v>795</v>
      </c>
      <c r="Q352" s="160" t="s">
        <v>182</v>
      </c>
      <c r="R352" s="187">
        <v>7290</v>
      </c>
      <c r="S352" s="185">
        <v>70</v>
      </c>
      <c r="T352" s="247" t="s">
        <v>184</v>
      </c>
      <c r="V352" s="182"/>
      <c r="W352" s="185"/>
      <c r="X352" s="176"/>
      <c r="Y352" s="185"/>
      <c r="Z352" s="176"/>
      <c r="AA352" s="176"/>
      <c r="AB352" s="177"/>
      <c r="AD352" s="281"/>
      <c r="AE352" s="281"/>
      <c r="AF352" s="176"/>
      <c r="AG352" s="176"/>
      <c r="AH352" s="177"/>
      <c r="AJ352" s="187"/>
      <c r="AK352" s="185"/>
      <c r="AL352" s="176"/>
      <c r="AM352" s="176"/>
      <c r="AN352" s="177"/>
      <c r="AP352" s="1551"/>
      <c r="AQ352" s="1554"/>
      <c r="AR352" s="1551"/>
      <c r="AS352" s="1554"/>
      <c r="AT352" s="1544"/>
      <c r="AU352" s="172" t="s">
        <v>699</v>
      </c>
      <c r="AV352" s="249">
        <v>2900</v>
      </c>
      <c r="AW352" s="250">
        <v>3300</v>
      </c>
      <c r="AX352" s="267">
        <v>2000</v>
      </c>
      <c r="AY352" s="252">
        <v>2000</v>
      </c>
      <c r="BA352" s="235" t="s">
        <v>679</v>
      </c>
      <c r="BC352" s="1557"/>
      <c r="BE352" s="187"/>
      <c r="BF352" s="176"/>
      <c r="BG352" s="176"/>
      <c r="BH352" s="177"/>
      <c r="BJ352" s="253"/>
      <c r="BL352" s="193"/>
      <c r="BM352" s="194"/>
      <c r="BN352" s="194"/>
      <c r="BO352" s="195"/>
      <c r="BQ352" s="187">
        <v>840</v>
      </c>
      <c r="BR352" s="185" t="s">
        <v>199</v>
      </c>
      <c r="BS352" s="185">
        <v>8</v>
      </c>
      <c r="BT352" s="254" t="s">
        <v>184</v>
      </c>
      <c r="BV352" s="187">
        <v>2910</v>
      </c>
      <c r="BW352" s="185" t="s">
        <v>189</v>
      </c>
      <c r="BX352" s="185">
        <v>20</v>
      </c>
      <c r="BY352" s="185" t="s">
        <v>184</v>
      </c>
      <c r="BZ352" s="254" t="s">
        <v>190</v>
      </c>
      <c r="CB352" s="187">
        <v>1840</v>
      </c>
      <c r="CC352" s="185" t="s">
        <v>189</v>
      </c>
      <c r="CD352" s="185">
        <v>10</v>
      </c>
      <c r="CE352" s="185" t="s">
        <v>184</v>
      </c>
      <c r="CF352" s="254" t="s">
        <v>190</v>
      </c>
      <c r="CH352" s="253"/>
    </row>
    <row r="353" spans="1:86">
      <c r="A353" s="1563"/>
      <c r="B353" s="168"/>
      <c r="C353" s="241" t="s">
        <v>319</v>
      </c>
      <c r="D353" s="177" t="s">
        <v>320</v>
      </c>
      <c r="F353" s="242">
        <v>98370</v>
      </c>
      <c r="G353" s="243">
        <v>171350</v>
      </c>
      <c r="H353" s="242">
        <v>95080</v>
      </c>
      <c r="I353" s="243">
        <v>168060</v>
      </c>
      <c r="J353" s="179" t="s">
        <v>182</v>
      </c>
      <c r="K353" s="244">
        <v>870</v>
      </c>
      <c r="L353" s="245">
        <v>1600</v>
      </c>
      <c r="M353" s="246" t="s">
        <v>795</v>
      </c>
      <c r="N353" s="244">
        <v>830</v>
      </c>
      <c r="O353" s="245">
        <v>1560</v>
      </c>
      <c r="P353" s="246" t="s">
        <v>795</v>
      </c>
      <c r="R353" s="182"/>
      <c r="S353" s="176"/>
      <c r="T353" s="177"/>
      <c r="V353" s="182"/>
      <c r="W353" s="185"/>
      <c r="X353" s="176"/>
      <c r="Y353" s="185"/>
      <c r="Z353" s="176"/>
      <c r="AA353" s="176"/>
      <c r="AB353" s="177"/>
      <c r="AD353" s="281"/>
      <c r="AE353" s="281"/>
      <c r="AF353" s="176"/>
      <c r="AG353" s="176"/>
      <c r="AH353" s="177"/>
      <c r="AJ353" s="187">
        <v>1660</v>
      </c>
      <c r="AK353" s="185" t="s">
        <v>321</v>
      </c>
      <c r="AL353" s="176"/>
      <c r="AM353" s="176"/>
      <c r="AN353" s="177"/>
      <c r="AP353" s="1551"/>
      <c r="AQ353" s="1554"/>
      <c r="AR353" s="1551"/>
      <c r="AS353" s="1554"/>
      <c r="AT353" s="1544"/>
      <c r="AU353" s="172" t="s">
        <v>700</v>
      </c>
      <c r="AV353" s="249">
        <v>2500</v>
      </c>
      <c r="AW353" s="250">
        <v>2800</v>
      </c>
      <c r="AX353" s="267">
        <v>1800</v>
      </c>
      <c r="AY353" s="252">
        <v>1800</v>
      </c>
      <c r="BA353" s="235">
        <v>2360</v>
      </c>
      <c r="BC353" s="359"/>
      <c r="BE353" s="187"/>
      <c r="BF353" s="176"/>
      <c r="BG353" s="176"/>
      <c r="BH353" s="177"/>
      <c r="BJ353" s="253"/>
      <c r="BL353" s="193">
        <v>0.02</v>
      </c>
      <c r="BM353" s="194">
        <v>0.03</v>
      </c>
      <c r="BN353" s="194">
        <v>0.05</v>
      </c>
      <c r="BO353" s="195">
        <v>0.06</v>
      </c>
      <c r="BQ353" s="187"/>
      <c r="BR353" s="185"/>
      <c r="BS353" s="185"/>
      <c r="BT353" s="254"/>
      <c r="BV353" s="187"/>
      <c r="BW353" s="185"/>
      <c r="BX353" s="185"/>
      <c r="BY353" s="185"/>
      <c r="BZ353" s="254"/>
      <c r="CB353" s="187"/>
      <c r="CC353" s="185"/>
      <c r="CD353" s="185"/>
      <c r="CE353" s="185"/>
      <c r="CF353" s="254"/>
      <c r="CH353" s="253">
        <v>0.98</v>
      </c>
    </row>
    <row r="354" spans="1:86">
      <c r="A354" s="1563"/>
      <c r="B354" s="168"/>
      <c r="C354" s="241"/>
      <c r="D354" s="177" t="s">
        <v>322</v>
      </c>
      <c r="F354" s="256">
        <v>171350</v>
      </c>
      <c r="G354" s="257"/>
      <c r="H354" s="256">
        <v>168060</v>
      </c>
      <c r="I354" s="257"/>
      <c r="J354" s="179" t="s">
        <v>182</v>
      </c>
      <c r="K354" s="258">
        <v>1600</v>
      </c>
      <c r="L354" s="259"/>
      <c r="M354" s="260" t="s">
        <v>795</v>
      </c>
      <c r="N354" s="258">
        <v>1560</v>
      </c>
      <c r="O354" s="259"/>
      <c r="P354" s="260" t="s">
        <v>795</v>
      </c>
      <c r="R354" s="182"/>
      <c r="S354" s="176"/>
      <c r="T354" s="177"/>
      <c r="V354" s="182"/>
      <c r="W354" s="185"/>
      <c r="X354" s="176"/>
      <c r="Y354" s="185"/>
      <c r="Z354" s="176"/>
      <c r="AA354" s="176"/>
      <c r="AB354" s="177"/>
      <c r="AD354" s="281"/>
      <c r="AE354" s="281"/>
      <c r="AF354" s="176"/>
      <c r="AG354" s="176"/>
      <c r="AH354" s="177"/>
      <c r="AJ354" s="187"/>
      <c r="AK354" s="185"/>
      <c r="AL354" s="176"/>
      <c r="AM354" s="176"/>
      <c r="AN354" s="177"/>
      <c r="AP354" s="1552"/>
      <c r="AQ354" s="1555"/>
      <c r="AR354" s="1552"/>
      <c r="AS354" s="1555"/>
      <c r="AT354" s="1544"/>
      <c r="AU354" s="262" t="s">
        <v>701</v>
      </c>
      <c r="AV354" s="263">
        <v>2300</v>
      </c>
      <c r="AW354" s="264">
        <v>2500</v>
      </c>
      <c r="AX354" s="265">
        <v>1600</v>
      </c>
      <c r="AY354" s="266">
        <v>1600</v>
      </c>
      <c r="BA354" s="235"/>
      <c r="BC354" s="359"/>
      <c r="BE354" s="187"/>
      <c r="BF354" s="176"/>
      <c r="BG354" s="176"/>
      <c r="BH354" s="177"/>
      <c r="BJ354" s="253"/>
      <c r="BL354" s="193"/>
      <c r="BM354" s="194"/>
      <c r="BN354" s="194"/>
      <c r="BO354" s="195"/>
      <c r="BQ354" s="187"/>
      <c r="BR354" s="185"/>
      <c r="BS354" s="185"/>
      <c r="BT354" s="254"/>
      <c r="BV354" s="187"/>
      <c r="BW354" s="185"/>
      <c r="BX354" s="185"/>
      <c r="BY354" s="185"/>
      <c r="BZ354" s="254"/>
      <c r="CB354" s="187"/>
      <c r="CC354" s="185"/>
      <c r="CD354" s="185"/>
      <c r="CE354" s="185"/>
      <c r="CF354" s="254"/>
      <c r="CH354" s="253"/>
    </row>
    <row r="355" spans="1:86" ht="63">
      <c r="A355" s="1563"/>
      <c r="B355" s="215" t="s">
        <v>342</v>
      </c>
      <c r="C355" s="216" t="s">
        <v>313</v>
      </c>
      <c r="D355" s="217" t="s">
        <v>314</v>
      </c>
      <c r="F355" s="218">
        <v>31690</v>
      </c>
      <c r="G355" s="219">
        <v>38980</v>
      </c>
      <c r="H355" s="218">
        <v>28610</v>
      </c>
      <c r="I355" s="219">
        <v>35900</v>
      </c>
      <c r="J355" s="179" t="s">
        <v>182</v>
      </c>
      <c r="K355" s="220">
        <v>290</v>
      </c>
      <c r="L355" s="221">
        <v>360</v>
      </c>
      <c r="M355" s="222" t="s">
        <v>795</v>
      </c>
      <c r="N355" s="220">
        <v>260</v>
      </c>
      <c r="O355" s="221">
        <v>330</v>
      </c>
      <c r="P355" s="222" t="s">
        <v>795</v>
      </c>
      <c r="Q355" s="160" t="s">
        <v>182</v>
      </c>
      <c r="R355" s="223">
        <v>7290</v>
      </c>
      <c r="S355" s="224">
        <v>70</v>
      </c>
      <c r="T355" s="225" t="s">
        <v>184</v>
      </c>
      <c r="V355" s="182"/>
      <c r="W355" s="185"/>
      <c r="X355" s="176"/>
      <c r="Y355" s="185"/>
      <c r="Z355" s="176"/>
      <c r="AA355" s="176"/>
      <c r="AB355" s="177"/>
      <c r="AD355" s="281"/>
      <c r="AE355" s="281"/>
      <c r="AF355" s="176"/>
      <c r="AG355" s="176"/>
      <c r="AH355" s="177"/>
      <c r="AJ355" s="187" t="s">
        <v>223</v>
      </c>
      <c r="AK355" s="185"/>
      <c r="AL355" s="176" t="s">
        <v>182</v>
      </c>
      <c r="AM355" s="176">
        <v>10</v>
      </c>
      <c r="AN355" s="177" t="s">
        <v>316</v>
      </c>
      <c r="AO355" s="160" t="s">
        <v>182</v>
      </c>
      <c r="AP355" s="1550">
        <v>2400</v>
      </c>
      <c r="AQ355" s="1553">
        <v>2700</v>
      </c>
      <c r="AR355" s="1550">
        <v>1700</v>
      </c>
      <c r="AS355" s="1553">
        <v>1700</v>
      </c>
      <c r="AT355" s="1544" t="s">
        <v>664</v>
      </c>
      <c r="AU355" s="230" t="s">
        <v>697</v>
      </c>
      <c r="AV355" s="231">
        <v>4800</v>
      </c>
      <c r="AW355" s="232">
        <v>5400</v>
      </c>
      <c r="AX355" s="267">
        <v>3400</v>
      </c>
      <c r="AY355" s="252">
        <v>3400</v>
      </c>
      <c r="BA355" s="235" t="s">
        <v>680</v>
      </c>
      <c r="BB355" s="160" t="s">
        <v>182</v>
      </c>
      <c r="BC355" s="1556">
        <v>4700</v>
      </c>
      <c r="BD355" s="160" t="s">
        <v>182</v>
      </c>
      <c r="BE355" s="228">
        <v>1340</v>
      </c>
      <c r="BF355" s="226" t="s">
        <v>182</v>
      </c>
      <c r="BG355" s="226">
        <v>10</v>
      </c>
      <c r="BH355" s="217" t="s">
        <v>184</v>
      </c>
      <c r="BJ355" s="253"/>
      <c r="BK355" s="160" t="s">
        <v>188</v>
      </c>
      <c r="BL355" s="237" t="s">
        <v>317</v>
      </c>
      <c r="BM355" s="238" t="s">
        <v>317</v>
      </c>
      <c r="BN355" s="238" t="s">
        <v>317</v>
      </c>
      <c r="BO355" s="239" t="s">
        <v>317</v>
      </c>
      <c r="BP355" s="160" t="s">
        <v>188</v>
      </c>
      <c r="BQ355" s="228"/>
      <c r="BR355" s="229"/>
      <c r="BS355" s="229"/>
      <c r="BT355" s="240"/>
      <c r="BU355" s="160" t="s">
        <v>188</v>
      </c>
      <c r="BV355" s="228"/>
      <c r="BW355" s="229"/>
      <c r="BX355" s="229"/>
      <c r="BY355" s="229"/>
      <c r="BZ355" s="240"/>
      <c r="CA355" s="160" t="s">
        <v>188</v>
      </c>
      <c r="CB355" s="228"/>
      <c r="CC355" s="229"/>
      <c r="CD355" s="229"/>
      <c r="CE355" s="229"/>
      <c r="CF355" s="240"/>
      <c r="CH355" s="236" t="s">
        <v>324</v>
      </c>
    </row>
    <row r="356" spans="1:86">
      <c r="A356" s="1563"/>
      <c r="B356" s="168"/>
      <c r="C356" s="241"/>
      <c r="D356" s="177" t="s">
        <v>318</v>
      </c>
      <c r="F356" s="242">
        <v>38980</v>
      </c>
      <c r="G356" s="243">
        <v>98330</v>
      </c>
      <c r="H356" s="242">
        <v>35900</v>
      </c>
      <c r="I356" s="243">
        <v>95250</v>
      </c>
      <c r="J356" s="179" t="s">
        <v>182</v>
      </c>
      <c r="K356" s="244">
        <v>360</v>
      </c>
      <c r="L356" s="245">
        <v>870</v>
      </c>
      <c r="M356" s="246" t="s">
        <v>795</v>
      </c>
      <c r="N356" s="244">
        <v>330</v>
      </c>
      <c r="O356" s="245">
        <v>840</v>
      </c>
      <c r="P356" s="246" t="s">
        <v>795</v>
      </c>
      <c r="Q356" s="160" t="s">
        <v>182</v>
      </c>
      <c r="R356" s="187">
        <v>7290</v>
      </c>
      <c r="S356" s="185">
        <v>70</v>
      </c>
      <c r="T356" s="247" t="s">
        <v>184</v>
      </c>
      <c r="V356" s="182"/>
      <c r="W356" s="185"/>
      <c r="X356" s="176"/>
      <c r="Y356" s="185"/>
      <c r="Z356" s="176"/>
      <c r="AA356" s="176"/>
      <c r="AB356" s="177"/>
      <c r="AD356" s="281"/>
      <c r="AE356" s="281"/>
      <c r="AF356" s="176"/>
      <c r="AG356" s="176"/>
      <c r="AH356" s="177"/>
      <c r="AJ356" s="187"/>
      <c r="AK356" s="185"/>
      <c r="AL356" s="176"/>
      <c r="AM356" s="176"/>
      <c r="AN356" s="177"/>
      <c r="AP356" s="1551"/>
      <c r="AQ356" s="1554"/>
      <c r="AR356" s="1551"/>
      <c r="AS356" s="1554"/>
      <c r="AT356" s="1544"/>
      <c r="AU356" s="172" t="s">
        <v>699</v>
      </c>
      <c r="AV356" s="249">
        <v>2600</v>
      </c>
      <c r="AW356" s="250">
        <v>2900</v>
      </c>
      <c r="AX356" s="267">
        <v>1800</v>
      </c>
      <c r="AY356" s="252">
        <v>1800</v>
      </c>
      <c r="BA356" s="235">
        <v>2150</v>
      </c>
      <c r="BC356" s="1557"/>
      <c r="BE356" s="187"/>
      <c r="BF356" s="176"/>
      <c r="BG356" s="176"/>
      <c r="BH356" s="177"/>
      <c r="BJ356" s="253"/>
      <c r="BL356" s="193"/>
      <c r="BM356" s="194"/>
      <c r="BN356" s="194"/>
      <c r="BO356" s="195"/>
      <c r="BQ356" s="187">
        <v>790</v>
      </c>
      <c r="BR356" s="185" t="s">
        <v>199</v>
      </c>
      <c r="BS356" s="185">
        <v>8</v>
      </c>
      <c r="BT356" s="254" t="s">
        <v>184</v>
      </c>
      <c r="BV356" s="187">
        <v>2730</v>
      </c>
      <c r="BW356" s="185" t="s">
        <v>189</v>
      </c>
      <c r="BX356" s="185">
        <v>20</v>
      </c>
      <c r="BY356" s="185" t="s">
        <v>184</v>
      </c>
      <c r="BZ356" s="254" t="s">
        <v>190</v>
      </c>
      <c r="CB356" s="187">
        <v>1720</v>
      </c>
      <c r="CC356" s="185" t="s">
        <v>189</v>
      </c>
      <c r="CD356" s="185">
        <v>10</v>
      </c>
      <c r="CE356" s="185" t="s">
        <v>184</v>
      </c>
      <c r="CF356" s="254" t="s">
        <v>190</v>
      </c>
      <c r="CH356" s="253"/>
    </row>
    <row r="357" spans="1:86">
      <c r="A357" s="1563"/>
      <c r="B357" s="168"/>
      <c r="C357" s="241" t="s">
        <v>319</v>
      </c>
      <c r="D357" s="177" t="s">
        <v>320</v>
      </c>
      <c r="F357" s="242">
        <v>98330</v>
      </c>
      <c r="G357" s="243">
        <v>171310</v>
      </c>
      <c r="H357" s="242">
        <v>95250</v>
      </c>
      <c r="I357" s="243">
        <v>168230</v>
      </c>
      <c r="J357" s="179" t="s">
        <v>182</v>
      </c>
      <c r="K357" s="244">
        <v>870</v>
      </c>
      <c r="L357" s="245">
        <v>1600</v>
      </c>
      <c r="M357" s="246" t="s">
        <v>795</v>
      </c>
      <c r="N357" s="244">
        <v>840</v>
      </c>
      <c r="O357" s="245">
        <v>1570</v>
      </c>
      <c r="P357" s="246" t="s">
        <v>795</v>
      </c>
      <c r="R357" s="182"/>
      <c r="S357" s="176"/>
      <c r="T357" s="177"/>
      <c r="V357" s="182"/>
      <c r="W357" s="185"/>
      <c r="X357" s="176"/>
      <c r="Y357" s="185"/>
      <c r="Z357" s="176"/>
      <c r="AA357" s="176"/>
      <c r="AB357" s="177"/>
      <c r="AD357" s="281"/>
      <c r="AE357" s="281"/>
      <c r="AF357" s="176"/>
      <c r="AG357" s="176"/>
      <c r="AH357" s="177"/>
      <c r="AJ357" s="187">
        <v>1500</v>
      </c>
      <c r="AK357" s="185" t="s">
        <v>321</v>
      </c>
      <c r="AL357" s="176"/>
      <c r="AM357" s="176"/>
      <c r="AN357" s="177"/>
      <c r="AP357" s="1551"/>
      <c r="AQ357" s="1554"/>
      <c r="AR357" s="1551"/>
      <c r="AS357" s="1554"/>
      <c r="AT357" s="1544"/>
      <c r="AU357" s="172" t="s">
        <v>700</v>
      </c>
      <c r="AV357" s="249">
        <v>2300</v>
      </c>
      <c r="AW357" s="250">
        <v>2500</v>
      </c>
      <c r="AX357" s="267">
        <v>1600</v>
      </c>
      <c r="AY357" s="252">
        <v>1600</v>
      </c>
      <c r="BA357" s="235"/>
      <c r="BC357" s="359"/>
      <c r="BE357" s="187"/>
      <c r="BF357" s="176"/>
      <c r="BG357" s="176"/>
      <c r="BH357" s="177"/>
      <c r="BJ357" s="253"/>
      <c r="BL357" s="193">
        <v>0.02</v>
      </c>
      <c r="BM357" s="194">
        <v>0.03</v>
      </c>
      <c r="BN357" s="194">
        <v>0.05</v>
      </c>
      <c r="BO357" s="195">
        <v>0.06</v>
      </c>
      <c r="BQ357" s="187"/>
      <c r="BR357" s="185"/>
      <c r="BS357" s="185"/>
      <c r="BT357" s="254"/>
      <c r="BV357" s="187"/>
      <c r="BW357" s="185"/>
      <c r="BX357" s="185"/>
      <c r="BY357" s="185"/>
      <c r="BZ357" s="254"/>
      <c r="CB357" s="187"/>
      <c r="CC357" s="185"/>
      <c r="CD357" s="185"/>
      <c r="CE357" s="185"/>
      <c r="CF357" s="254"/>
      <c r="CH357" s="253">
        <v>0.98</v>
      </c>
    </row>
    <row r="358" spans="1:86">
      <c r="A358" s="1563"/>
      <c r="B358" s="269"/>
      <c r="C358" s="270"/>
      <c r="D358" s="184" t="s">
        <v>322</v>
      </c>
      <c r="F358" s="256">
        <v>171310</v>
      </c>
      <c r="G358" s="257"/>
      <c r="H358" s="256">
        <v>168230</v>
      </c>
      <c r="I358" s="257"/>
      <c r="J358" s="179" t="s">
        <v>182</v>
      </c>
      <c r="K358" s="258">
        <v>1600</v>
      </c>
      <c r="L358" s="259"/>
      <c r="M358" s="260" t="s">
        <v>795</v>
      </c>
      <c r="N358" s="258">
        <v>1570</v>
      </c>
      <c r="O358" s="259"/>
      <c r="P358" s="260" t="s">
        <v>795</v>
      </c>
      <c r="R358" s="183"/>
      <c r="S358" s="271"/>
      <c r="T358" s="184"/>
      <c r="V358" s="182"/>
      <c r="W358" s="185"/>
      <c r="X358" s="176"/>
      <c r="Y358" s="185"/>
      <c r="Z358" s="176"/>
      <c r="AA358" s="176"/>
      <c r="AB358" s="177"/>
      <c r="AD358" s="281"/>
      <c r="AE358" s="281"/>
      <c r="AF358" s="176"/>
      <c r="AG358" s="176"/>
      <c r="AH358" s="177"/>
      <c r="AJ358" s="187"/>
      <c r="AK358" s="185"/>
      <c r="AL358" s="176"/>
      <c r="AM358" s="176"/>
      <c r="AN358" s="177"/>
      <c r="AP358" s="1552"/>
      <c r="AQ358" s="1555"/>
      <c r="AR358" s="1552"/>
      <c r="AS358" s="1555"/>
      <c r="AT358" s="1544"/>
      <c r="AU358" s="262" t="s">
        <v>701</v>
      </c>
      <c r="AV358" s="263">
        <v>2000</v>
      </c>
      <c r="AW358" s="264">
        <v>2300</v>
      </c>
      <c r="AX358" s="265">
        <v>1400</v>
      </c>
      <c r="AY358" s="266">
        <v>1400</v>
      </c>
      <c r="BA358" s="235"/>
      <c r="BC358" s="359"/>
      <c r="BE358" s="186"/>
      <c r="BF358" s="271"/>
      <c r="BG358" s="271"/>
      <c r="BH358" s="184"/>
      <c r="BJ358" s="253"/>
      <c r="BL358" s="272"/>
      <c r="BM358" s="273"/>
      <c r="BN358" s="273"/>
      <c r="BO358" s="274"/>
      <c r="BQ358" s="186"/>
      <c r="BR358" s="196"/>
      <c r="BS358" s="196"/>
      <c r="BT358" s="197"/>
      <c r="BV358" s="186"/>
      <c r="BW358" s="196"/>
      <c r="BX358" s="196"/>
      <c r="BY358" s="196"/>
      <c r="BZ358" s="197"/>
      <c r="CB358" s="186"/>
      <c r="CC358" s="196"/>
      <c r="CD358" s="196"/>
      <c r="CE358" s="196"/>
      <c r="CF358" s="197"/>
      <c r="CH358" s="198"/>
    </row>
    <row r="359" spans="1:86" ht="63">
      <c r="A359" s="1563"/>
      <c r="B359" s="168" t="s">
        <v>343</v>
      </c>
      <c r="C359" s="241" t="s">
        <v>313</v>
      </c>
      <c r="D359" s="177" t="s">
        <v>314</v>
      </c>
      <c r="F359" s="218">
        <v>30860</v>
      </c>
      <c r="G359" s="219">
        <v>38150</v>
      </c>
      <c r="H359" s="218">
        <v>27960</v>
      </c>
      <c r="I359" s="219">
        <v>35250</v>
      </c>
      <c r="J359" s="179" t="s">
        <v>182</v>
      </c>
      <c r="K359" s="220">
        <v>280</v>
      </c>
      <c r="L359" s="221">
        <v>350</v>
      </c>
      <c r="M359" s="222" t="s">
        <v>795</v>
      </c>
      <c r="N359" s="220">
        <v>260</v>
      </c>
      <c r="O359" s="221">
        <v>330</v>
      </c>
      <c r="P359" s="222" t="s">
        <v>795</v>
      </c>
      <c r="Q359" s="160" t="s">
        <v>182</v>
      </c>
      <c r="R359" s="275">
        <v>7290</v>
      </c>
      <c r="S359" s="276">
        <v>70</v>
      </c>
      <c r="T359" s="247" t="s">
        <v>184</v>
      </c>
      <c r="V359" s="182"/>
      <c r="W359" s="185"/>
      <c r="X359" s="176"/>
      <c r="Y359" s="185"/>
      <c r="Z359" s="176"/>
      <c r="AA359" s="176"/>
      <c r="AB359" s="177"/>
      <c r="AD359" s="281"/>
      <c r="AE359" s="281"/>
      <c r="AF359" s="176"/>
      <c r="AG359" s="176"/>
      <c r="AH359" s="177"/>
      <c r="AJ359" s="187" t="s">
        <v>225</v>
      </c>
      <c r="AK359" s="185"/>
      <c r="AL359" s="176" t="s">
        <v>182</v>
      </c>
      <c r="AM359" s="176">
        <v>10</v>
      </c>
      <c r="AN359" s="177" t="s">
        <v>316</v>
      </c>
      <c r="AO359" s="160" t="s">
        <v>182</v>
      </c>
      <c r="AP359" s="1550">
        <v>2600</v>
      </c>
      <c r="AQ359" s="1553">
        <v>2900</v>
      </c>
      <c r="AR359" s="1550">
        <v>1800</v>
      </c>
      <c r="AS359" s="1553">
        <v>1800</v>
      </c>
      <c r="AT359" s="1544" t="s">
        <v>664</v>
      </c>
      <c r="AU359" s="230" t="s">
        <v>697</v>
      </c>
      <c r="AV359" s="231">
        <v>5400</v>
      </c>
      <c r="AW359" s="232">
        <v>6000</v>
      </c>
      <c r="AX359" s="267">
        <v>3700</v>
      </c>
      <c r="AY359" s="252">
        <v>3700</v>
      </c>
      <c r="BA359" s="1545" t="s">
        <v>717</v>
      </c>
      <c r="BB359" s="160" t="s">
        <v>182</v>
      </c>
      <c r="BC359" s="1556">
        <v>4700</v>
      </c>
      <c r="BD359" s="160" t="s">
        <v>182</v>
      </c>
      <c r="BE359" s="187">
        <v>1260</v>
      </c>
      <c r="BF359" s="176" t="s">
        <v>182</v>
      </c>
      <c r="BG359" s="176">
        <v>10</v>
      </c>
      <c r="BH359" s="177" t="s">
        <v>184</v>
      </c>
      <c r="BJ359" s="253"/>
      <c r="BK359" s="160" t="s">
        <v>188</v>
      </c>
      <c r="BL359" s="193" t="s">
        <v>317</v>
      </c>
      <c r="BM359" s="194" t="s">
        <v>317</v>
      </c>
      <c r="BN359" s="194" t="s">
        <v>317</v>
      </c>
      <c r="BO359" s="195" t="s">
        <v>317</v>
      </c>
      <c r="BP359" s="160" t="s">
        <v>188</v>
      </c>
      <c r="BQ359" s="187"/>
      <c r="BR359" s="185"/>
      <c r="BS359" s="185"/>
      <c r="BT359" s="254"/>
      <c r="BU359" s="160" t="s">
        <v>188</v>
      </c>
      <c r="BV359" s="187"/>
      <c r="BW359" s="185"/>
      <c r="BX359" s="185"/>
      <c r="BY359" s="185"/>
      <c r="BZ359" s="254"/>
      <c r="CA359" s="160" t="s">
        <v>188</v>
      </c>
      <c r="CB359" s="187"/>
      <c r="CC359" s="185"/>
      <c r="CD359" s="185"/>
      <c r="CE359" s="185"/>
      <c r="CF359" s="254"/>
      <c r="CH359" s="253" t="s">
        <v>324</v>
      </c>
    </row>
    <row r="360" spans="1:86">
      <c r="A360" s="1563"/>
      <c r="B360" s="168"/>
      <c r="C360" s="241"/>
      <c r="D360" s="177" t="s">
        <v>318</v>
      </c>
      <c r="F360" s="242">
        <v>38150</v>
      </c>
      <c r="G360" s="243">
        <v>97500</v>
      </c>
      <c r="H360" s="242">
        <v>35250</v>
      </c>
      <c r="I360" s="243">
        <v>94600</v>
      </c>
      <c r="J360" s="179" t="s">
        <v>182</v>
      </c>
      <c r="K360" s="244">
        <v>350</v>
      </c>
      <c r="L360" s="245">
        <v>860</v>
      </c>
      <c r="M360" s="246" t="s">
        <v>795</v>
      </c>
      <c r="N360" s="244">
        <v>330</v>
      </c>
      <c r="O360" s="245">
        <v>830</v>
      </c>
      <c r="P360" s="246" t="s">
        <v>795</v>
      </c>
      <c r="Q360" s="160" t="s">
        <v>182</v>
      </c>
      <c r="R360" s="187">
        <v>7290</v>
      </c>
      <c r="S360" s="185">
        <v>70</v>
      </c>
      <c r="T360" s="247" t="s">
        <v>184</v>
      </c>
      <c r="V360" s="182"/>
      <c r="W360" s="185"/>
      <c r="X360" s="176"/>
      <c r="Y360" s="185"/>
      <c r="Z360" s="176"/>
      <c r="AA360" s="176"/>
      <c r="AB360" s="177"/>
      <c r="AD360" s="281"/>
      <c r="AE360" s="281"/>
      <c r="AF360" s="176"/>
      <c r="AG360" s="176"/>
      <c r="AH360" s="177"/>
      <c r="AJ360" s="187"/>
      <c r="AK360" s="185"/>
      <c r="AL360" s="176"/>
      <c r="AM360" s="176"/>
      <c r="AN360" s="177"/>
      <c r="AP360" s="1551"/>
      <c r="AQ360" s="1554"/>
      <c r="AR360" s="1551"/>
      <c r="AS360" s="1554"/>
      <c r="AT360" s="1544"/>
      <c r="AU360" s="172" t="s">
        <v>699</v>
      </c>
      <c r="AV360" s="249">
        <v>2900</v>
      </c>
      <c r="AW360" s="250">
        <v>3300</v>
      </c>
      <c r="AX360" s="267">
        <v>2000</v>
      </c>
      <c r="AY360" s="252">
        <v>2000</v>
      </c>
      <c r="BA360" s="1545"/>
      <c r="BC360" s="1557"/>
      <c r="BE360" s="187"/>
      <c r="BF360" s="176"/>
      <c r="BG360" s="176"/>
      <c r="BH360" s="177"/>
      <c r="BJ360" s="253"/>
      <c r="BL360" s="193"/>
      <c r="BM360" s="194"/>
      <c r="BN360" s="194"/>
      <c r="BO360" s="195"/>
      <c r="BQ360" s="187">
        <v>740</v>
      </c>
      <c r="BR360" s="185" t="s">
        <v>199</v>
      </c>
      <c r="BS360" s="185">
        <v>7</v>
      </c>
      <c r="BT360" s="254" t="s">
        <v>184</v>
      </c>
      <c r="BV360" s="187">
        <v>2570</v>
      </c>
      <c r="BW360" s="185" t="s">
        <v>189</v>
      </c>
      <c r="BX360" s="185">
        <v>20</v>
      </c>
      <c r="BY360" s="185" t="s">
        <v>184</v>
      </c>
      <c r="BZ360" s="254" t="s">
        <v>190</v>
      </c>
      <c r="CB360" s="187">
        <v>1620</v>
      </c>
      <c r="CC360" s="185" t="s">
        <v>189</v>
      </c>
      <c r="CD360" s="185">
        <v>10</v>
      </c>
      <c r="CE360" s="185" t="s">
        <v>184</v>
      </c>
      <c r="CF360" s="254" t="s">
        <v>190</v>
      </c>
      <c r="CH360" s="253"/>
    </row>
    <row r="361" spans="1:86">
      <c r="A361" s="1563"/>
      <c r="B361" s="168"/>
      <c r="C361" s="241" t="s">
        <v>319</v>
      </c>
      <c r="D361" s="177" t="s">
        <v>320</v>
      </c>
      <c r="F361" s="242">
        <v>97500</v>
      </c>
      <c r="G361" s="243">
        <v>170480</v>
      </c>
      <c r="H361" s="242">
        <v>94600</v>
      </c>
      <c r="I361" s="243">
        <v>167580</v>
      </c>
      <c r="J361" s="179" t="s">
        <v>182</v>
      </c>
      <c r="K361" s="244">
        <v>860</v>
      </c>
      <c r="L361" s="245">
        <v>1590</v>
      </c>
      <c r="M361" s="246" t="s">
        <v>795</v>
      </c>
      <c r="N361" s="244">
        <v>830</v>
      </c>
      <c r="O361" s="245">
        <v>1560</v>
      </c>
      <c r="P361" s="246" t="s">
        <v>795</v>
      </c>
      <c r="R361" s="182"/>
      <c r="S361" s="176"/>
      <c r="T361" s="177"/>
      <c r="V361" s="182"/>
      <c r="W361" s="185"/>
      <c r="X361" s="176"/>
      <c r="Y361" s="185"/>
      <c r="Z361" s="176"/>
      <c r="AA361" s="176"/>
      <c r="AB361" s="177"/>
      <c r="AD361" s="281"/>
      <c r="AE361" s="281"/>
      <c r="AF361" s="176"/>
      <c r="AG361" s="176"/>
      <c r="AH361" s="177"/>
      <c r="AJ361" s="187">
        <v>1360</v>
      </c>
      <c r="AK361" s="185" t="s">
        <v>321</v>
      </c>
      <c r="AL361" s="176"/>
      <c r="AM361" s="176"/>
      <c r="AN361" s="177"/>
      <c r="AP361" s="1551"/>
      <c r="AQ361" s="1554"/>
      <c r="AR361" s="1551"/>
      <c r="AS361" s="1554"/>
      <c r="AT361" s="1544"/>
      <c r="AU361" s="172" t="s">
        <v>700</v>
      </c>
      <c r="AV361" s="249">
        <v>2500</v>
      </c>
      <c r="AW361" s="250">
        <v>2800</v>
      </c>
      <c r="AX361" s="267">
        <v>1800</v>
      </c>
      <c r="AY361" s="252">
        <v>1800</v>
      </c>
      <c r="BA361" s="235"/>
      <c r="BC361" s="358"/>
      <c r="BE361" s="187"/>
      <c r="BF361" s="176"/>
      <c r="BG361" s="176"/>
      <c r="BH361" s="177"/>
      <c r="BJ361" s="253"/>
      <c r="BL361" s="193">
        <v>0.02</v>
      </c>
      <c r="BM361" s="194">
        <v>0.03</v>
      </c>
      <c r="BN361" s="194">
        <v>0.05</v>
      </c>
      <c r="BO361" s="195">
        <v>0.06</v>
      </c>
      <c r="BQ361" s="187"/>
      <c r="BR361" s="185"/>
      <c r="BS361" s="185"/>
      <c r="BT361" s="254"/>
      <c r="BV361" s="187"/>
      <c r="BW361" s="185"/>
      <c r="BX361" s="185"/>
      <c r="BY361" s="185"/>
      <c r="BZ361" s="254"/>
      <c r="CB361" s="187"/>
      <c r="CC361" s="185"/>
      <c r="CD361" s="185"/>
      <c r="CE361" s="185"/>
      <c r="CF361" s="254"/>
      <c r="CH361" s="253">
        <v>0.99</v>
      </c>
    </row>
    <row r="362" spans="1:86">
      <c r="A362" s="1563"/>
      <c r="B362" s="168"/>
      <c r="C362" s="241"/>
      <c r="D362" s="177" t="s">
        <v>322</v>
      </c>
      <c r="F362" s="256">
        <v>170480</v>
      </c>
      <c r="G362" s="257"/>
      <c r="H362" s="256">
        <v>167580</v>
      </c>
      <c r="I362" s="257"/>
      <c r="J362" s="179" t="s">
        <v>182</v>
      </c>
      <c r="K362" s="258">
        <v>1590</v>
      </c>
      <c r="L362" s="259"/>
      <c r="M362" s="260" t="s">
        <v>795</v>
      </c>
      <c r="N362" s="258">
        <v>1560</v>
      </c>
      <c r="O362" s="259"/>
      <c r="P362" s="260" t="s">
        <v>795</v>
      </c>
      <c r="R362" s="182"/>
      <c r="S362" s="176"/>
      <c r="T362" s="177"/>
      <c r="V362" s="182"/>
      <c r="W362" s="185"/>
      <c r="X362" s="176"/>
      <c r="Y362" s="185"/>
      <c r="Z362" s="176"/>
      <c r="AA362" s="176"/>
      <c r="AB362" s="177"/>
      <c r="AD362" s="281"/>
      <c r="AE362" s="281"/>
      <c r="AF362" s="176"/>
      <c r="AG362" s="176"/>
      <c r="AH362" s="177"/>
      <c r="AJ362" s="187"/>
      <c r="AK362" s="185"/>
      <c r="AL362" s="176"/>
      <c r="AM362" s="176"/>
      <c r="AN362" s="177"/>
      <c r="AP362" s="1552"/>
      <c r="AQ362" s="1555"/>
      <c r="AR362" s="1552"/>
      <c r="AS362" s="1555"/>
      <c r="AT362" s="1544"/>
      <c r="AU362" s="262" t="s">
        <v>701</v>
      </c>
      <c r="AV362" s="263">
        <v>2300</v>
      </c>
      <c r="AW362" s="264">
        <v>2500</v>
      </c>
      <c r="AX362" s="265">
        <v>1600</v>
      </c>
      <c r="AY362" s="266">
        <v>1600</v>
      </c>
      <c r="BA362" s="235"/>
      <c r="BC362" s="359"/>
      <c r="BE362" s="187"/>
      <c r="BF362" s="176"/>
      <c r="BG362" s="176"/>
      <c r="BH362" s="177"/>
      <c r="BJ362" s="253"/>
      <c r="BL362" s="193"/>
      <c r="BM362" s="194"/>
      <c r="BN362" s="194"/>
      <c r="BO362" s="195"/>
      <c r="BQ362" s="187"/>
      <c r="BR362" s="185"/>
      <c r="BS362" s="185"/>
      <c r="BT362" s="254"/>
      <c r="BV362" s="187"/>
      <c r="BW362" s="185"/>
      <c r="BX362" s="185"/>
      <c r="BY362" s="185"/>
      <c r="BZ362" s="254"/>
      <c r="CB362" s="187"/>
      <c r="CC362" s="185"/>
      <c r="CD362" s="185"/>
      <c r="CE362" s="185"/>
      <c r="CF362" s="254"/>
      <c r="CH362" s="253"/>
    </row>
    <row r="363" spans="1:86" ht="31.5">
      <c r="A363" s="1563"/>
      <c r="B363" s="215" t="s">
        <v>344</v>
      </c>
      <c r="C363" s="216" t="s">
        <v>313</v>
      </c>
      <c r="D363" s="217" t="s">
        <v>314</v>
      </c>
      <c r="F363" s="218">
        <v>30110</v>
      </c>
      <c r="G363" s="219">
        <v>37400</v>
      </c>
      <c r="H363" s="218">
        <v>27360</v>
      </c>
      <c r="I363" s="219">
        <v>34650</v>
      </c>
      <c r="J363" s="179" t="s">
        <v>182</v>
      </c>
      <c r="K363" s="220">
        <v>280</v>
      </c>
      <c r="L363" s="221">
        <v>350</v>
      </c>
      <c r="M363" s="222" t="s">
        <v>795</v>
      </c>
      <c r="N363" s="220">
        <v>250</v>
      </c>
      <c r="O363" s="221">
        <v>320</v>
      </c>
      <c r="P363" s="222" t="s">
        <v>795</v>
      </c>
      <c r="Q363" s="160" t="s">
        <v>182</v>
      </c>
      <c r="R363" s="223">
        <v>7290</v>
      </c>
      <c r="S363" s="224">
        <v>70</v>
      </c>
      <c r="T363" s="225" t="s">
        <v>184</v>
      </c>
      <c r="V363" s="182"/>
      <c r="W363" s="185"/>
      <c r="X363" s="176"/>
      <c r="Y363" s="185"/>
      <c r="Z363" s="176"/>
      <c r="AA363" s="176"/>
      <c r="AB363" s="177"/>
      <c r="AD363" s="281"/>
      <c r="AE363" s="281"/>
      <c r="AF363" s="176"/>
      <c r="AG363" s="176"/>
      <c r="AH363" s="177"/>
      <c r="AJ363" s="187"/>
      <c r="AK363" s="185"/>
      <c r="AL363" s="176"/>
      <c r="AM363" s="176"/>
      <c r="AN363" s="177"/>
      <c r="AO363" s="160" t="s">
        <v>182</v>
      </c>
      <c r="AP363" s="1550">
        <v>2500</v>
      </c>
      <c r="AQ363" s="1553">
        <v>2700</v>
      </c>
      <c r="AR363" s="1550">
        <v>1700</v>
      </c>
      <c r="AS363" s="1553">
        <v>1700</v>
      </c>
      <c r="AT363" s="1544" t="s">
        <v>664</v>
      </c>
      <c r="AU363" s="230" t="s">
        <v>697</v>
      </c>
      <c r="AV363" s="231">
        <v>4800</v>
      </c>
      <c r="AW363" s="232">
        <v>5400</v>
      </c>
      <c r="AX363" s="267">
        <v>3400</v>
      </c>
      <c r="AY363" s="252">
        <v>3400</v>
      </c>
      <c r="BA363" s="235"/>
      <c r="BB363" s="160" t="s">
        <v>182</v>
      </c>
      <c r="BC363" s="1556">
        <v>4700</v>
      </c>
      <c r="BD363" s="160" t="s">
        <v>182</v>
      </c>
      <c r="BE363" s="228">
        <v>1190</v>
      </c>
      <c r="BF363" s="226" t="s">
        <v>182</v>
      </c>
      <c r="BG363" s="226">
        <v>10</v>
      </c>
      <c r="BH363" s="217" t="s">
        <v>184</v>
      </c>
      <c r="BJ363" s="253"/>
      <c r="BK363" s="160" t="s">
        <v>188</v>
      </c>
      <c r="BL363" s="237" t="s">
        <v>317</v>
      </c>
      <c r="BM363" s="238" t="s">
        <v>317</v>
      </c>
      <c r="BN363" s="238" t="s">
        <v>317</v>
      </c>
      <c r="BO363" s="239" t="s">
        <v>317</v>
      </c>
      <c r="BP363" s="160" t="s">
        <v>188</v>
      </c>
      <c r="BQ363" s="228"/>
      <c r="BR363" s="229"/>
      <c r="BS363" s="229"/>
      <c r="BT363" s="240"/>
      <c r="BU363" s="160" t="s">
        <v>188</v>
      </c>
      <c r="BV363" s="228"/>
      <c r="BW363" s="229"/>
      <c r="BX363" s="229"/>
      <c r="BY363" s="229"/>
      <c r="BZ363" s="240"/>
      <c r="CA363" s="160" t="s">
        <v>188</v>
      </c>
      <c r="CB363" s="228"/>
      <c r="CC363" s="229"/>
      <c r="CD363" s="229"/>
      <c r="CE363" s="229"/>
      <c r="CF363" s="240"/>
      <c r="CH363" s="236" t="s">
        <v>324</v>
      </c>
    </row>
    <row r="364" spans="1:86">
      <c r="A364" s="1563"/>
      <c r="B364" s="168"/>
      <c r="C364" s="241"/>
      <c r="D364" s="177" t="s">
        <v>318</v>
      </c>
      <c r="F364" s="242">
        <v>37400</v>
      </c>
      <c r="G364" s="243">
        <v>96750</v>
      </c>
      <c r="H364" s="242">
        <v>34650</v>
      </c>
      <c r="I364" s="243">
        <v>94000</v>
      </c>
      <c r="J364" s="179" t="s">
        <v>182</v>
      </c>
      <c r="K364" s="244">
        <v>350</v>
      </c>
      <c r="L364" s="245">
        <v>850</v>
      </c>
      <c r="M364" s="246" t="s">
        <v>795</v>
      </c>
      <c r="N364" s="244">
        <v>320</v>
      </c>
      <c r="O364" s="245">
        <v>820</v>
      </c>
      <c r="P364" s="246" t="s">
        <v>795</v>
      </c>
      <c r="Q364" s="160" t="s">
        <v>182</v>
      </c>
      <c r="R364" s="187">
        <v>7290</v>
      </c>
      <c r="S364" s="185">
        <v>70</v>
      </c>
      <c r="T364" s="247" t="s">
        <v>184</v>
      </c>
      <c r="V364" s="182"/>
      <c r="W364" s="185"/>
      <c r="X364" s="176"/>
      <c r="Y364" s="185"/>
      <c r="Z364" s="176"/>
      <c r="AA364" s="176"/>
      <c r="AB364" s="177"/>
      <c r="AD364" s="281"/>
      <c r="AE364" s="281"/>
      <c r="AF364" s="176"/>
      <c r="AG364" s="176"/>
      <c r="AH364" s="177"/>
      <c r="AJ364" s="187"/>
      <c r="AK364" s="185"/>
      <c r="AL364" s="176"/>
      <c r="AM364" s="176"/>
      <c r="AN364" s="177"/>
      <c r="AP364" s="1551"/>
      <c r="AQ364" s="1554"/>
      <c r="AR364" s="1551"/>
      <c r="AS364" s="1554"/>
      <c r="AT364" s="1544"/>
      <c r="AU364" s="172" t="s">
        <v>699</v>
      </c>
      <c r="AV364" s="249">
        <v>2600</v>
      </c>
      <c r="AW364" s="250">
        <v>2900</v>
      </c>
      <c r="AX364" s="267">
        <v>1800</v>
      </c>
      <c r="AY364" s="252">
        <v>1800</v>
      </c>
      <c r="BA364" s="235"/>
      <c r="BC364" s="1557"/>
      <c r="BE364" s="187"/>
      <c r="BF364" s="176"/>
      <c r="BG364" s="176"/>
      <c r="BH364" s="177"/>
      <c r="BJ364" s="253"/>
      <c r="BL364" s="193"/>
      <c r="BM364" s="194"/>
      <c r="BN364" s="194"/>
      <c r="BO364" s="195"/>
      <c r="BQ364" s="187">
        <v>700</v>
      </c>
      <c r="BR364" s="185" t="s">
        <v>199</v>
      </c>
      <c r="BS364" s="185">
        <v>7</v>
      </c>
      <c r="BT364" s="254" t="s">
        <v>184</v>
      </c>
      <c r="BV364" s="187">
        <v>2430</v>
      </c>
      <c r="BW364" s="185" t="s">
        <v>189</v>
      </c>
      <c r="BX364" s="185">
        <v>20</v>
      </c>
      <c r="BY364" s="185" t="s">
        <v>184</v>
      </c>
      <c r="BZ364" s="254" t="s">
        <v>190</v>
      </c>
      <c r="CB364" s="187">
        <v>1530</v>
      </c>
      <c r="CC364" s="185" t="s">
        <v>189</v>
      </c>
      <c r="CD364" s="185">
        <v>10</v>
      </c>
      <c r="CE364" s="185" t="s">
        <v>184</v>
      </c>
      <c r="CF364" s="254" t="s">
        <v>190</v>
      </c>
      <c r="CH364" s="253"/>
    </row>
    <row r="365" spans="1:86">
      <c r="A365" s="1563"/>
      <c r="B365" s="168"/>
      <c r="C365" s="241" t="s">
        <v>319</v>
      </c>
      <c r="D365" s="177" t="s">
        <v>320</v>
      </c>
      <c r="F365" s="242">
        <v>96750</v>
      </c>
      <c r="G365" s="243">
        <v>169730</v>
      </c>
      <c r="H365" s="242">
        <v>94000</v>
      </c>
      <c r="I365" s="243">
        <v>166980</v>
      </c>
      <c r="J365" s="179" t="s">
        <v>182</v>
      </c>
      <c r="K365" s="244">
        <v>850</v>
      </c>
      <c r="L365" s="245">
        <v>1580</v>
      </c>
      <c r="M365" s="246" t="s">
        <v>795</v>
      </c>
      <c r="N365" s="244">
        <v>820</v>
      </c>
      <c r="O365" s="245">
        <v>1550</v>
      </c>
      <c r="P365" s="246" t="s">
        <v>795</v>
      </c>
      <c r="R365" s="182"/>
      <c r="S365" s="176"/>
      <c r="T365" s="177"/>
      <c r="V365" s="182"/>
      <c r="W365" s="185"/>
      <c r="X365" s="176"/>
      <c r="Y365" s="185"/>
      <c r="Z365" s="176"/>
      <c r="AA365" s="176"/>
      <c r="AB365" s="177"/>
      <c r="AD365" s="281"/>
      <c r="AE365" s="281"/>
      <c r="AF365" s="176"/>
      <c r="AG365" s="176"/>
      <c r="AH365" s="177"/>
      <c r="AJ365" s="187"/>
      <c r="AK365" s="185"/>
      <c r="AL365" s="176"/>
      <c r="AM365" s="176"/>
      <c r="AN365" s="177"/>
      <c r="AP365" s="1551"/>
      <c r="AQ365" s="1554"/>
      <c r="AR365" s="1551"/>
      <c r="AS365" s="1554"/>
      <c r="AT365" s="1544"/>
      <c r="AU365" s="172" t="s">
        <v>700</v>
      </c>
      <c r="AV365" s="249">
        <v>2300</v>
      </c>
      <c r="AW365" s="250">
        <v>2500</v>
      </c>
      <c r="AX365" s="267">
        <v>1600</v>
      </c>
      <c r="AY365" s="252">
        <v>1600</v>
      </c>
      <c r="BA365" s="235"/>
      <c r="BC365" s="359"/>
      <c r="BE365" s="187"/>
      <c r="BF365" s="176"/>
      <c r="BG365" s="176"/>
      <c r="BH365" s="177"/>
      <c r="BJ365" s="253"/>
      <c r="BL365" s="193">
        <v>0.02</v>
      </c>
      <c r="BM365" s="194">
        <v>0.03</v>
      </c>
      <c r="BN365" s="194">
        <v>0.05</v>
      </c>
      <c r="BO365" s="195">
        <v>0.06</v>
      </c>
      <c r="BQ365" s="187"/>
      <c r="BR365" s="185"/>
      <c r="BS365" s="185"/>
      <c r="BT365" s="254"/>
      <c r="BV365" s="187"/>
      <c r="BW365" s="185"/>
      <c r="BX365" s="185"/>
      <c r="BY365" s="185"/>
      <c r="BZ365" s="254"/>
      <c r="CB365" s="187"/>
      <c r="CC365" s="185"/>
      <c r="CD365" s="185"/>
      <c r="CE365" s="185"/>
      <c r="CF365" s="254"/>
      <c r="CH365" s="253">
        <v>0.99</v>
      </c>
    </row>
    <row r="366" spans="1:86">
      <c r="A366" s="1563"/>
      <c r="B366" s="269"/>
      <c r="C366" s="270"/>
      <c r="D366" s="184" t="s">
        <v>322</v>
      </c>
      <c r="F366" s="256">
        <v>169730</v>
      </c>
      <c r="G366" s="257"/>
      <c r="H366" s="256">
        <v>166980</v>
      </c>
      <c r="I366" s="257"/>
      <c r="J366" s="179" t="s">
        <v>182</v>
      </c>
      <c r="K366" s="258">
        <v>1580</v>
      </c>
      <c r="L366" s="259"/>
      <c r="M366" s="260" t="s">
        <v>795</v>
      </c>
      <c r="N366" s="258">
        <v>1550</v>
      </c>
      <c r="O366" s="259"/>
      <c r="P366" s="260" t="s">
        <v>795</v>
      </c>
      <c r="R366" s="183"/>
      <c r="S366" s="271"/>
      <c r="T366" s="184"/>
      <c r="V366" s="183"/>
      <c r="W366" s="196"/>
      <c r="X366" s="271"/>
      <c r="Y366" s="196"/>
      <c r="Z366" s="271"/>
      <c r="AA366" s="271"/>
      <c r="AB366" s="184"/>
      <c r="AD366" s="281"/>
      <c r="AE366" s="281"/>
      <c r="AF366" s="176"/>
      <c r="AG366" s="176"/>
      <c r="AH366" s="177"/>
      <c r="AJ366" s="186"/>
      <c r="AK366" s="196"/>
      <c r="AL366" s="271"/>
      <c r="AM366" s="271"/>
      <c r="AN366" s="184"/>
      <c r="AP366" s="1552"/>
      <c r="AQ366" s="1555"/>
      <c r="AR366" s="1552"/>
      <c r="AS366" s="1555"/>
      <c r="AT366" s="1544"/>
      <c r="AU366" s="262" t="s">
        <v>701</v>
      </c>
      <c r="AV366" s="263">
        <v>2000</v>
      </c>
      <c r="AW366" s="264">
        <v>2300</v>
      </c>
      <c r="AX366" s="283">
        <v>1400</v>
      </c>
      <c r="AY366" s="266">
        <v>1400</v>
      </c>
      <c r="BA366" s="282"/>
      <c r="BC366" s="359"/>
      <c r="BE366" s="186"/>
      <c r="BF366" s="271"/>
      <c r="BG366" s="271"/>
      <c r="BH366" s="184"/>
      <c r="BJ366" s="198"/>
      <c r="BL366" s="272"/>
      <c r="BM366" s="273"/>
      <c r="BN366" s="273"/>
      <c r="BO366" s="274"/>
      <c r="BQ366" s="186"/>
      <c r="BR366" s="196"/>
      <c r="BS366" s="196"/>
      <c r="BT366" s="197"/>
      <c r="BV366" s="186"/>
      <c r="BW366" s="196"/>
      <c r="BX366" s="196"/>
      <c r="BY366" s="196"/>
      <c r="BZ366" s="197"/>
      <c r="CB366" s="186"/>
      <c r="CC366" s="196"/>
      <c r="CD366" s="196"/>
      <c r="CE366" s="196"/>
      <c r="CF366" s="197"/>
      <c r="CH366" s="198"/>
    </row>
    <row r="367" spans="1:86" ht="63">
      <c r="A367" s="1563" t="s">
        <v>230</v>
      </c>
      <c r="B367" s="168" t="s">
        <v>345</v>
      </c>
      <c r="C367" s="241" t="s">
        <v>313</v>
      </c>
      <c r="D367" s="177" t="s">
        <v>314</v>
      </c>
      <c r="F367" s="218">
        <v>223400</v>
      </c>
      <c r="G367" s="219">
        <v>230460</v>
      </c>
      <c r="H367" s="218">
        <v>175480</v>
      </c>
      <c r="I367" s="219">
        <v>182540</v>
      </c>
      <c r="J367" s="179" t="s">
        <v>182</v>
      </c>
      <c r="K367" s="220">
        <v>2210</v>
      </c>
      <c r="L367" s="221">
        <v>2280</v>
      </c>
      <c r="M367" s="222" t="s">
        <v>795</v>
      </c>
      <c r="N367" s="220">
        <v>1730</v>
      </c>
      <c r="O367" s="221">
        <v>1800</v>
      </c>
      <c r="P367" s="222" t="s">
        <v>795</v>
      </c>
      <c r="Q367" s="160" t="s">
        <v>182</v>
      </c>
      <c r="R367" s="275">
        <v>7060</v>
      </c>
      <c r="S367" s="276">
        <v>70</v>
      </c>
      <c r="T367" s="247" t="s">
        <v>184</v>
      </c>
      <c r="U367" s="160" t="s">
        <v>182</v>
      </c>
      <c r="V367" s="1576" t="s">
        <v>315</v>
      </c>
      <c r="W367" s="1577"/>
      <c r="X367" s="226" t="s">
        <v>182</v>
      </c>
      <c r="Y367" s="1577" t="s">
        <v>315</v>
      </c>
      <c r="Z367" s="1577"/>
      <c r="AA367" s="226"/>
      <c r="AB367" s="217"/>
      <c r="AC367" s="160" t="s">
        <v>182</v>
      </c>
      <c r="AD367" s="1546">
        <v>54290</v>
      </c>
      <c r="AE367" s="227"/>
      <c r="AF367" s="226" t="s">
        <v>182</v>
      </c>
      <c r="AG367" s="226">
        <v>470</v>
      </c>
      <c r="AH367" s="217" t="s">
        <v>184</v>
      </c>
      <c r="AI367" s="160" t="s">
        <v>182</v>
      </c>
      <c r="AJ367" s="187" t="s">
        <v>186</v>
      </c>
      <c r="AK367" s="185"/>
      <c r="AL367" s="176" t="s">
        <v>182</v>
      </c>
      <c r="AM367" s="176">
        <v>290</v>
      </c>
      <c r="AN367" s="177" t="s">
        <v>316</v>
      </c>
      <c r="AO367" s="160" t="s">
        <v>182</v>
      </c>
      <c r="AP367" s="1550">
        <v>15800</v>
      </c>
      <c r="AQ367" s="1553">
        <v>17400</v>
      </c>
      <c r="AR367" s="1550">
        <v>11000</v>
      </c>
      <c r="AS367" s="1553">
        <v>11000</v>
      </c>
      <c r="AT367" s="1544" t="s">
        <v>664</v>
      </c>
      <c r="AU367" s="230" t="s">
        <v>697</v>
      </c>
      <c r="AV367" s="231">
        <v>31600</v>
      </c>
      <c r="AW367" s="232">
        <v>35200</v>
      </c>
      <c r="AX367" s="233">
        <v>22100</v>
      </c>
      <c r="AY367" s="234">
        <v>22100</v>
      </c>
      <c r="AZ367" s="160" t="s">
        <v>182</v>
      </c>
      <c r="BA367" s="235"/>
      <c r="BB367" s="160" t="s">
        <v>182</v>
      </c>
      <c r="BC367" s="1556">
        <v>4700</v>
      </c>
      <c r="BD367" s="160" t="s">
        <v>182</v>
      </c>
      <c r="BE367" s="187">
        <v>21290</v>
      </c>
      <c r="BF367" s="176" t="s">
        <v>182</v>
      </c>
      <c r="BG367" s="176">
        <v>210</v>
      </c>
      <c r="BH367" s="177" t="s">
        <v>184</v>
      </c>
      <c r="BI367" s="160" t="s">
        <v>188</v>
      </c>
      <c r="BJ367" s="253"/>
      <c r="BK367" s="160" t="s">
        <v>188</v>
      </c>
      <c r="BL367" s="193" t="s">
        <v>317</v>
      </c>
      <c r="BM367" s="194" t="s">
        <v>317</v>
      </c>
      <c r="BN367" s="194" t="s">
        <v>317</v>
      </c>
      <c r="BO367" s="195" t="s">
        <v>317</v>
      </c>
      <c r="BP367" s="160" t="s">
        <v>188</v>
      </c>
      <c r="BQ367" s="187"/>
      <c r="BR367" s="185"/>
      <c r="BS367" s="185"/>
      <c r="BT367" s="254"/>
      <c r="BU367" s="160" t="s">
        <v>188</v>
      </c>
      <c r="BV367" s="187"/>
      <c r="BW367" s="185"/>
      <c r="BX367" s="185"/>
      <c r="BY367" s="185"/>
      <c r="BZ367" s="254"/>
      <c r="CA367" s="160" t="s">
        <v>188</v>
      </c>
      <c r="CB367" s="187"/>
      <c r="CC367" s="185"/>
      <c r="CD367" s="185"/>
      <c r="CE367" s="185"/>
      <c r="CF367" s="254"/>
      <c r="CH367" s="253" t="s">
        <v>324</v>
      </c>
    </row>
    <row r="368" spans="1:86">
      <c r="A368" s="1563"/>
      <c r="B368" s="168"/>
      <c r="C368" s="241"/>
      <c r="D368" s="177" t="s">
        <v>318</v>
      </c>
      <c r="F368" s="242">
        <v>230460</v>
      </c>
      <c r="G368" s="243">
        <v>288150</v>
      </c>
      <c r="H368" s="242">
        <v>182540</v>
      </c>
      <c r="I368" s="243">
        <v>240230</v>
      </c>
      <c r="J368" s="179" t="s">
        <v>182</v>
      </c>
      <c r="K368" s="244">
        <v>2280</v>
      </c>
      <c r="L368" s="245">
        <v>2760</v>
      </c>
      <c r="M368" s="246" t="s">
        <v>795</v>
      </c>
      <c r="N368" s="244">
        <v>1800</v>
      </c>
      <c r="O368" s="245">
        <v>2280</v>
      </c>
      <c r="P368" s="246" t="s">
        <v>795</v>
      </c>
      <c r="Q368" s="160" t="s">
        <v>182</v>
      </c>
      <c r="R368" s="187">
        <v>7060</v>
      </c>
      <c r="S368" s="185">
        <v>70</v>
      </c>
      <c r="T368" s="247" t="s">
        <v>184</v>
      </c>
      <c r="V368" s="1578"/>
      <c r="W368" s="1579"/>
      <c r="X368" s="176"/>
      <c r="Y368" s="1579"/>
      <c r="Z368" s="1579"/>
      <c r="AA368" s="176"/>
      <c r="AB368" s="177"/>
      <c r="AD368" s="1547"/>
      <c r="AE368" s="248">
        <v>52560</v>
      </c>
      <c r="AF368" s="176"/>
      <c r="AG368" s="176"/>
      <c r="AH368" s="177"/>
      <c r="AJ368" s="187"/>
      <c r="AK368" s="185"/>
      <c r="AL368" s="176"/>
      <c r="AM368" s="176"/>
      <c r="AN368" s="177"/>
      <c r="AP368" s="1551"/>
      <c r="AQ368" s="1554"/>
      <c r="AR368" s="1551"/>
      <c r="AS368" s="1554"/>
      <c r="AT368" s="1544"/>
      <c r="AU368" s="172" t="s">
        <v>699</v>
      </c>
      <c r="AV368" s="249">
        <v>17400</v>
      </c>
      <c r="AW368" s="250">
        <v>19400</v>
      </c>
      <c r="AX368" s="251">
        <v>12200</v>
      </c>
      <c r="AY368" s="252">
        <v>12200</v>
      </c>
      <c r="BA368" s="235"/>
      <c r="BC368" s="1557"/>
      <c r="BE368" s="187"/>
      <c r="BF368" s="176"/>
      <c r="BG368" s="176"/>
      <c r="BH368" s="177"/>
      <c r="BJ368" s="253"/>
      <c r="BL368" s="193"/>
      <c r="BM368" s="194"/>
      <c r="BN368" s="194"/>
      <c r="BO368" s="195"/>
      <c r="BQ368" s="187">
        <v>12720</v>
      </c>
      <c r="BR368" s="185" t="s">
        <v>199</v>
      </c>
      <c r="BS368" s="185">
        <v>120</v>
      </c>
      <c r="BT368" s="254" t="s">
        <v>184</v>
      </c>
      <c r="BV368" s="187">
        <v>42360</v>
      </c>
      <c r="BW368" s="185" t="s">
        <v>189</v>
      </c>
      <c r="BX368" s="185">
        <v>420</v>
      </c>
      <c r="BY368" s="185" t="s">
        <v>184</v>
      </c>
      <c r="BZ368" s="254" t="s">
        <v>190</v>
      </c>
      <c r="CB368" s="187">
        <v>26230</v>
      </c>
      <c r="CC368" s="185" t="s">
        <v>189</v>
      </c>
      <c r="CD368" s="185">
        <v>260</v>
      </c>
      <c r="CE368" s="185" t="s">
        <v>184</v>
      </c>
      <c r="CF368" s="254" t="s">
        <v>190</v>
      </c>
      <c r="CH368" s="253"/>
    </row>
    <row r="369" spans="1:86">
      <c r="A369" s="1563"/>
      <c r="B369" s="168"/>
      <c r="C369" s="241" t="s">
        <v>319</v>
      </c>
      <c r="D369" s="177" t="s">
        <v>320</v>
      </c>
      <c r="F369" s="242">
        <v>288150</v>
      </c>
      <c r="G369" s="243">
        <v>358760</v>
      </c>
      <c r="H369" s="242">
        <v>240230</v>
      </c>
      <c r="I369" s="243">
        <v>310840</v>
      </c>
      <c r="J369" s="179" t="s">
        <v>182</v>
      </c>
      <c r="K369" s="244">
        <v>2760</v>
      </c>
      <c r="L369" s="245">
        <v>3470</v>
      </c>
      <c r="M369" s="246" t="s">
        <v>795</v>
      </c>
      <c r="N369" s="244">
        <v>2280</v>
      </c>
      <c r="O369" s="245">
        <v>2990</v>
      </c>
      <c r="P369" s="246" t="s">
        <v>795</v>
      </c>
      <c r="R369" s="182"/>
      <c r="S369" s="176"/>
      <c r="T369" s="177"/>
      <c r="V369" s="1578"/>
      <c r="W369" s="1579"/>
      <c r="X369" s="176"/>
      <c r="Y369" s="1579"/>
      <c r="Z369" s="1579"/>
      <c r="AA369" s="176"/>
      <c r="AB369" s="177"/>
      <c r="AC369" s="160" t="s">
        <v>182</v>
      </c>
      <c r="AD369" s="1548">
        <v>52560</v>
      </c>
      <c r="AE369" s="255"/>
      <c r="AF369" s="176"/>
      <c r="AG369" s="176"/>
      <c r="AH369" s="177"/>
      <c r="AJ369" s="187">
        <v>29040</v>
      </c>
      <c r="AK369" s="185" t="s">
        <v>321</v>
      </c>
      <c r="AL369" s="176"/>
      <c r="AM369" s="176"/>
      <c r="AN369" s="177"/>
      <c r="AP369" s="1551"/>
      <c r="AQ369" s="1554"/>
      <c r="AR369" s="1551"/>
      <c r="AS369" s="1554"/>
      <c r="AT369" s="1544"/>
      <c r="AU369" s="172" t="s">
        <v>700</v>
      </c>
      <c r="AV369" s="249">
        <v>15200</v>
      </c>
      <c r="AW369" s="250">
        <v>16900</v>
      </c>
      <c r="AX369" s="251">
        <v>10600</v>
      </c>
      <c r="AY369" s="252">
        <v>10600</v>
      </c>
      <c r="BA369" s="235"/>
      <c r="BC369" s="358"/>
      <c r="BE369" s="187"/>
      <c r="BF369" s="176"/>
      <c r="BG369" s="176"/>
      <c r="BH369" s="177"/>
      <c r="BJ369" s="253"/>
      <c r="BL369" s="193">
        <v>0.01</v>
      </c>
      <c r="BM369" s="194">
        <v>0.02</v>
      </c>
      <c r="BN369" s="194">
        <v>0.04</v>
      </c>
      <c r="BO369" s="195">
        <v>0.05</v>
      </c>
      <c r="BQ369" s="187"/>
      <c r="BR369" s="185"/>
      <c r="BS369" s="185"/>
      <c r="BT369" s="254"/>
      <c r="BV369" s="187"/>
      <c r="BW369" s="185"/>
      <c r="BX369" s="185"/>
      <c r="BY369" s="185"/>
      <c r="BZ369" s="254"/>
      <c r="CB369" s="187"/>
      <c r="CC369" s="185"/>
      <c r="CD369" s="185"/>
      <c r="CE369" s="185"/>
      <c r="CF369" s="254"/>
      <c r="CH369" s="253">
        <v>0.61</v>
      </c>
    </row>
    <row r="370" spans="1:86">
      <c r="A370" s="1563"/>
      <c r="B370" s="168"/>
      <c r="C370" s="241"/>
      <c r="D370" s="177" t="s">
        <v>322</v>
      </c>
      <c r="F370" s="256">
        <v>358760</v>
      </c>
      <c r="G370" s="257"/>
      <c r="H370" s="256">
        <v>310840</v>
      </c>
      <c r="I370" s="257"/>
      <c r="J370" s="179" t="s">
        <v>182</v>
      </c>
      <c r="K370" s="258">
        <v>3470</v>
      </c>
      <c r="L370" s="259"/>
      <c r="M370" s="260" t="s">
        <v>795</v>
      </c>
      <c r="N370" s="258">
        <v>2990</v>
      </c>
      <c r="O370" s="259"/>
      <c r="P370" s="260" t="s">
        <v>795</v>
      </c>
      <c r="R370" s="182"/>
      <c r="S370" s="176"/>
      <c r="T370" s="177"/>
      <c r="V370" s="1578"/>
      <c r="W370" s="1579"/>
      <c r="X370" s="176"/>
      <c r="Y370" s="1579"/>
      <c r="Z370" s="1579"/>
      <c r="AA370" s="176"/>
      <c r="AB370" s="177"/>
      <c r="AD370" s="1549"/>
      <c r="AE370" s="261"/>
      <c r="AF370" s="271"/>
      <c r="AG370" s="271"/>
      <c r="AH370" s="184"/>
      <c r="AJ370" s="187"/>
      <c r="AK370" s="185"/>
      <c r="AL370" s="176"/>
      <c r="AM370" s="176"/>
      <c r="AN370" s="177"/>
      <c r="AP370" s="1552"/>
      <c r="AQ370" s="1555"/>
      <c r="AR370" s="1552"/>
      <c r="AS370" s="1555"/>
      <c r="AT370" s="1544"/>
      <c r="AU370" s="262" t="s">
        <v>701</v>
      </c>
      <c r="AV370" s="263">
        <v>13600</v>
      </c>
      <c r="AW370" s="264">
        <v>15100</v>
      </c>
      <c r="AX370" s="265">
        <v>9500</v>
      </c>
      <c r="AY370" s="266">
        <v>9500</v>
      </c>
      <c r="BA370" s="235"/>
      <c r="BC370" s="359"/>
      <c r="BE370" s="187"/>
      <c r="BF370" s="176"/>
      <c r="BG370" s="176"/>
      <c r="BH370" s="177"/>
      <c r="BJ370" s="253"/>
      <c r="BL370" s="193"/>
      <c r="BM370" s="194"/>
      <c r="BN370" s="194"/>
      <c r="BO370" s="195"/>
      <c r="BQ370" s="187"/>
      <c r="BR370" s="185"/>
      <c r="BS370" s="185"/>
      <c r="BT370" s="254"/>
      <c r="BV370" s="187"/>
      <c r="BW370" s="185"/>
      <c r="BX370" s="185"/>
      <c r="BY370" s="185"/>
      <c r="BZ370" s="254"/>
      <c r="CB370" s="187"/>
      <c r="CC370" s="185"/>
      <c r="CD370" s="185"/>
      <c r="CE370" s="185"/>
      <c r="CF370" s="254"/>
      <c r="CH370" s="253"/>
    </row>
    <row r="371" spans="1:86" ht="63">
      <c r="A371" s="1563"/>
      <c r="B371" s="215" t="s">
        <v>323</v>
      </c>
      <c r="C371" s="216" t="s">
        <v>313</v>
      </c>
      <c r="D371" s="217" t="s">
        <v>314</v>
      </c>
      <c r="F371" s="218">
        <v>121230</v>
      </c>
      <c r="G371" s="219">
        <v>128290</v>
      </c>
      <c r="H371" s="218">
        <v>97270</v>
      </c>
      <c r="I371" s="219">
        <v>104330</v>
      </c>
      <c r="J371" s="179" t="s">
        <v>182</v>
      </c>
      <c r="K371" s="220">
        <v>1190</v>
      </c>
      <c r="L371" s="221">
        <v>1260</v>
      </c>
      <c r="M371" s="222" t="s">
        <v>795</v>
      </c>
      <c r="N371" s="220">
        <v>950</v>
      </c>
      <c r="O371" s="221">
        <v>1020</v>
      </c>
      <c r="P371" s="222" t="s">
        <v>795</v>
      </c>
      <c r="Q371" s="160" t="s">
        <v>182</v>
      </c>
      <c r="R371" s="223">
        <v>7060</v>
      </c>
      <c r="S371" s="224">
        <v>70</v>
      </c>
      <c r="T371" s="225" t="s">
        <v>184</v>
      </c>
      <c r="V371" s="1578"/>
      <c r="W371" s="1579"/>
      <c r="X371" s="176"/>
      <c r="Y371" s="1579"/>
      <c r="Z371" s="1579"/>
      <c r="AA371" s="176"/>
      <c r="AB371" s="177"/>
      <c r="AC371" s="160" t="s">
        <v>182</v>
      </c>
      <c r="AD371" s="1546">
        <v>30600</v>
      </c>
      <c r="AE371" s="227"/>
      <c r="AF371" s="176" t="s">
        <v>182</v>
      </c>
      <c r="AG371" s="176">
        <v>230</v>
      </c>
      <c r="AH371" s="177" t="s">
        <v>184</v>
      </c>
      <c r="AJ371" s="187" t="s">
        <v>194</v>
      </c>
      <c r="AK371" s="185"/>
      <c r="AL371" s="176" t="s">
        <v>182</v>
      </c>
      <c r="AM371" s="176">
        <v>170</v>
      </c>
      <c r="AN371" s="177" t="s">
        <v>316</v>
      </c>
      <c r="AO371" s="160" t="s">
        <v>182</v>
      </c>
      <c r="AP371" s="1550">
        <v>7900</v>
      </c>
      <c r="AQ371" s="1553">
        <v>8700</v>
      </c>
      <c r="AR371" s="1550">
        <v>5500</v>
      </c>
      <c r="AS371" s="1553">
        <v>5500</v>
      </c>
      <c r="AT371" s="1544" t="s">
        <v>664</v>
      </c>
      <c r="AU371" s="230" t="s">
        <v>697</v>
      </c>
      <c r="AV371" s="231">
        <v>15800</v>
      </c>
      <c r="AW371" s="232">
        <v>17600</v>
      </c>
      <c r="AX371" s="267">
        <v>11000</v>
      </c>
      <c r="AY371" s="252">
        <v>11000</v>
      </c>
      <c r="BA371" s="235"/>
      <c r="BB371" s="160" t="s">
        <v>182</v>
      </c>
      <c r="BC371" s="1556">
        <v>4700</v>
      </c>
      <c r="BD371" s="160" t="s">
        <v>182</v>
      </c>
      <c r="BE371" s="228">
        <v>10640</v>
      </c>
      <c r="BF371" s="226" t="s">
        <v>182</v>
      </c>
      <c r="BG371" s="226">
        <v>100</v>
      </c>
      <c r="BH371" s="217" t="s">
        <v>184</v>
      </c>
      <c r="BJ371" s="253"/>
      <c r="BK371" s="160" t="s">
        <v>188</v>
      </c>
      <c r="BL371" s="237" t="s">
        <v>317</v>
      </c>
      <c r="BM371" s="238" t="s">
        <v>317</v>
      </c>
      <c r="BN371" s="238" t="s">
        <v>317</v>
      </c>
      <c r="BO371" s="239" t="s">
        <v>317</v>
      </c>
      <c r="BP371" s="160" t="s">
        <v>188</v>
      </c>
      <c r="BQ371" s="228"/>
      <c r="BR371" s="229"/>
      <c r="BS371" s="229"/>
      <c r="BT371" s="240"/>
      <c r="BU371" s="160" t="s">
        <v>188</v>
      </c>
      <c r="BV371" s="228"/>
      <c r="BW371" s="229"/>
      <c r="BX371" s="229"/>
      <c r="BY371" s="229"/>
      <c r="BZ371" s="240"/>
      <c r="CA371" s="160" t="s">
        <v>188</v>
      </c>
      <c r="CB371" s="228"/>
      <c r="CC371" s="229"/>
      <c r="CD371" s="229"/>
      <c r="CE371" s="229"/>
      <c r="CF371" s="240"/>
      <c r="CH371" s="236" t="s">
        <v>324</v>
      </c>
    </row>
    <row r="372" spans="1:86">
      <c r="A372" s="1563"/>
      <c r="B372" s="168"/>
      <c r="C372" s="241"/>
      <c r="D372" s="177" t="s">
        <v>318</v>
      </c>
      <c r="F372" s="242">
        <v>128290</v>
      </c>
      <c r="G372" s="243">
        <v>185980</v>
      </c>
      <c r="H372" s="242">
        <v>104330</v>
      </c>
      <c r="I372" s="243">
        <v>162020</v>
      </c>
      <c r="J372" s="179" t="s">
        <v>182</v>
      </c>
      <c r="K372" s="244">
        <v>1260</v>
      </c>
      <c r="L372" s="245">
        <v>1740</v>
      </c>
      <c r="M372" s="246" t="s">
        <v>795</v>
      </c>
      <c r="N372" s="244">
        <v>1020</v>
      </c>
      <c r="O372" s="245">
        <v>1500</v>
      </c>
      <c r="P372" s="246" t="s">
        <v>795</v>
      </c>
      <c r="Q372" s="160" t="s">
        <v>182</v>
      </c>
      <c r="R372" s="187">
        <v>7060</v>
      </c>
      <c r="S372" s="185">
        <v>70</v>
      </c>
      <c r="T372" s="247" t="s">
        <v>184</v>
      </c>
      <c r="V372" s="1578"/>
      <c r="W372" s="1579"/>
      <c r="X372" s="176"/>
      <c r="Y372" s="1579"/>
      <c r="Z372" s="1579"/>
      <c r="AA372" s="176"/>
      <c r="AB372" s="177"/>
      <c r="AD372" s="1547"/>
      <c r="AE372" s="248">
        <v>28870</v>
      </c>
      <c r="AF372" s="176"/>
      <c r="AG372" s="176"/>
      <c r="AH372" s="177"/>
      <c r="AJ372" s="187"/>
      <c r="AK372" s="185"/>
      <c r="AL372" s="176"/>
      <c r="AM372" s="176"/>
      <c r="AN372" s="177"/>
      <c r="AP372" s="1551"/>
      <c r="AQ372" s="1554"/>
      <c r="AR372" s="1551"/>
      <c r="AS372" s="1554"/>
      <c r="AT372" s="1544"/>
      <c r="AU372" s="172" t="s">
        <v>699</v>
      </c>
      <c r="AV372" s="249">
        <v>8700</v>
      </c>
      <c r="AW372" s="250">
        <v>9700</v>
      </c>
      <c r="AX372" s="267">
        <v>6100</v>
      </c>
      <c r="AY372" s="252">
        <v>6100</v>
      </c>
      <c r="BA372" s="235"/>
      <c r="BC372" s="1557"/>
      <c r="BE372" s="187"/>
      <c r="BF372" s="176"/>
      <c r="BG372" s="176"/>
      <c r="BH372" s="177"/>
      <c r="BJ372" s="253"/>
      <c r="BL372" s="193"/>
      <c r="BM372" s="194"/>
      <c r="BN372" s="194"/>
      <c r="BO372" s="195"/>
      <c r="BQ372" s="187">
        <v>6360</v>
      </c>
      <c r="BR372" s="185" t="s">
        <v>199</v>
      </c>
      <c r="BS372" s="185">
        <v>60</v>
      </c>
      <c r="BT372" s="254" t="s">
        <v>184</v>
      </c>
      <c r="BV372" s="187">
        <v>21180</v>
      </c>
      <c r="BW372" s="185" t="s">
        <v>189</v>
      </c>
      <c r="BX372" s="185">
        <v>210</v>
      </c>
      <c r="BY372" s="185" t="s">
        <v>184</v>
      </c>
      <c r="BZ372" s="254" t="s">
        <v>190</v>
      </c>
      <c r="CB372" s="187">
        <v>13110</v>
      </c>
      <c r="CC372" s="185" t="s">
        <v>189</v>
      </c>
      <c r="CD372" s="185">
        <v>130</v>
      </c>
      <c r="CE372" s="185" t="s">
        <v>184</v>
      </c>
      <c r="CF372" s="254" t="s">
        <v>190</v>
      </c>
      <c r="CH372" s="253"/>
    </row>
    <row r="373" spans="1:86">
      <c r="A373" s="1563"/>
      <c r="B373" s="168"/>
      <c r="C373" s="241" t="s">
        <v>319</v>
      </c>
      <c r="D373" s="177" t="s">
        <v>320</v>
      </c>
      <c r="F373" s="242">
        <v>185980</v>
      </c>
      <c r="G373" s="243">
        <v>256590</v>
      </c>
      <c r="H373" s="242">
        <v>162020</v>
      </c>
      <c r="I373" s="243">
        <v>232630</v>
      </c>
      <c r="J373" s="179" t="s">
        <v>182</v>
      </c>
      <c r="K373" s="244">
        <v>1740</v>
      </c>
      <c r="L373" s="245">
        <v>2450</v>
      </c>
      <c r="M373" s="246" t="s">
        <v>795</v>
      </c>
      <c r="N373" s="244">
        <v>1500</v>
      </c>
      <c r="O373" s="245">
        <v>2210</v>
      </c>
      <c r="P373" s="246" t="s">
        <v>795</v>
      </c>
      <c r="R373" s="182"/>
      <c r="S373" s="176"/>
      <c r="T373" s="177"/>
      <c r="V373" s="1578"/>
      <c r="W373" s="1579"/>
      <c r="X373" s="176"/>
      <c r="Y373" s="1579"/>
      <c r="Z373" s="1579"/>
      <c r="AA373" s="176"/>
      <c r="AB373" s="177"/>
      <c r="AC373" s="160" t="s">
        <v>182</v>
      </c>
      <c r="AD373" s="1548">
        <v>28870</v>
      </c>
      <c r="AE373" s="255"/>
      <c r="AF373" s="176"/>
      <c r="AG373" s="176"/>
      <c r="AH373" s="177"/>
      <c r="AJ373" s="187">
        <v>17420</v>
      </c>
      <c r="AK373" s="185" t="s">
        <v>321</v>
      </c>
      <c r="AL373" s="176"/>
      <c r="AM373" s="176"/>
      <c r="AN373" s="177"/>
      <c r="AP373" s="1551"/>
      <c r="AQ373" s="1554"/>
      <c r="AR373" s="1551"/>
      <c r="AS373" s="1554"/>
      <c r="AT373" s="1544"/>
      <c r="AU373" s="172" t="s">
        <v>700</v>
      </c>
      <c r="AV373" s="249">
        <v>7600</v>
      </c>
      <c r="AW373" s="250">
        <v>8400</v>
      </c>
      <c r="AX373" s="267">
        <v>5300</v>
      </c>
      <c r="AY373" s="252">
        <v>5300</v>
      </c>
      <c r="BA373" s="268"/>
      <c r="BC373" s="359"/>
      <c r="BE373" s="187"/>
      <c r="BF373" s="176"/>
      <c r="BG373" s="176"/>
      <c r="BH373" s="177"/>
      <c r="BJ373" s="253"/>
      <c r="BL373" s="193">
        <v>0.01</v>
      </c>
      <c r="BM373" s="194">
        <v>0.03</v>
      </c>
      <c r="BN373" s="194">
        <v>0.04</v>
      </c>
      <c r="BO373" s="195">
        <v>0.05</v>
      </c>
      <c r="BQ373" s="187"/>
      <c r="BR373" s="185"/>
      <c r="BS373" s="185"/>
      <c r="BT373" s="254"/>
      <c r="BV373" s="187"/>
      <c r="BW373" s="185"/>
      <c r="BX373" s="185"/>
      <c r="BY373" s="185"/>
      <c r="BZ373" s="254"/>
      <c r="CB373" s="187"/>
      <c r="CC373" s="185"/>
      <c r="CD373" s="185"/>
      <c r="CE373" s="185"/>
      <c r="CF373" s="254"/>
      <c r="CH373" s="253">
        <v>0.79</v>
      </c>
    </row>
    <row r="374" spans="1:86">
      <c r="A374" s="1563"/>
      <c r="B374" s="269"/>
      <c r="C374" s="270"/>
      <c r="D374" s="184" t="s">
        <v>322</v>
      </c>
      <c r="F374" s="256">
        <v>256590</v>
      </c>
      <c r="G374" s="257"/>
      <c r="H374" s="256">
        <v>232630</v>
      </c>
      <c r="I374" s="257"/>
      <c r="J374" s="179" t="s">
        <v>182</v>
      </c>
      <c r="K374" s="258">
        <v>2450</v>
      </c>
      <c r="L374" s="259"/>
      <c r="M374" s="260" t="s">
        <v>795</v>
      </c>
      <c r="N374" s="258">
        <v>2210</v>
      </c>
      <c r="O374" s="259"/>
      <c r="P374" s="260" t="s">
        <v>795</v>
      </c>
      <c r="R374" s="183"/>
      <c r="S374" s="271"/>
      <c r="T374" s="184"/>
      <c r="V374" s="1578"/>
      <c r="W374" s="1579"/>
      <c r="X374" s="176"/>
      <c r="Y374" s="1579"/>
      <c r="Z374" s="1579"/>
      <c r="AA374" s="176"/>
      <c r="AB374" s="177"/>
      <c r="AD374" s="1549"/>
      <c r="AE374" s="261"/>
      <c r="AF374" s="176"/>
      <c r="AG374" s="176"/>
      <c r="AH374" s="177"/>
      <c r="AJ374" s="187"/>
      <c r="AK374" s="185"/>
      <c r="AL374" s="176"/>
      <c r="AM374" s="176"/>
      <c r="AN374" s="177"/>
      <c r="AP374" s="1552"/>
      <c r="AQ374" s="1555"/>
      <c r="AR374" s="1552"/>
      <c r="AS374" s="1555"/>
      <c r="AT374" s="1544"/>
      <c r="AU374" s="262" t="s">
        <v>701</v>
      </c>
      <c r="AV374" s="263">
        <v>6800</v>
      </c>
      <c r="AW374" s="264">
        <v>7500</v>
      </c>
      <c r="AX374" s="265">
        <v>4700</v>
      </c>
      <c r="AY374" s="266">
        <v>4700</v>
      </c>
      <c r="BA374" s="268"/>
      <c r="BC374" s="359"/>
      <c r="BE374" s="186"/>
      <c r="BF374" s="271"/>
      <c r="BG374" s="271"/>
      <c r="BH374" s="184"/>
      <c r="BJ374" s="253"/>
      <c r="BL374" s="272"/>
      <c r="BM374" s="273"/>
      <c r="BN374" s="273"/>
      <c r="BO374" s="274"/>
      <c r="BQ374" s="186"/>
      <c r="BR374" s="196"/>
      <c r="BS374" s="196"/>
      <c r="BT374" s="197"/>
      <c r="BV374" s="186"/>
      <c r="BW374" s="196"/>
      <c r="BX374" s="196"/>
      <c r="BY374" s="196"/>
      <c r="BZ374" s="197"/>
      <c r="CB374" s="186"/>
      <c r="CC374" s="196"/>
      <c r="CD374" s="196"/>
      <c r="CE374" s="196"/>
      <c r="CF374" s="197"/>
      <c r="CH374" s="198"/>
    </row>
    <row r="375" spans="1:86" ht="63">
      <c r="A375" s="1563"/>
      <c r="B375" s="168" t="s">
        <v>325</v>
      </c>
      <c r="C375" s="241" t="s">
        <v>313</v>
      </c>
      <c r="D375" s="177" t="s">
        <v>314</v>
      </c>
      <c r="F375" s="218">
        <v>87060</v>
      </c>
      <c r="G375" s="219">
        <v>94120</v>
      </c>
      <c r="H375" s="218">
        <v>71090</v>
      </c>
      <c r="I375" s="219">
        <v>78150</v>
      </c>
      <c r="J375" s="179" t="s">
        <v>182</v>
      </c>
      <c r="K375" s="220">
        <v>850</v>
      </c>
      <c r="L375" s="221">
        <v>920</v>
      </c>
      <c r="M375" s="222" t="s">
        <v>795</v>
      </c>
      <c r="N375" s="220">
        <v>690</v>
      </c>
      <c r="O375" s="221">
        <v>760</v>
      </c>
      <c r="P375" s="222" t="s">
        <v>795</v>
      </c>
      <c r="Q375" s="160" t="s">
        <v>182</v>
      </c>
      <c r="R375" s="275">
        <v>7060</v>
      </c>
      <c r="S375" s="276">
        <v>70</v>
      </c>
      <c r="T375" s="247" t="s">
        <v>184</v>
      </c>
      <c r="V375" s="1578"/>
      <c r="W375" s="1579"/>
      <c r="X375" s="176"/>
      <c r="Y375" s="1579"/>
      <c r="Z375" s="1579"/>
      <c r="AA375" s="176"/>
      <c r="AB375" s="177"/>
      <c r="AC375" s="160" t="s">
        <v>182</v>
      </c>
      <c r="AD375" s="1546">
        <v>22700</v>
      </c>
      <c r="AE375" s="227"/>
      <c r="AF375" s="226" t="s">
        <v>182</v>
      </c>
      <c r="AG375" s="226">
        <v>150</v>
      </c>
      <c r="AH375" s="217" t="s">
        <v>184</v>
      </c>
      <c r="AJ375" s="187" t="s">
        <v>196</v>
      </c>
      <c r="AK375" s="185"/>
      <c r="AL375" s="176" t="s">
        <v>182</v>
      </c>
      <c r="AM375" s="176">
        <v>120</v>
      </c>
      <c r="AN375" s="177" t="s">
        <v>316</v>
      </c>
      <c r="AO375" s="160" t="s">
        <v>182</v>
      </c>
      <c r="AP375" s="1550">
        <v>5500</v>
      </c>
      <c r="AQ375" s="1553">
        <v>6000</v>
      </c>
      <c r="AR375" s="1550">
        <v>3800</v>
      </c>
      <c r="AS375" s="1553">
        <v>3800</v>
      </c>
      <c r="AT375" s="1544" t="s">
        <v>664</v>
      </c>
      <c r="AU375" s="230" t="s">
        <v>697</v>
      </c>
      <c r="AV375" s="231">
        <v>10900</v>
      </c>
      <c r="AW375" s="232">
        <v>12200</v>
      </c>
      <c r="AX375" s="267">
        <v>7600</v>
      </c>
      <c r="AY375" s="252">
        <v>7600</v>
      </c>
      <c r="BA375" s="268"/>
      <c r="BB375" s="160" t="s">
        <v>182</v>
      </c>
      <c r="BC375" s="1556">
        <v>4700</v>
      </c>
      <c r="BD375" s="160" t="s">
        <v>182</v>
      </c>
      <c r="BE375" s="187">
        <v>7100</v>
      </c>
      <c r="BF375" s="176" t="s">
        <v>182</v>
      </c>
      <c r="BG375" s="176">
        <v>70</v>
      </c>
      <c r="BH375" s="177" t="s">
        <v>184</v>
      </c>
      <c r="BJ375" s="253"/>
      <c r="BK375" s="160" t="s">
        <v>188</v>
      </c>
      <c r="BL375" s="193" t="s">
        <v>317</v>
      </c>
      <c r="BM375" s="194" t="s">
        <v>317</v>
      </c>
      <c r="BN375" s="194" t="s">
        <v>317</v>
      </c>
      <c r="BO375" s="195" t="s">
        <v>317</v>
      </c>
      <c r="BP375" s="160" t="s">
        <v>188</v>
      </c>
      <c r="BQ375" s="187"/>
      <c r="BR375" s="185"/>
      <c r="BS375" s="185"/>
      <c r="BT375" s="254"/>
      <c r="BU375" s="160" t="s">
        <v>188</v>
      </c>
      <c r="BV375" s="187"/>
      <c r="BW375" s="185"/>
      <c r="BX375" s="185"/>
      <c r="BY375" s="185"/>
      <c r="BZ375" s="254"/>
      <c r="CA375" s="160" t="s">
        <v>188</v>
      </c>
      <c r="CB375" s="187"/>
      <c r="CC375" s="185"/>
      <c r="CD375" s="185"/>
      <c r="CE375" s="185"/>
      <c r="CF375" s="254"/>
      <c r="CH375" s="253" t="s">
        <v>324</v>
      </c>
    </row>
    <row r="376" spans="1:86">
      <c r="A376" s="1563"/>
      <c r="B376" s="168"/>
      <c r="C376" s="241"/>
      <c r="D376" s="177" t="s">
        <v>318</v>
      </c>
      <c r="F376" s="242">
        <v>94120</v>
      </c>
      <c r="G376" s="243">
        <v>151810</v>
      </c>
      <c r="H376" s="242">
        <v>78150</v>
      </c>
      <c r="I376" s="243">
        <v>135840</v>
      </c>
      <c r="J376" s="179" t="s">
        <v>182</v>
      </c>
      <c r="K376" s="244">
        <v>920</v>
      </c>
      <c r="L376" s="245">
        <v>1400</v>
      </c>
      <c r="M376" s="246" t="s">
        <v>795</v>
      </c>
      <c r="N376" s="244">
        <v>760</v>
      </c>
      <c r="O376" s="245">
        <v>1240</v>
      </c>
      <c r="P376" s="246" t="s">
        <v>795</v>
      </c>
      <c r="Q376" s="160" t="s">
        <v>182</v>
      </c>
      <c r="R376" s="187">
        <v>7060</v>
      </c>
      <c r="S376" s="185">
        <v>70</v>
      </c>
      <c r="T376" s="247" t="s">
        <v>184</v>
      </c>
      <c r="V376" s="1578"/>
      <c r="W376" s="1579"/>
      <c r="X376" s="176"/>
      <c r="Y376" s="1579"/>
      <c r="Z376" s="1579"/>
      <c r="AA376" s="176"/>
      <c r="AB376" s="177"/>
      <c r="AD376" s="1547"/>
      <c r="AE376" s="248">
        <v>20970</v>
      </c>
      <c r="AF376" s="176"/>
      <c r="AG376" s="176"/>
      <c r="AH376" s="177"/>
      <c r="AJ376" s="187"/>
      <c r="AK376" s="185"/>
      <c r="AL376" s="176"/>
      <c r="AM376" s="176"/>
      <c r="AN376" s="177"/>
      <c r="AP376" s="1551"/>
      <c r="AQ376" s="1554"/>
      <c r="AR376" s="1551"/>
      <c r="AS376" s="1554"/>
      <c r="AT376" s="1544"/>
      <c r="AU376" s="172" t="s">
        <v>699</v>
      </c>
      <c r="AV376" s="249">
        <v>6000</v>
      </c>
      <c r="AW376" s="250">
        <v>6700</v>
      </c>
      <c r="AX376" s="267">
        <v>4200</v>
      </c>
      <c r="AY376" s="252">
        <v>4200</v>
      </c>
      <c r="BA376" s="1545" t="s">
        <v>702</v>
      </c>
      <c r="BC376" s="1557"/>
      <c r="BE376" s="187"/>
      <c r="BF376" s="176"/>
      <c r="BG376" s="176"/>
      <c r="BH376" s="177"/>
      <c r="BJ376" s="253"/>
      <c r="BL376" s="193"/>
      <c r="BM376" s="194"/>
      <c r="BN376" s="194"/>
      <c r="BO376" s="195"/>
      <c r="BQ376" s="187">
        <v>4240</v>
      </c>
      <c r="BR376" s="185" t="s">
        <v>199</v>
      </c>
      <c r="BS376" s="185">
        <v>40</v>
      </c>
      <c r="BT376" s="254" t="s">
        <v>184</v>
      </c>
      <c r="BV376" s="187">
        <v>14120</v>
      </c>
      <c r="BW376" s="185" t="s">
        <v>189</v>
      </c>
      <c r="BX376" s="185">
        <v>140</v>
      </c>
      <c r="BY376" s="185" t="s">
        <v>184</v>
      </c>
      <c r="BZ376" s="254" t="s">
        <v>190</v>
      </c>
      <c r="CB376" s="187">
        <v>8740</v>
      </c>
      <c r="CC376" s="185" t="s">
        <v>189</v>
      </c>
      <c r="CD376" s="185">
        <v>80</v>
      </c>
      <c r="CE376" s="185" t="s">
        <v>184</v>
      </c>
      <c r="CF376" s="254" t="s">
        <v>190</v>
      </c>
      <c r="CH376" s="253"/>
    </row>
    <row r="377" spans="1:86">
      <c r="A377" s="1563"/>
      <c r="B377" s="168"/>
      <c r="C377" s="241" t="s">
        <v>319</v>
      </c>
      <c r="D377" s="177" t="s">
        <v>320</v>
      </c>
      <c r="F377" s="242">
        <v>151810</v>
      </c>
      <c r="G377" s="243">
        <v>222420</v>
      </c>
      <c r="H377" s="242">
        <v>135840</v>
      </c>
      <c r="I377" s="243">
        <v>206450</v>
      </c>
      <c r="J377" s="179" t="s">
        <v>182</v>
      </c>
      <c r="K377" s="244">
        <v>1400</v>
      </c>
      <c r="L377" s="245">
        <v>2110</v>
      </c>
      <c r="M377" s="246" t="s">
        <v>795</v>
      </c>
      <c r="N377" s="244">
        <v>1240</v>
      </c>
      <c r="O377" s="245">
        <v>1950</v>
      </c>
      <c r="P377" s="246" t="s">
        <v>795</v>
      </c>
      <c r="R377" s="182"/>
      <c r="S377" s="176"/>
      <c r="T377" s="177"/>
      <c r="V377" s="1578"/>
      <c r="W377" s="1579"/>
      <c r="X377" s="176"/>
      <c r="Y377" s="1579"/>
      <c r="Z377" s="1579"/>
      <c r="AA377" s="176"/>
      <c r="AB377" s="177"/>
      <c r="AC377" s="160" t="s">
        <v>182</v>
      </c>
      <c r="AD377" s="1548">
        <v>20970</v>
      </c>
      <c r="AE377" s="255"/>
      <c r="AF377" s="176"/>
      <c r="AG377" s="176">
        <v>0</v>
      </c>
      <c r="AH377" s="177"/>
      <c r="AJ377" s="187">
        <v>12440</v>
      </c>
      <c r="AK377" s="185" t="s">
        <v>321</v>
      </c>
      <c r="AL377" s="176"/>
      <c r="AM377" s="176"/>
      <c r="AN377" s="177"/>
      <c r="AP377" s="1551"/>
      <c r="AQ377" s="1554"/>
      <c r="AR377" s="1551"/>
      <c r="AS377" s="1554"/>
      <c r="AT377" s="1544"/>
      <c r="AU377" s="172" t="s">
        <v>700</v>
      </c>
      <c r="AV377" s="249">
        <v>5200</v>
      </c>
      <c r="AW377" s="250">
        <v>5800</v>
      </c>
      <c r="AX377" s="267">
        <v>3600</v>
      </c>
      <c r="AY377" s="252">
        <v>3600</v>
      </c>
      <c r="BA377" s="1545"/>
      <c r="BC377" s="359"/>
      <c r="BE377" s="187"/>
      <c r="BF377" s="176"/>
      <c r="BG377" s="176"/>
      <c r="BH377" s="177"/>
      <c r="BJ377" s="253"/>
      <c r="BL377" s="193">
        <v>0.01</v>
      </c>
      <c r="BM377" s="194">
        <v>0.03</v>
      </c>
      <c r="BN377" s="194">
        <v>0.04</v>
      </c>
      <c r="BO377" s="195">
        <v>0.05</v>
      </c>
      <c r="BQ377" s="187"/>
      <c r="BR377" s="185"/>
      <c r="BS377" s="185"/>
      <c r="BT377" s="254"/>
      <c r="BV377" s="187"/>
      <c r="BW377" s="185"/>
      <c r="BX377" s="185"/>
      <c r="BY377" s="185"/>
      <c r="BZ377" s="254"/>
      <c r="CB377" s="187"/>
      <c r="CC377" s="185"/>
      <c r="CD377" s="185"/>
      <c r="CE377" s="185"/>
      <c r="CF377" s="254"/>
      <c r="CH377" s="253">
        <v>0.87</v>
      </c>
    </row>
    <row r="378" spans="1:86">
      <c r="A378" s="1563"/>
      <c r="B378" s="168"/>
      <c r="C378" s="241"/>
      <c r="D378" s="177" t="s">
        <v>322</v>
      </c>
      <c r="F378" s="256">
        <v>222420</v>
      </c>
      <c r="G378" s="257"/>
      <c r="H378" s="256">
        <v>206450</v>
      </c>
      <c r="I378" s="257"/>
      <c r="J378" s="179" t="s">
        <v>182</v>
      </c>
      <c r="K378" s="258">
        <v>2110</v>
      </c>
      <c r="L378" s="259"/>
      <c r="M378" s="260" t="s">
        <v>795</v>
      </c>
      <c r="N378" s="258">
        <v>1950</v>
      </c>
      <c r="O378" s="259"/>
      <c r="P378" s="260" t="s">
        <v>795</v>
      </c>
      <c r="R378" s="182"/>
      <c r="S378" s="176"/>
      <c r="T378" s="177"/>
      <c r="V378" s="1578"/>
      <c r="W378" s="1579"/>
      <c r="X378" s="176"/>
      <c r="Y378" s="1579"/>
      <c r="Z378" s="1579"/>
      <c r="AA378" s="176"/>
      <c r="AB378" s="177"/>
      <c r="AD378" s="1549"/>
      <c r="AE378" s="261"/>
      <c r="AF378" s="271"/>
      <c r="AG378" s="271"/>
      <c r="AH378" s="184"/>
      <c r="AJ378" s="187"/>
      <c r="AK378" s="185"/>
      <c r="AL378" s="176"/>
      <c r="AM378" s="176"/>
      <c r="AN378" s="177"/>
      <c r="AP378" s="1552"/>
      <c r="AQ378" s="1555"/>
      <c r="AR378" s="1552"/>
      <c r="AS378" s="1555"/>
      <c r="AT378" s="1544"/>
      <c r="AU378" s="262" t="s">
        <v>701</v>
      </c>
      <c r="AV378" s="263">
        <v>4700</v>
      </c>
      <c r="AW378" s="264">
        <v>5200</v>
      </c>
      <c r="AX378" s="265">
        <v>3300</v>
      </c>
      <c r="AY378" s="266">
        <v>3300</v>
      </c>
      <c r="BA378" s="1545"/>
      <c r="BC378" s="359"/>
      <c r="BE378" s="187"/>
      <c r="BF378" s="176"/>
      <c r="BG378" s="176"/>
      <c r="BH378" s="177"/>
      <c r="BJ378" s="253"/>
      <c r="BL378" s="193"/>
      <c r="BM378" s="194"/>
      <c r="BN378" s="194"/>
      <c r="BO378" s="195"/>
      <c r="BQ378" s="187"/>
      <c r="BR378" s="185"/>
      <c r="BS378" s="185"/>
      <c r="BT378" s="254"/>
      <c r="BV378" s="187"/>
      <c r="BW378" s="185"/>
      <c r="BX378" s="185"/>
      <c r="BY378" s="185"/>
      <c r="BZ378" s="254"/>
      <c r="CB378" s="187"/>
      <c r="CC378" s="185"/>
      <c r="CD378" s="185"/>
      <c r="CE378" s="185"/>
      <c r="CF378" s="254"/>
      <c r="CH378" s="253"/>
    </row>
    <row r="379" spans="1:86" ht="63">
      <c r="A379" s="1563"/>
      <c r="B379" s="215" t="s">
        <v>326</v>
      </c>
      <c r="C379" s="216" t="s">
        <v>313</v>
      </c>
      <c r="D379" s="217" t="s">
        <v>314</v>
      </c>
      <c r="F379" s="218">
        <v>70160</v>
      </c>
      <c r="G379" s="219">
        <v>77220</v>
      </c>
      <c r="H379" s="218">
        <v>58180</v>
      </c>
      <c r="I379" s="219">
        <v>65240</v>
      </c>
      <c r="J379" s="179" t="s">
        <v>182</v>
      </c>
      <c r="K379" s="220">
        <v>680</v>
      </c>
      <c r="L379" s="221">
        <v>750</v>
      </c>
      <c r="M379" s="222" t="s">
        <v>795</v>
      </c>
      <c r="N379" s="220">
        <v>560</v>
      </c>
      <c r="O379" s="221">
        <v>630</v>
      </c>
      <c r="P379" s="222" t="s">
        <v>795</v>
      </c>
      <c r="Q379" s="160" t="s">
        <v>182</v>
      </c>
      <c r="R379" s="223">
        <v>7060</v>
      </c>
      <c r="S379" s="224">
        <v>70</v>
      </c>
      <c r="T379" s="225" t="s">
        <v>184</v>
      </c>
      <c r="V379" s="1578"/>
      <c r="W379" s="1579"/>
      <c r="X379" s="176"/>
      <c r="Y379" s="1579"/>
      <c r="Z379" s="1579"/>
      <c r="AA379" s="176"/>
      <c r="AB379" s="177"/>
      <c r="AC379" s="160" t="s">
        <v>182</v>
      </c>
      <c r="AD379" s="1546">
        <v>18750</v>
      </c>
      <c r="AE379" s="227"/>
      <c r="AF379" s="176" t="s">
        <v>182</v>
      </c>
      <c r="AG379" s="176">
        <v>110</v>
      </c>
      <c r="AH379" s="177" t="s">
        <v>184</v>
      </c>
      <c r="AJ379" s="187" t="s">
        <v>198</v>
      </c>
      <c r="AK379" s="185"/>
      <c r="AL379" s="176" t="s">
        <v>182</v>
      </c>
      <c r="AM379" s="176">
        <v>90</v>
      </c>
      <c r="AN379" s="177" t="s">
        <v>316</v>
      </c>
      <c r="AO379" s="160" t="s">
        <v>182</v>
      </c>
      <c r="AP379" s="1550">
        <v>4800</v>
      </c>
      <c r="AQ379" s="1553">
        <v>5300</v>
      </c>
      <c r="AR379" s="1550">
        <v>3300</v>
      </c>
      <c r="AS379" s="1553">
        <v>3300</v>
      </c>
      <c r="AT379" s="1544" t="s">
        <v>664</v>
      </c>
      <c r="AU379" s="230" t="s">
        <v>697</v>
      </c>
      <c r="AV379" s="231">
        <v>9800</v>
      </c>
      <c r="AW379" s="232">
        <v>10900</v>
      </c>
      <c r="AX379" s="267">
        <v>6800</v>
      </c>
      <c r="AY379" s="252">
        <v>6800</v>
      </c>
      <c r="BA379" s="235" t="s">
        <v>662</v>
      </c>
      <c r="BB379" s="160" t="s">
        <v>182</v>
      </c>
      <c r="BC379" s="1556">
        <v>4700</v>
      </c>
      <c r="BD379" s="160" t="s">
        <v>182</v>
      </c>
      <c r="BE379" s="228">
        <v>5320</v>
      </c>
      <c r="BF379" s="226" t="s">
        <v>182</v>
      </c>
      <c r="BG379" s="226">
        <v>50</v>
      </c>
      <c r="BH379" s="217" t="s">
        <v>184</v>
      </c>
      <c r="BJ379" s="253"/>
      <c r="BK379" s="160" t="s">
        <v>188</v>
      </c>
      <c r="BL379" s="237" t="s">
        <v>317</v>
      </c>
      <c r="BM379" s="238" t="s">
        <v>317</v>
      </c>
      <c r="BN379" s="238" t="s">
        <v>317</v>
      </c>
      <c r="BO379" s="239" t="s">
        <v>317</v>
      </c>
      <c r="BP379" s="160" t="s">
        <v>188</v>
      </c>
      <c r="BQ379" s="228"/>
      <c r="BR379" s="229"/>
      <c r="BS379" s="229"/>
      <c r="BT379" s="240"/>
      <c r="BU379" s="160" t="s">
        <v>188</v>
      </c>
      <c r="BV379" s="228"/>
      <c r="BW379" s="229"/>
      <c r="BX379" s="229"/>
      <c r="BY379" s="229"/>
      <c r="BZ379" s="240"/>
      <c r="CA379" s="160" t="s">
        <v>188</v>
      </c>
      <c r="CB379" s="228"/>
      <c r="CC379" s="229"/>
      <c r="CD379" s="229"/>
      <c r="CE379" s="229"/>
      <c r="CF379" s="240"/>
      <c r="CH379" s="236" t="s">
        <v>324</v>
      </c>
    </row>
    <row r="380" spans="1:86">
      <c r="A380" s="1563"/>
      <c r="B380" s="168"/>
      <c r="C380" s="241"/>
      <c r="D380" s="177" t="s">
        <v>318</v>
      </c>
      <c r="F380" s="242">
        <v>77220</v>
      </c>
      <c r="G380" s="243">
        <v>134910</v>
      </c>
      <c r="H380" s="242">
        <v>65240</v>
      </c>
      <c r="I380" s="243">
        <v>122930</v>
      </c>
      <c r="J380" s="179" t="s">
        <v>182</v>
      </c>
      <c r="K380" s="244">
        <v>750</v>
      </c>
      <c r="L380" s="245">
        <v>1230</v>
      </c>
      <c r="M380" s="246" t="s">
        <v>795</v>
      </c>
      <c r="N380" s="244">
        <v>630</v>
      </c>
      <c r="O380" s="245">
        <v>1110</v>
      </c>
      <c r="P380" s="246" t="s">
        <v>795</v>
      </c>
      <c r="Q380" s="160" t="s">
        <v>182</v>
      </c>
      <c r="R380" s="187">
        <v>7060</v>
      </c>
      <c r="S380" s="185">
        <v>70</v>
      </c>
      <c r="T380" s="247" t="s">
        <v>184</v>
      </c>
      <c r="V380" s="182"/>
      <c r="W380" s="185"/>
      <c r="X380" s="176"/>
      <c r="Y380" s="185"/>
      <c r="Z380" s="176"/>
      <c r="AA380" s="176"/>
      <c r="AB380" s="177"/>
      <c r="AD380" s="1547"/>
      <c r="AE380" s="248">
        <v>17020</v>
      </c>
      <c r="AF380" s="176"/>
      <c r="AG380" s="176"/>
      <c r="AH380" s="177"/>
      <c r="AJ380" s="187"/>
      <c r="AK380" s="185"/>
      <c r="AL380" s="176"/>
      <c r="AM380" s="176"/>
      <c r="AN380" s="177"/>
      <c r="AP380" s="1551"/>
      <c r="AQ380" s="1554"/>
      <c r="AR380" s="1551"/>
      <c r="AS380" s="1554"/>
      <c r="AT380" s="1544"/>
      <c r="AU380" s="172" t="s">
        <v>699</v>
      </c>
      <c r="AV380" s="249">
        <v>5400</v>
      </c>
      <c r="AW380" s="250">
        <v>6000</v>
      </c>
      <c r="AX380" s="267">
        <v>3700</v>
      </c>
      <c r="AY380" s="252">
        <v>3700</v>
      </c>
      <c r="BA380" s="235">
        <v>27330</v>
      </c>
      <c r="BC380" s="1557"/>
      <c r="BE380" s="187"/>
      <c r="BF380" s="176"/>
      <c r="BG380" s="176"/>
      <c r="BH380" s="177"/>
      <c r="BJ380" s="253"/>
      <c r="BL380" s="193"/>
      <c r="BM380" s="194"/>
      <c r="BN380" s="194"/>
      <c r="BO380" s="195"/>
      <c r="BQ380" s="187">
        <v>3180</v>
      </c>
      <c r="BR380" s="185" t="s">
        <v>199</v>
      </c>
      <c r="BS380" s="185">
        <v>30</v>
      </c>
      <c r="BT380" s="254" t="s">
        <v>184</v>
      </c>
      <c r="BV380" s="187">
        <v>10590</v>
      </c>
      <c r="BW380" s="185" t="s">
        <v>189</v>
      </c>
      <c r="BX380" s="185">
        <v>100</v>
      </c>
      <c r="BY380" s="185" t="s">
        <v>184</v>
      </c>
      <c r="BZ380" s="254" t="s">
        <v>190</v>
      </c>
      <c r="CB380" s="187">
        <v>6550</v>
      </c>
      <c r="CC380" s="185" t="s">
        <v>189</v>
      </c>
      <c r="CD380" s="185">
        <v>60</v>
      </c>
      <c r="CE380" s="185" t="s">
        <v>184</v>
      </c>
      <c r="CF380" s="254" t="s">
        <v>190</v>
      </c>
      <c r="CH380" s="253"/>
    </row>
    <row r="381" spans="1:86">
      <c r="A381" s="1563"/>
      <c r="B381" s="168"/>
      <c r="C381" s="241" t="s">
        <v>319</v>
      </c>
      <c r="D381" s="177" t="s">
        <v>320</v>
      </c>
      <c r="F381" s="242">
        <v>134910</v>
      </c>
      <c r="G381" s="243">
        <v>205520</v>
      </c>
      <c r="H381" s="242">
        <v>122930</v>
      </c>
      <c r="I381" s="243">
        <v>193540</v>
      </c>
      <c r="J381" s="179" t="s">
        <v>182</v>
      </c>
      <c r="K381" s="244">
        <v>1230</v>
      </c>
      <c r="L381" s="245">
        <v>1940</v>
      </c>
      <c r="M381" s="246" t="s">
        <v>795</v>
      </c>
      <c r="N381" s="244">
        <v>1110</v>
      </c>
      <c r="O381" s="245">
        <v>1820</v>
      </c>
      <c r="P381" s="246" t="s">
        <v>795</v>
      </c>
      <c r="R381" s="182"/>
      <c r="S381" s="176"/>
      <c r="T381" s="177"/>
      <c r="V381" s="182"/>
      <c r="W381" s="185"/>
      <c r="X381" s="176"/>
      <c r="Y381" s="185"/>
      <c r="Z381" s="176"/>
      <c r="AA381" s="176"/>
      <c r="AB381" s="177"/>
      <c r="AC381" s="160" t="s">
        <v>182</v>
      </c>
      <c r="AD381" s="1548">
        <v>17020</v>
      </c>
      <c r="AE381" s="255"/>
      <c r="AF381" s="176"/>
      <c r="AG381" s="176">
        <v>0</v>
      </c>
      <c r="AH381" s="177"/>
      <c r="AJ381" s="187">
        <v>9680</v>
      </c>
      <c r="AK381" s="185" t="s">
        <v>321</v>
      </c>
      <c r="AL381" s="176"/>
      <c r="AM381" s="176"/>
      <c r="AN381" s="177"/>
      <c r="AP381" s="1551"/>
      <c r="AQ381" s="1554"/>
      <c r="AR381" s="1551"/>
      <c r="AS381" s="1554"/>
      <c r="AT381" s="1544"/>
      <c r="AU381" s="172" t="s">
        <v>700</v>
      </c>
      <c r="AV381" s="249">
        <v>4700</v>
      </c>
      <c r="AW381" s="250">
        <v>5200</v>
      </c>
      <c r="AX381" s="267">
        <v>3300</v>
      </c>
      <c r="AY381" s="252">
        <v>3300</v>
      </c>
      <c r="BA381" s="277"/>
      <c r="BC381" s="359"/>
      <c r="BE381" s="187"/>
      <c r="BF381" s="176"/>
      <c r="BG381" s="176"/>
      <c r="BH381" s="177"/>
      <c r="BJ381" s="253"/>
      <c r="BL381" s="193">
        <v>0.01</v>
      </c>
      <c r="BM381" s="194">
        <v>0.03</v>
      </c>
      <c r="BN381" s="194">
        <v>0.04</v>
      </c>
      <c r="BO381" s="195">
        <v>0.05</v>
      </c>
      <c r="BQ381" s="187"/>
      <c r="BR381" s="185"/>
      <c r="BS381" s="185"/>
      <c r="BT381" s="254"/>
      <c r="BV381" s="187"/>
      <c r="BW381" s="185"/>
      <c r="BX381" s="185"/>
      <c r="BY381" s="185"/>
      <c r="BZ381" s="254"/>
      <c r="CB381" s="187"/>
      <c r="CC381" s="185"/>
      <c r="CD381" s="185"/>
      <c r="CE381" s="185"/>
      <c r="CF381" s="254"/>
      <c r="CH381" s="253">
        <v>0.96</v>
      </c>
    </row>
    <row r="382" spans="1:86">
      <c r="A382" s="1563"/>
      <c r="B382" s="269"/>
      <c r="C382" s="270"/>
      <c r="D382" s="184" t="s">
        <v>322</v>
      </c>
      <c r="F382" s="256">
        <v>205520</v>
      </c>
      <c r="G382" s="257"/>
      <c r="H382" s="256">
        <v>193540</v>
      </c>
      <c r="I382" s="257"/>
      <c r="J382" s="179" t="s">
        <v>182</v>
      </c>
      <c r="K382" s="258">
        <v>1940</v>
      </c>
      <c r="L382" s="259"/>
      <c r="M382" s="260" t="s">
        <v>795</v>
      </c>
      <c r="N382" s="258">
        <v>1820</v>
      </c>
      <c r="O382" s="259"/>
      <c r="P382" s="260" t="s">
        <v>795</v>
      </c>
      <c r="R382" s="183"/>
      <c r="S382" s="271"/>
      <c r="T382" s="184"/>
      <c r="V382" s="278"/>
      <c r="W382" s="279" t="s">
        <v>703</v>
      </c>
      <c r="X382" s="176"/>
      <c r="Y382" s="279" t="s">
        <v>703</v>
      </c>
      <c r="Z382" s="279"/>
      <c r="AA382" s="176"/>
      <c r="AB382" s="177"/>
      <c r="AD382" s="1549"/>
      <c r="AE382" s="261"/>
      <c r="AF382" s="176"/>
      <c r="AG382" s="176"/>
      <c r="AH382" s="177"/>
      <c r="AJ382" s="187"/>
      <c r="AK382" s="185"/>
      <c r="AL382" s="176"/>
      <c r="AM382" s="176"/>
      <c r="AN382" s="177"/>
      <c r="AP382" s="1552"/>
      <c r="AQ382" s="1555"/>
      <c r="AR382" s="1552"/>
      <c r="AS382" s="1555"/>
      <c r="AT382" s="1544"/>
      <c r="AU382" s="262" t="s">
        <v>701</v>
      </c>
      <c r="AV382" s="263">
        <v>4200</v>
      </c>
      <c r="AW382" s="264">
        <v>4600</v>
      </c>
      <c r="AX382" s="265">
        <v>2900</v>
      </c>
      <c r="AY382" s="266">
        <v>2900</v>
      </c>
      <c r="BA382" s="235" t="s">
        <v>665</v>
      </c>
      <c r="BC382" s="359"/>
      <c r="BE382" s="186"/>
      <c r="BF382" s="271"/>
      <c r="BG382" s="271"/>
      <c r="BH382" s="184"/>
      <c r="BJ382" s="253"/>
      <c r="BL382" s="272"/>
      <c r="BM382" s="273"/>
      <c r="BN382" s="273"/>
      <c r="BO382" s="274"/>
      <c r="BQ382" s="186"/>
      <c r="BR382" s="196"/>
      <c r="BS382" s="196"/>
      <c r="BT382" s="197"/>
      <c r="BV382" s="186"/>
      <c r="BW382" s="196"/>
      <c r="BX382" s="196"/>
      <c r="BY382" s="196"/>
      <c r="BZ382" s="197"/>
      <c r="CB382" s="186"/>
      <c r="CC382" s="196"/>
      <c r="CD382" s="196"/>
      <c r="CE382" s="196"/>
      <c r="CF382" s="197"/>
      <c r="CH382" s="198"/>
    </row>
    <row r="383" spans="1:86" ht="63">
      <c r="A383" s="1563"/>
      <c r="B383" s="168" t="s">
        <v>346</v>
      </c>
      <c r="C383" s="241" t="s">
        <v>313</v>
      </c>
      <c r="D383" s="177" t="s">
        <v>314</v>
      </c>
      <c r="F383" s="218">
        <v>65200</v>
      </c>
      <c r="G383" s="219">
        <v>72260</v>
      </c>
      <c r="H383" s="218">
        <v>55620</v>
      </c>
      <c r="I383" s="219">
        <v>62680</v>
      </c>
      <c r="J383" s="179" t="s">
        <v>182</v>
      </c>
      <c r="K383" s="220">
        <v>630</v>
      </c>
      <c r="L383" s="221">
        <v>700</v>
      </c>
      <c r="M383" s="222" t="s">
        <v>795</v>
      </c>
      <c r="N383" s="220">
        <v>530</v>
      </c>
      <c r="O383" s="221">
        <v>600</v>
      </c>
      <c r="P383" s="222" t="s">
        <v>795</v>
      </c>
      <c r="Q383" s="160" t="s">
        <v>182</v>
      </c>
      <c r="R383" s="275">
        <v>7060</v>
      </c>
      <c r="S383" s="276">
        <v>70</v>
      </c>
      <c r="T383" s="247" t="s">
        <v>184</v>
      </c>
      <c r="V383" s="182"/>
      <c r="W383" s="185">
        <v>241800</v>
      </c>
      <c r="X383" s="176"/>
      <c r="Y383" s="185">
        <v>2410</v>
      </c>
      <c r="Z383" s="176" t="s">
        <v>184</v>
      </c>
      <c r="AA383" s="176"/>
      <c r="AB383" s="177"/>
      <c r="AC383" s="160" t="s">
        <v>182</v>
      </c>
      <c r="AD383" s="1546">
        <v>16380</v>
      </c>
      <c r="AE383" s="227"/>
      <c r="AF383" s="226" t="s">
        <v>182</v>
      </c>
      <c r="AG383" s="226">
        <v>90</v>
      </c>
      <c r="AH383" s="217" t="s">
        <v>184</v>
      </c>
      <c r="AJ383" s="187" t="s">
        <v>201</v>
      </c>
      <c r="AK383" s="185"/>
      <c r="AL383" s="176" t="s">
        <v>182</v>
      </c>
      <c r="AM383" s="176">
        <v>70</v>
      </c>
      <c r="AN383" s="177" t="s">
        <v>316</v>
      </c>
      <c r="AO383" s="160" t="s">
        <v>182</v>
      </c>
      <c r="AP383" s="1550">
        <v>4300</v>
      </c>
      <c r="AQ383" s="1553">
        <v>4800</v>
      </c>
      <c r="AR383" s="1550">
        <v>3000</v>
      </c>
      <c r="AS383" s="1553">
        <v>3000</v>
      </c>
      <c r="AT383" s="1544" t="s">
        <v>664</v>
      </c>
      <c r="AU383" s="230" t="s">
        <v>697</v>
      </c>
      <c r="AV383" s="231">
        <v>8800</v>
      </c>
      <c r="AW383" s="232">
        <v>9800</v>
      </c>
      <c r="AX383" s="267">
        <v>6100</v>
      </c>
      <c r="AY383" s="252">
        <v>6100</v>
      </c>
      <c r="BA383" s="235">
        <v>16800</v>
      </c>
      <c r="BB383" s="160" t="s">
        <v>182</v>
      </c>
      <c r="BC383" s="1556">
        <v>4700</v>
      </c>
      <c r="BD383" s="160" t="s">
        <v>182</v>
      </c>
      <c r="BE383" s="187">
        <v>4260</v>
      </c>
      <c r="BF383" s="176" t="s">
        <v>182</v>
      </c>
      <c r="BG383" s="176">
        <v>40</v>
      </c>
      <c r="BH383" s="177" t="s">
        <v>184</v>
      </c>
      <c r="BJ383" s="253"/>
      <c r="BK383" s="160" t="s">
        <v>188</v>
      </c>
      <c r="BL383" s="193" t="s">
        <v>317</v>
      </c>
      <c r="BM383" s="194" t="s">
        <v>317</v>
      </c>
      <c r="BN383" s="194" t="s">
        <v>317</v>
      </c>
      <c r="BO383" s="195" t="s">
        <v>317</v>
      </c>
      <c r="BP383" s="160" t="s">
        <v>188</v>
      </c>
      <c r="BQ383" s="187"/>
      <c r="BR383" s="185"/>
      <c r="BS383" s="185"/>
      <c r="BT383" s="254"/>
      <c r="BU383" s="160" t="s">
        <v>188</v>
      </c>
      <c r="BV383" s="187"/>
      <c r="BW383" s="185"/>
      <c r="BX383" s="185"/>
      <c r="BY383" s="185"/>
      <c r="BZ383" s="254"/>
      <c r="CA383" s="160" t="s">
        <v>188</v>
      </c>
      <c r="CB383" s="187"/>
      <c r="CC383" s="185"/>
      <c r="CD383" s="185"/>
      <c r="CE383" s="185"/>
      <c r="CF383" s="254"/>
      <c r="CH383" s="253" t="s">
        <v>324</v>
      </c>
    </row>
    <row r="384" spans="1:86">
      <c r="A384" s="1563"/>
      <c r="B384" s="168"/>
      <c r="C384" s="241"/>
      <c r="D384" s="177" t="s">
        <v>318</v>
      </c>
      <c r="F384" s="242">
        <v>72260</v>
      </c>
      <c r="G384" s="243">
        <v>129950</v>
      </c>
      <c r="H384" s="242">
        <v>62680</v>
      </c>
      <c r="I384" s="243">
        <v>120370</v>
      </c>
      <c r="J384" s="179" t="s">
        <v>182</v>
      </c>
      <c r="K384" s="244">
        <v>700</v>
      </c>
      <c r="L384" s="245">
        <v>1180</v>
      </c>
      <c r="M384" s="246" t="s">
        <v>795</v>
      </c>
      <c r="N384" s="244">
        <v>600</v>
      </c>
      <c r="O384" s="245">
        <v>1090</v>
      </c>
      <c r="P384" s="246" t="s">
        <v>795</v>
      </c>
      <c r="Q384" s="160" t="s">
        <v>182</v>
      </c>
      <c r="R384" s="187">
        <v>7060</v>
      </c>
      <c r="S384" s="185">
        <v>70</v>
      </c>
      <c r="T384" s="247" t="s">
        <v>184</v>
      </c>
      <c r="V384" s="182"/>
      <c r="W384" s="185"/>
      <c r="X384" s="176"/>
      <c r="Y384" s="185"/>
      <c r="Z384" s="176"/>
      <c r="AA384" s="176"/>
      <c r="AB384" s="177"/>
      <c r="AD384" s="1547"/>
      <c r="AE384" s="248">
        <v>14660</v>
      </c>
      <c r="AF384" s="176"/>
      <c r="AG384" s="176"/>
      <c r="AH384" s="177"/>
      <c r="AJ384" s="187"/>
      <c r="AK384" s="185"/>
      <c r="AL384" s="176"/>
      <c r="AM384" s="176"/>
      <c r="AN384" s="177"/>
      <c r="AP384" s="1551"/>
      <c r="AQ384" s="1554"/>
      <c r="AR384" s="1551"/>
      <c r="AS384" s="1554"/>
      <c r="AT384" s="1544"/>
      <c r="AU384" s="172" t="s">
        <v>699</v>
      </c>
      <c r="AV384" s="249">
        <v>4800</v>
      </c>
      <c r="AW384" s="250">
        <v>5400</v>
      </c>
      <c r="AX384" s="267">
        <v>3400</v>
      </c>
      <c r="AY384" s="252">
        <v>3400</v>
      </c>
      <c r="BA384" s="277"/>
      <c r="BC384" s="1557"/>
      <c r="BE384" s="187"/>
      <c r="BF384" s="176"/>
      <c r="BG384" s="176"/>
      <c r="BH384" s="177"/>
      <c r="BJ384" s="253"/>
      <c r="BL384" s="193"/>
      <c r="BM384" s="194"/>
      <c r="BN384" s="194"/>
      <c r="BO384" s="195"/>
      <c r="BQ384" s="187">
        <v>2540</v>
      </c>
      <c r="BR384" s="185" t="s">
        <v>199</v>
      </c>
      <c r="BS384" s="185">
        <v>20</v>
      </c>
      <c r="BT384" s="254" t="s">
        <v>184</v>
      </c>
      <c r="BV384" s="187">
        <v>8470</v>
      </c>
      <c r="BW384" s="185" t="s">
        <v>189</v>
      </c>
      <c r="BX384" s="185">
        <v>80</v>
      </c>
      <c r="BY384" s="185" t="s">
        <v>184</v>
      </c>
      <c r="BZ384" s="254" t="s">
        <v>190</v>
      </c>
      <c r="CB384" s="187">
        <v>5240</v>
      </c>
      <c r="CC384" s="185" t="s">
        <v>189</v>
      </c>
      <c r="CD384" s="185">
        <v>50</v>
      </c>
      <c r="CE384" s="185" t="s">
        <v>184</v>
      </c>
      <c r="CF384" s="254" t="s">
        <v>190</v>
      </c>
      <c r="CH384" s="253"/>
    </row>
    <row r="385" spans="1:86">
      <c r="A385" s="1563"/>
      <c r="B385" s="168"/>
      <c r="C385" s="241" t="s">
        <v>319</v>
      </c>
      <c r="D385" s="177" t="s">
        <v>320</v>
      </c>
      <c r="F385" s="242">
        <v>129950</v>
      </c>
      <c r="G385" s="243">
        <v>200560</v>
      </c>
      <c r="H385" s="242">
        <v>120370</v>
      </c>
      <c r="I385" s="243">
        <v>190980</v>
      </c>
      <c r="J385" s="179" t="s">
        <v>182</v>
      </c>
      <c r="K385" s="244">
        <v>1180</v>
      </c>
      <c r="L385" s="245">
        <v>1890</v>
      </c>
      <c r="M385" s="246" t="s">
        <v>795</v>
      </c>
      <c r="N385" s="244">
        <v>1090</v>
      </c>
      <c r="O385" s="245">
        <v>1800</v>
      </c>
      <c r="P385" s="246" t="s">
        <v>795</v>
      </c>
      <c r="R385" s="182"/>
      <c r="S385" s="176"/>
      <c r="T385" s="177"/>
      <c r="V385" s="278"/>
      <c r="W385" s="279" t="s">
        <v>704</v>
      </c>
      <c r="X385" s="176"/>
      <c r="Y385" s="279" t="s">
        <v>704</v>
      </c>
      <c r="Z385" s="279"/>
      <c r="AA385" s="176"/>
      <c r="AB385" s="177"/>
      <c r="AC385" s="160" t="s">
        <v>182</v>
      </c>
      <c r="AD385" s="1548">
        <v>14660</v>
      </c>
      <c r="AE385" s="255"/>
      <c r="AF385" s="176"/>
      <c r="AG385" s="176">
        <v>0</v>
      </c>
      <c r="AH385" s="177"/>
      <c r="AJ385" s="187">
        <v>7260</v>
      </c>
      <c r="AK385" s="185" t="s">
        <v>321</v>
      </c>
      <c r="AL385" s="176"/>
      <c r="AM385" s="176"/>
      <c r="AN385" s="177"/>
      <c r="AP385" s="1551"/>
      <c r="AQ385" s="1554"/>
      <c r="AR385" s="1551"/>
      <c r="AS385" s="1554"/>
      <c r="AT385" s="1544"/>
      <c r="AU385" s="172" t="s">
        <v>700</v>
      </c>
      <c r="AV385" s="249">
        <v>4200</v>
      </c>
      <c r="AW385" s="250">
        <v>4700</v>
      </c>
      <c r="AX385" s="267">
        <v>2900</v>
      </c>
      <c r="AY385" s="252">
        <v>2900</v>
      </c>
      <c r="BA385" s="235" t="s">
        <v>666</v>
      </c>
      <c r="BC385" s="358"/>
      <c r="BE385" s="187"/>
      <c r="BF385" s="176"/>
      <c r="BG385" s="176"/>
      <c r="BH385" s="177"/>
      <c r="BJ385" s="253"/>
      <c r="BL385" s="193">
        <v>0.02</v>
      </c>
      <c r="BM385" s="194">
        <v>0.03</v>
      </c>
      <c r="BN385" s="194">
        <v>0.05</v>
      </c>
      <c r="BO385" s="195">
        <v>0.06</v>
      </c>
      <c r="BQ385" s="187"/>
      <c r="BR385" s="185"/>
      <c r="BS385" s="185"/>
      <c r="BT385" s="254"/>
      <c r="BV385" s="187"/>
      <c r="BW385" s="185"/>
      <c r="BX385" s="185"/>
      <c r="BY385" s="185"/>
      <c r="BZ385" s="254"/>
      <c r="CB385" s="187"/>
      <c r="CC385" s="185"/>
      <c r="CD385" s="185"/>
      <c r="CE385" s="185"/>
      <c r="CF385" s="254"/>
      <c r="CH385" s="253">
        <v>0.92</v>
      </c>
    </row>
    <row r="386" spans="1:86">
      <c r="A386" s="1563"/>
      <c r="B386" s="168"/>
      <c r="C386" s="241"/>
      <c r="D386" s="177" t="s">
        <v>322</v>
      </c>
      <c r="F386" s="256">
        <v>200560</v>
      </c>
      <c r="G386" s="257"/>
      <c r="H386" s="256">
        <v>190980</v>
      </c>
      <c r="I386" s="257"/>
      <c r="J386" s="179" t="s">
        <v>182</v>
      </c>
      <c r="K386" s="258">
        <v>1890</v>
      </c>
      <c r="L386" s="259"/>
      <c r="M386" s="260" t="s">
        <v>795</v>
      </c>
      <c r="N386" s="258">
        <v>1800</v>
      </c>
      <c r="O386" s="259"/>
      <c r="P386" s="260" t="s">
        <v>795</v>
      </c>
      <c r="R386" s="182"/>
      <c r="S386" s="176"/>
      <c r="T386" s="177"/>
      <c r="V386" s="182"/>
      <c r="W386" s="185">
        <v>258700</v>
      </c>
      <c r="X386" s="176"/>
      <c r="Y386" s="185">
        <v>2580</v>
      </c>
      <c r="Z386" s="176" t="s">
        <v>184</v>
      </c>
      <c r="AA386" s="176"/>
      <c r="AB386" s="177"/>
      <c r="AD386" s="1549"/>
      <c r="AE386" s="261"/>
      <c r="AF386" s="271"/>
      <c r="AG386" s="271"/>
      <c r="AH386" s="184"/>
      <c r="AJ386" s="187"/>
      <c r="AK386" s="185"/>
      <c r="AL386" s="176"/>
      <c r="AM386" s="176"/>
      <c r="AN386" s="177"/>
      <c r="AP386" s="1552"/>
      <c r="AQ386" s="1555"/>
      <c r="AR386" s="1552"/>
      <c r="AS386" s="1555"/>
      <c r="AT386" s="1544"/>
      <c r="AU386" s="262" t="s">
        <v>701</v>
      </c>
      <c r="AV386" s="263">
        <v>3800</v>
      </c>
      <c r="AW386" s="264">
        <v>4200</v>
      </c>
      <c r="AX386" s="265">
        <v>2600</v>
      </c>
      <c r="AY386" s="266">
        <v>2600</v>
      </c>
      <c r="BA386" s="235">
        <v>12280</v>
      </c>
      <c r="BC386" s="359"/>
      <c r="BE386" s="187"/>
      <c r="BF386" s="176"/>
      <c r="BG386" s="176"/>
      <c r="BH386" s="177"/>
      <c r="BJ386" s="253"/>
      <c r="BL386" s="193"/>
      <c r="BM386" s="194"/>
      <c r="BN386" s="194"/>
      <c r="BO386" s="195"/>
      <c r="BQ386" s="187"/>
      <c r="BR386" s="185"/>
      <c r="BS386" s="185"/>
      <c r="BT386" s="254"/>
      <c r="BV386" s="187"/>
      <c r="BW386" s="185"/>
      <c r="BX386" s="185"/>
      <c r="BY386" s="185"/>
      <c r="BZ386" s="254"/>
      <c r="CB386" s="187"/>
      <c r="CC386" s="185"/>
      <c r="CD386" s="185"/>
      <c r="CE386" s="185"/>
      <c r="CF386" s="254"/>
      <c r="CH386" s="253"/>
    </row>
    <row r="387" spans="1:86" ht="63">
      <c r="A387" s="1563"/>
      <c r="B387" s="215" t="s">
        <v>328</v>
      </c>
      <c r="C387" s="216" t="s">
        <v>313</v>
      </c>
      <c r="D387" s="217" t="s">
        <v>314</v>
      </c>
      <c r="F387" s="218">
        <v>57030</v>
      </c>
      <c r="G387" s="219">
        <v>64090</v>
      </c>
      <c r="H387" s="218">
        <v>49040</v>
      </c>
      <c r="I387" s="219">
        <v>56100</v>
      </c>
      <c r="J387" s="179" t="s">
        <v>182</v>
      </c>
      <c r="K387" s="220">
        <v>550</v>
      </c>
      <c r="L387" s="221">
        <v>620</v>
      </c>
      <c r="M387" s="222" t="s">
        <v>795</v>
      </c>
      <c r="N387" s="220">
        <v>470</v>
      </c>
      <c r="O387" s="221">
        <v>540</v>
      </c>
      <c r="P387" s="222" t="s">
        <v>795</v>
      </c>
      <c r="Q387" s="160" t="s">
        <v>182</v>
      </c>
      <c r="R387" s="223">
        <v>7060</v>
      </c>
      <c r="S387" s="224">
        <v>70</v>
      </c>
      <c r="T387" s="225" t="s">
        <v>184</v>
      </c>
      <c r="V387" s="182"/>
      <c r="W387" s="185"/>
      <c r="X387" s="176"/>
      <c r="Y387" s="185"/>
      <c r="Z387" s="176"/>
      <c r="AA387" s="176"/>
      <c r="AB387" s="177"/>
      <c r="AC387" s="160" t="s">
        <v>182</v>
      </c>
      <c r="AD387" s="1546">
        <v>14800</v>
      </c>
      <c r="AE387" s="227"/>
      <c r="AF387" s="176" t="s">
        <v>182</v>
      </c>
      <c r="AG387" s="176">
        <v>70</v>
      </c>
      <c r="AH387" s="177" t="s">
        <v>184</v>
      </c>
      <c r="AJ387" s="187" t="s">
        <v>203</v>
      </c>
      <c r="AK387" s="185"/>
      <c r="AL387" s="176" t="s">
        <v>182</v>
      </c>
      <c r="AM387" s="176">
        <v>50</v>
      </c>
      <c r="AN387" s="177" t="s">
        <v>316</v>
      </c>
      <c r="AO387" s="160" t="s">
        <v>182</v>
      </c>
      <c r="AP387" s="1550">
        <v>3600</v>
      </c>
      <c r="AQ387" s="1553">
        <v>4000</v>
      </c>
      <c r="AR387" s="1550">
        <v>2500</v>
      </c>
      <c r="AS387" s="1553">
        <v>2500</v>
      </c>
      <c r="AT387" s="1544" t="s">
        <v>664</v>
      </c>
      <c r="AU387" s="230" t="s">
        <v>697</v>
      </c>
      <c r="AV387" s="231">
        <v>7200</v>
      </c>
      <c r="AW387" s="232">
        <v>8100</v>
      </c>
      <c r="AX387" s="267">
        <v>5100</v>
      </c>
      <c r="AY387" s="252">
        <v>5100</v>
      </c>
      <c r="BA387" s="277"/>
      <c r="BB387" s="160" t="s">
        <v>182</v>
      </c>
      <c r="BC387" s="1556">
        <v>4700</v>
      </c>
      <c r="BD387" s="160" t="s">
        <v>182</v>
      </c>
      <c r="BE387" s="228">
        <v>3550</v>
      </c>
      <c r="BF387" s="226" t="s">
        <v>182</v>
      </c>
      <c r="BG387" s="226">
        <v>30</v>
      </c>
      <c r="BH387" s="217" t="s">
        <v>184</v>
      </c>
      <c r="BJ387" s="253"/>
      <c r="BK387" s="160" t="s">
        <v>188</v>
      </c>
      <c r="BL387" s="237" t="s">
        <v>317</v>
      </c>
      <c r="BM387" s="238" t="s">
        <v>317</v>
      </c>
      <c r="BN387" s="238" t="s">
        <v>317</v>
      </c>
      <c r="BO387" s="239" t="s">
        <v>317</v>
      </c>
      <c r="BP387" s="160" t="s">
        <v>188</v>
      </c>
      <c r="BQ387" s="228"/>
      <c r="BR387" s="229"/>
      <c r="BS387" s="229"/>
      <c r="BT387" s="240"/>
      <c r="BU387" s="160" t="s">
        <v>188</v>
      </c>
      <c r="BV387" s="228"/>
      <c r="BW387" s="229"/>
      <c r="BX387" s="229"/>
      <c r="BY387" s="229"/>
      <c r="BZ387" s="240"/>
      <c r="CA387" s="160" t="s">
        <v>188</v>
      </c>
      <c r="CB387" s="228"/>
      <c r="CC387" s="229"/>
      <c r="CD387" s="229"/>
      <c r="CE387" s="229"/>
      <c r="CF387" s="240"/>
      <c r="CH387" s="236" t="s">
        <v>324</v>
      </c>
    </row>
    <row r="388" spans="1:86">
      <c r="A388" s="1563"/>
      <c r="B388" s="168"/>
      <c r="C388" s="241"/>
      <c r="D388" s="177" t="s">
        <v>318</v>
      </c>
      <c r="F388" s="242">
        <v>64090</v>
      </c>
      <c r="G388" s="243">
        <v>121780</v>
      </c>
      <c r="H388" s="242">
        <v>56100</v>
      </c>
      <c r="I388" s="243">
        <v>113790</v>
      </c>
      <c r="J388" s="179" t="s">
        <v>182</v>
      </c>
      <c r="K388" s="244">
        <v>620</v>
      </c>
      <c r="L388" s="245">
        <v>1100</v>
      </c>
      <c r="M388" s="246" t="s">
        <v>795</v>
      </c>
      <c r="N388" s="244">
        <v>540</v>
      </c>
      <c r="O388" s="245">
        <v>1020</v>
      </c>
      <c r="P388" s="246" t="s">
        <v>795</v>
      </c>
      <c r="Q388" s="160" t="s">
        <v>182</v>
      </c>
      <c r="R388" s="187">
        <v>7060</v>
      </c>
      <c r="S388" s="185">
        <v>70</v>
      </c>
      <c r="T388" s="247" t="s">
        <v>184</v>
      </c>
      <c r="V388" s="278"/>
      <c r="W388" s="279" t="s">
        <v>705</v>
      </c>
      <c r="X388" s="176"/>
      <c r="Y388" s="279" t="s">
        <v>705</v>
      </c>
      <c r="Z388" s="279"/>
      <c r="AA388" s="176"/>
      <c r="AB388" s="177"/>
      <c r="AD388" s="1547"/>
      <c r="AE388" s="248">
        <v>13080</v>
      </c>
      <c r="AF388" s="176"/>
      <c r="AG388" s="176"/>
      <c r="AH388" s="177"/>
      <c r="AJ388" s="187"/>
      <c r="AK388" s="185"/>
      <c r="AL388" s="176"/>
      <c r="AM388" s="176"/>
      <c r="AN388" s="177"/>
      <c r="AP388" s="1551"/>
      <c r="AQ388" s="1554"/>
      <c r="AR388" s="1551"/>
      <c r="AS388" s="1554"/>
      <c r="AT388" s="1544"/>
      <c r="AU388" s="172" t="s">
        <v>699</v>
      </c>
      <c r="AV388" s="249">
        <v>4000</v>
      </c>
      <c r="AW388" s="250">
        <v>4400</v>
      </c>
      <c r="AX388" s="267">
        <v>2800</v>
      </c>
      <c r="AY388" s="252">
        <v>2800</v>
      </c>
      <c r="BA388" s="235" t="s">
        <v>667</v>
      </c>
      <c r="BC388" s="1557"/>
      <c r="BE388" s="187"/>
      <c r="BF388" s="176"/>
      <c r="BG388" s="176"/>
      <c r="BH388" s="177"/>
      <c r="BJ388" s="253"/>
      <c r="BL388" s="193"/>
      <c r="BM388" s="194"/>
      <c r="BN388" s="194"/>
      <c r="BO388" s="195"/>
      <c r="BQ388" s="187">
        <v>2120</v>
      </c>
      <c r="BR388" s="185" t="s">
        <v>199</v>
      </c>
      <c r="BS388" s="185">
        <v>20</v>
      </c>
      <c r="BT388" s="254" t="s">
        <v>184</v>
      </c>
      <c r="BV388" s="187">
        <v>7060</v>
      </c>
      <c r="BW388" s="185" t="s">
        <v>189</v>
      </c>
      <c r="BX388" s="185">
        <v>70</v>
      </c>
      <c r="BY388" s="185" t="s">
        <v>184</v>
      </c>
      <c r="BZ388" s="254" t="s">
        <v>190</v>
      </c>
      <c r="CB388" s="187">
        <v>4370</v>
      </c>
      <c r="CC388" s="185" t="s">
        <v>189</v>
      </c>
      <c r="CD388" s="185">
        <v>40</v>
      </c>
      <c r="CE388" s="185" t="s">
        <v>184</v>
      </c>
      <c r="CF388" s="254" t="s">
        <v>190</v>
      </c>
      <c r="CH388" s="253"/>
    </row>
    <row r="389" spans="1:86">
      <c r="A389" s="1563"/>
      <c r="B389" s="168"/>
      <c r="C389" s="241" t="s">
        <v>319</v>
      </c>
      <c r="D389" s="177" t="s">
        <v>320</v>
      </c>
      <c r="F389" s="242">
        <v>121780</v>
      </c>
      <c r="G389" s="243">
        <v>192390</v>
      </c>
      <c r="H389" s="242">
        <v>113790</v>
      </c>
      <c r="I389" s="243">
        <v>184400</v>
      </c>
      <c r="J389" s="179" t="s">
        <v>182</v>
      </c>
      <c r="K389" s="244">
        <v>1100</v>
      </c>
      <c r="L389" s="245">
        <v>1810</v>
      </c>
      <c r="M389" s="246" t="s">
        <v>795</v>
      </c>
      <c r="N389" s="244">
        <v>1020</v>
      </c>
      <c r="O389" s="245">
        <v>1730</v>
      </c>
      <c r="P389" s="246" t="s">
        <v>795</v>
      </c>
      <c r="R389" s="182"/>
      <c r="S389" s="176"/>
      <c r="T389" s="177"/>
      <c r="V389" s="182"/>
      <c r="W389" s="185">
        <v>292500</v>
      </c>
      <c r="X389" s="176"/>
      <c r="Y389" s="185">
        <v>2920</v>
      </c>
      <c r="Z389" s="176" t="s">
        <v>184</v>
      </c>
      <c r="AA389" s="176"/>
      <c r="AB389" s="177"/>
      <c r="AC389" s="160" t="s">
        <v>182</v>
      </c>
      <c r="AD389" s="1548">
        <v>13080</v>
      </c>
      <c r="AE389" s="255"/>
      <c r="AF389" s="176"/>
      <c r="AG389" s="176">
        <v>0</v>
      </c>
      <c r="AH389" s="177"/>
      <c r="AJ389" s="187">
        <v>5800</v>
      </c>
      <c r="AK389" s="185" t="s">
        <v>321</v>
      </c>
      <c r="AL389" s="176"/>
      <c r="AM389" s="176"/>
      <c r="AN389" s="177"/>
      <c r="AP389" s="1551"/>
      <c r="AQ389" s="1554"/>
      <c r="AR389" s="1551"/>
      <c r="AS389" s="1554"/>
      <c r="AT389" s="1544"/>
      <c r="AU389" s="172" t="s">
        <v>700</v>
      </c>
      <c r="AV389" s="249">
        <v>3500</v>
      </c>
      <c r="AW389" s="250">
        <v>3800</v>
      </c>
      <c r="AX389" s="267">
        <v>2400</v>
      </c>
      <c r="AY389" s="252">
        <v>2400</v>
      </c>
      <c r="BA389" s="235">
        <v>9770</v>
      </c>
      <c r="BC389" s="359"/>
      <c r="BE389" s="187"/>
      <c r="BF389" s="176"/>
      <c r="BG389" s="176"/>
      <c r="BH389" s="177"/>
      <c r="BJ389" s="253"/>
      <c r="BL389" s="193">
        <v>0.02</v>
      </c>
      <c r="BM389" s="194">
        <v>0.03</v>
      </c>
      <c r="BN389" s="194">
        <v>0.05</v>
      </c>
      <c r="BO389" s="195">
        <v>0.06</v>
      </c>
      <c r="BQ389" s="187"/>
      <c r="BR389" s="185"/>
      <c r="BS389" s="185"/>
      <c r="BT389" s="254"/>
      <c r="BV389" s="187"/>
      <c r="BW389" s="185"/>
      <c r="BX389" s="185"/>
      <c r="BY389" s="185"/>
      <c r="BZ389" s="254"/>
      <c r="CB389" s="187"/>
      <c r="CC389" s="185"/>
      <c r="CD389" s="185"/>
      <c r="CE389" s="185"/>
      <c r="CF389" s="254"/>
      <c r="CH389" s="253">
        <v>0.9</v>
      </c>
    </row>
    <row r="390" spans="1:86">
      <c r="A390" s="1563"/>
      <c r="B390" s="269"/>
      <c r="C390" s="270"/>
      <c r="D390" s="184" t="s">
        <v>322</v>
      </c>
      <c r="F390" s="256">
        <v>192390</v>
      </c>
      <c r="G390" s="257"/>
      <c r="H390" s="256">
        <v>184400</v>
      </c>
      <c r="I390" s="257"/>
      <c r="J390" s="179" t="s">
        <v>182</v>
      </c>
      <c r="K390" s="258">
        <v>1810</v>
      </c>
      <c r="L390" s="259"/>
      <c r="M390" s="260" t="s">
        <v>795</v>
      </c>
      <c r="N390" s="258">
        <v>1730</v>
      </c>
      <c r="O390" s="259"/>
      <c r="P390" s="260" t="s">
        <v>795</v>
      </c>
      <c r="R390" s="183"/>
      <c r="S390" s="271"/>
      <c r="T390" s="184"/>
      <c r="V390" s="182"/>
      <c r="W390" s="185"/>
      <c r="X390" s="176"/>
      <c r="Y390" s="185"/>
      <c r="Z390" s="176"/>
      <c r="AA390" s="176"/>
      <c r="AB390" s="177"/>
      <c r="AD390" s="1549"/>
      <c r="AE390" s="261"/>
      <c r="AF390" s="176"/>
      <c r="AG390" s="176"/>
      <c r="AH390" s="177"/>
      <c r="AJ390" s="187"/>
      <c r="AK390" s="185"/>
      <c r="AL390" s="176"/>
      <c r="AM390" s="176"/>
      <c r="AN390" s="177"/>
      <c r="AP390" s="1552"/>
      <c r="AQ390" s="1555"/>
      <c r="AR390" s="1552"/>
      <c r="AS390" s="1555"/>
      <c r="AT390" s="1544"/>
      <c r="AU390" s="262" t="s">
        <v>701</v>
      </c>
      <c r="AV390" s="263">
        <v>3100</v>
      </c>
      <c r="AW390" s="264">
        <v>3400</v>
      </c>
      <c r="AX390" s="265">
        <v>2100</v>
      </c>
      <c r="AY390" s="266">
        <v>2100</v>
      </c>
      <c r="BA390" s="277"/>
      <c r="BC390" s="359"/>
      <c r="BE390" s="186"/>
      <c r="BF390" s="271"/>
      <c r="BG390" s="271"/>
      <c r="BH390" s="184"/>
      <c r="BJ390" s="253"/>
      <c r="BL390" s="272"/>
      <c r="BM390" s="273"/>
      <c r="BN390" s="273"/>
      <c r="BO390" s="274"/>
      <c r="BQ390" s="186"/>
      <c r="BR390" s="196"/>
      <c r="BS390" s="196"/>
      <c r="BT390" s="197"/>
      <c r="BV390" s="186"/>
      <c r="BW390" s="196"/>
      <c r="BX390" s="196"/>
      <c r="BY390" s="196"/>
      <c r="BZ390" s="197"/>
      <c r="CB390" s="186"/>
      <c r="CC390" s="196"/>
      <c r="CD390" s="196"/>
      <c r="CE390" s="196"/>
      <c r="CF390" s="197"/>
      <c r="CH390" s="198"/>
    </row>
    <row r="391" spans="1:86" ht="63">
      <c r="A391" s="1563"/>
      <c r="B391" s="168" t="s">
        <v>329</v>
      </c>
      <c r="C391" s="241" t="s">
        <v>313</v>
      </c>
      <c r="D391" s="177" t="s">
        <v>314</v>
      </c>
      <c r="F391" s="218">
        <v>51270</v>
      </c>
      <c r="G391" s="219">
        <v>58330</v>
      </c>
      <c r="H391" s="218">
        <v>44420</v>
      </c>
      <c r="I391" s="219">
        <v>51480</v>
      </c>
      <c r="J391" s="179" t="s">
        <v>182</v>
      </c>
      <c r="K391" s="220">
        <v>490</v>
      </c>
      <c r="L391" s="221">
        <v>560</v>
      </c>
      <c r="M391" s="222" t="s">
        <v>795</v>
      </c>
      <c r="N391" s="220">
        <v>420</v>
      </c>
      <c r="O391" s="221">
        <v>490</v>
      </c>
      <c r="P391" s="222" t="s">
        <v>795</v>
      </c>
      <c r="Q391" s="160" t="s">
        <v>182</v>
      </c>
      <c r="R391" s="275">
        <v>7060</v>
      </c>
      <c r="S391" s="276">
        <v>70</v>
      </c>
      <c r="T391" s="247" t="s">
        <v>184</v>
      </c>
      <c r="V391" s="278"/>
      <c r="W391" s="279" t="s">
        <v>706</v>
      </c>
      <c r="X391" s="176"/>
      <c r="Y391" s="279" t="s">
        <v>706</v>
      </c>
      <c r="Z391" s="279"/>
      <c r="AA391" s="176"/>
      <c r="AB391" s="177"/>
      <c r="AC391" s="160" t="s">
        <v>182</v>
      </c>
      <c r="AD391" s="1546">
        <v>13680</v>
      </c>
      <c r="AE391" s="227"/>
      <c r="AF391" s="226" t="s">
        <v>182</v>
      </c>
      <c r="AG391" s="226">
        <v>60</v>
      </c>
      <c r="AH391" s="217" t="s">
        <v>184</v>
      </c>
      <c r="AJ391" s="187" t="s">
        <v>205</v>
      </c>
      <c r="AK391" s="185"/>
      <c r="AL391" s="176" t="s">
        <v>182</v>
      </c>
      <c r="AM391" s="176">
        <v>40</v>
      </c>
      <c r="AN391" s="177" t="s">
        <v>316</v>
      </c>
      <c r="AO391" s="160" t="s">
        <v>182</v>
      </c>
      <c r="AP391" s="1550">
        <v>3100</v>
      </c>
      <c r="AQ391" s="1553">
        <v>3400</v>
      </c>
      <c r="AR391" s="1550">
        <v>2100</v>
      </c>
      <c r="AS391" s="1553">
        <v>2100</v>
      </c>
      <c r="AT391" s="1544" t="s">
        <v>664</v>
      </c>
      <c r="AU391" s="230" t="s">
        <v>697</v>
      </c>
      <c r="AV391" s="231">
        <v>6300</v>
      </c>
      <c r="AW391" s="232">
        <v>7100</v>
      </c>
      <c r="AX391" s="267">
        <v>4400</v>
      </c>
      <c r="AY391" s="252">
        <v>4400</v>
      </c>
      <c r="BA391" s="235" t="s">
        <v>668</v>
      </c>
      <c r="BB391" s="160" t="s">
        <v>182</v>
      </c>
      <c r="BC391" s="1556">
        <v>4700</v>
      </c>
      <c r="BD391" s="160" t="s">
        <v>182</v>
      </c>
      <c r="BE391" s="187">
        <v>3040</v>
      </c>
      <c r="BF391" s="176" t="s">
        <v>182</v>
      </c>
      <c r="BG391" s="176">
        <v>30</v>
      </c>
      <c r="BH391" s="177" t="s">
        <v>184</v>
      </c>
      <c r="BJ391" s="253"/>
      <c r="BK391" s="160" t="s">
        <v>188</v>
      </c>
      <c r="BL391" s="193" t="s">
        <v>317</v>
      </c>
      <c r="BM391" s="194" t="s">
        <v>317</v>
      </c>
      <c r="BN391" s="194" t="s">
        <v>317</v>
      </c>
      <c r="BO391" s="195" t="s">
        <v>317</v>
      </c>
      <c r="BP391" s="160" t="s">
        <v>188</v>
      </c>
      <c r="BQ391" s="187"/>
      <c r="BR391" s="185"/>
      <c r="BS391" s="185"/>
      <c r="BT391" s="254"/>
      <c r="BU391" s="160" t="s">
        <v>188</v>
      </c>
      <c r="BV391" s="187"/>
      <c r="BW391" s="185"/>
      <c r="BX391" s="185"/>
      <c r="BY391" s="185"/>
      <c r="BZ391" s="254"/>
      <c r="CA391" s="160" t="s">
        <v>188</v>
      </c>
      <c r="CB391" s="187"/>
      <c r="CC391" s="185"/>
      <c r="CD391" s="185"/>
      <c r="CE391" s="185"/>
      <c r="CF391" s="254"/>
      <c r="CH391" s="253" t="s">
        <v>324</v>
      </c>
    </row>
    <row r="392" spans="1:86">
      <c r="A392" s="1563"/>
      <c r="B392" s="168"/>
      <c r="C392" s="241"/>
      <c r="D392" s="177" t="s">
        <v>318</v>
      </c>
      <c r="F392" s="242">
        <v>58330</v>
      </c>
      <c r="G392" s="243">
        <v>116020</v>
      </c>
      <c r="H392" s="242">
        <v>51480</v>
      </c>
      <c r="I392" s="243">
        <v>109170</v>
      </c>
      <c r="J392" s="179" t="s">
        <v>182</v>
      </c>
      <c r="K392" s="244">
        <v>560</v>
      </c>
      <c r="L392" s="245">
        <v>1040</v>
      </c>
      <c r="M392" s="246" t="s">
        <v>795</v>
      </c>
      <c r="N392" s="244">
        <v>490</v>
      </c>
      <c r="O392" s="245">
        <v>970</v>
      </c>
      <c r="P392" s="246" t="s">
        <v>795</v>
      </c>
      <c r="Q392" s="160" t="s">
        <v>182</v>
      </c>
      <c r="R392" s="187">
        <v>7060</v>
      </c>
      <c r="S392" s="185">
        <v>70</v>
      </c>
      <c r="T392" s="247" t="s">
        <v>184</v>
      </c>
      <c r="V392" s="182"/>
      <c r="W392" s="185">
        <v>326300</v>
      </c>
      <c r="X392" s="176"/>
      <c r="Y392" s="185">
        <v>3260</v>
      </c>
      <c r="Z392" s="176" t="s">
        <v>184</v>
      </c>
      <c r="AA392" s="176"/>
      <c r="AB392" s="177"/>
      <c r="AD392" s="1547"/>
      <c r="AE392" s="248">
        <v>11950</v>
      </c>
      <c r="AF392" s="176"/>
      <c r="AG392" s="176"/>
      <c r="AH392" s="177"/>
      <c r="AJ392" s="187"/>
      <c r="AK392" s="185"/>
      <c r="AL392" s="176"/>
      <c r="AM392" s="176"/>
      <c r="AN392" s="177"/>
      <c r="AP392" s="1551"/>
      <c r="AQ392" s="1554"/>
      <c r="AR392" s="1551"/>
      <c r="AS392" s="1554"/>
      <c r="AT392" s="1544"/>
      <c r="AU392" s="172" t="s">
        <v>699</v>
      </c>
      <c r="AV392" s="249">
        <v>3500</v>
      </c>
      <c r="AW392" s="250">
        <v>3900</v>
      </c>
      <c r="AX392" s="267">
        <v>2400</v>
      </c>
      <c r="AY392" s="252">
        <v>2400</v>
      </c>
      <c r="BA392" s="235">
        <v>7500</v>
      </c>
      <c r="BC392" s="1557"/>
      <c r="BE392" s="187"/>
      <c r="BF392" s="176"/>
      <c r="BG392" s="176"/>
      <c r="BH392" s="177"/>
      <c r="BJ392" s="253"/>
      <c r="BL392" s="193"/>
      <c r="BM392" s="194"/>
      <c r="BN392" s="194"/>
      <c r="BO392" s="195"/>
      <c r="BQ392" s="187">
        <v>1810</v>
      </c>
      <c r="BR392" s="185" t="s">
        <v>199</v>
      </c>
      <c r="BS392" s="185">
        <v>10</v>
      </c>
      <c r="BT392" s="254" t="s">
        <v>184</v>
      </c>
      <c r="BV392" s="187">
        <v>6050</v>
      </c>
      <c r="BW392" s="185" t="s">
        <v>189</v>
      </c>
      <c r="BX392" s="185">
        <v>60</v>
      </c>
      <c r="BY392" s="185" t="s">
        <v>184</v>
      </c>
      <c r="BZ392" s="254" t="s">
        <v>190</v>
      </c>
      <c r="CB392" s="187">
        <v>3740</v>
      </c>
      <c r="CC392" s="185" t="s">
        <v>189</v>
      </c>
      <c r="CD392" s="185">
        <v>30</v>
      </c>
      <c r="CE392" s="185" t="s">
        <v>184</v>
      </c>
      <c r="CF392" s="254" t="s">
        <v>190</v>
      </c>
      <c r="CH392" s="253"/>
    </row>
    <row r="393" spans="1:86">
      <c r="A393" s="1563"/>
      <c r="B393" s="168"/>
      <c r="C393" s="241" t="s">
        <v>319</v>
      </c>
      <c r="D393" s="177" t="s">
        <v>320</v>
      </c>
      <c r="F393" s="242">
        <v>116020</v>
      </c>
      <c r="G393" s="243">
        <v>186630</v>
      </c>
      <c r="H393" s="242">
        <v>109170</v>
      </c>
      <c r="I393" s="243">
        <v>179780</v>
      </c>
      <c r="J393" s="179" t="s">
        <v>182</v>
      </c>
      <c r="K393" s="244">
        <v>1040</v>
      </c>
      <c r="L393" s="245">
        <v>1750</v>
      </c>
      <c r="M393" s="246" t="s">
        <v>795</v>
      </c>
      <c r="N393" s="244">
        <v>970</v>
      </c>
      <c r="O393" s="245">
        <v>1680</v>
      </c>
      <c r="P393" s="246" t="s">
        <v>795</v>
      </c>
      <c r="R393" s="182"/>
      <c r="S393" s="176"/>
      <c r="T393" s="177"/>
      <c r="V393" s="182"/>
      <c r="W393" s="185"/>
      <c r="X393" s="176"/>
      <c r="Y393" s="185"/>
      <c r="Z393" s="176"/>
      <c r="AA393" s="176"/>
      <c r="AB393" s="177"/>
      <c r="AC393" s="160" t="s">
        <v>182</v>
      </c>
      <c r="AD393" s="1548">
        <v>11950</v>
      </c>
      <c r="AE393" s="255"/>
      <c r="AF393" s="176"/>
      <c r="AG393" s="176">
        <v>0</v>
      </c>
      <c r="AH393" s="177"/>
      <c r="AJ393" s="187">
        <v>4840</v>
      </c>
      <c r="AK393" s="185" t="s">
        <v>321</v>
      </c>
      <c r="AL393" s="176"/>
      <c r="AM393" s="176"/>
      <c r="AN393" s="177"/>
      <c r="AP393" s="1551"/>
      <c r="AQ393" s="1554"/>
      <c r="AR393" s="1551"/>
      <c r="AS393" s="1554"/>
      <c r="AT393" s="1544"/>
      <c r="AU393" s="172" t="s">
        <v>700</v>
      </c>
      <c r="AV393" s="249">
        <v>3000</v>
      </c>
      <c r="AW393" s="250">
        <v>3400</v>
      </c>
      <c r="AX393" s="267">
        <v>2100</v>
      </c>
      <c r="AY393" s="252">
        <v>2100</v>
      </c>
      <c r="BA393" s="277"/>
      <c r="BC393" s="359"/>
      <c r="BE393" s="187"/>
      <c r="BF393" s="176"/>
      <c r="BG393" s="176"/>
      <c r="BH393" s="177"/>
      <c r="BJ393" s="253"/>
      <c r="BL393" s="193">
        <v>0.02</v>
      </c>
      <c r="BM393" s="194">
        <v>0.03</v>
      </c>
      <c r="BN393" s="194">
        <v>0.05</v>
      </c>
      <c r="BO393" s="195">
        <v>0.06</v>
      </c>
      <c r="BQ393" s="187"/>
      <c r="BR393" s="185"/>
      <c r="BS393" s="185"/>
      <c r="BT393" s="254"/>
      <c r="BV393" s="187"/>
      <c r="BW393" s="185"/>
      <c r="BX393" s="185"/>
      <c r="BY393" s="185"/>
      <c r="BZ393" s="254"/>
      <c r="CB393" s="187"/>
      <c r="CC393" s="185"/>
      <c r="CD393" s="185"/>
      <c r="CE393" s="185"/>
      <c r="CF393" s="254"/>
      <c r="CH393" s="253">
        <v>0.92</v>
      </c>
    </row>
    <row r="394" spans="1:86">
      <c r="A394" s="1563"/>
      <c r="B394" s="168"/>
      <c r="C394" s="241"/>
      <c r="D394" s="177" t="s">
        <v>322</v>
      </c>
      <c r="F394" s="256">
        <v>186630</v>
      </c>
      <c r="G394" s="257"/>
      <c r="H394" s="256">
        <v>179780</v>
      </c>
      <c r="I394" s="257"/>
      <c r="J394" s="179" t="s">
        <v>182</v>
      </c>
      <c r="K394" s="258">
        <v>1750</v>
      </c>
      <c r="L394" s="259"/>
      <c r="M394" s="260" t="s">
        <v>795</v>
      </c>
      <c r="N394" s="258">
        <v>1680</v>
      </c>
      <c r="O394" s="259"/>
      <c r="P394" s="260" t="s">
        <v>795</v>
      </c>
      <c r="R394" s="182"/>
      <c r="S394" s="176"/>
      <c r="T394" s="177"/>
      <c r="V394" s="278"/>
      <c r="W394" s="279" t="s">
        <v>707</v>
      </c>
      <c r="X394" s="176"/>
      <c r="Y394" s="279" t="s">
        <v>707</v>
      </c>
      <c r="Z394" s="279"/>
      <c r="AA394" s="176"/>
      <c r="AB394" s="177"/>
      <c r="AD394" s="1549"/>
      <c r="AE394" s="261"/>
      <c r="AF394" s="271"/>
      <c r="AG394" s="271"/>
      <c r="AH394" s="184"/>
      <c r="AJ394" s="187"/>
      <c r="AK394" s="185"/>
      <c r="AL394" s="176"/>
      <c r="AM394" s="176"/>
      <c r="AN394" s="177"/>
      <c r="AP394" s="1552"/>
      <c r="AQ394" s="1555"/>
      <c r="AR394" s="1552"/>
      <c r="AS394" s="1555"/>
      <c r="AT394" s="1544"/>
      <c r="AU394" s="262" t="s">
        <v>701</v>
      </c>
      <c r="AV394" s="263">
        <v>2700</v>
      </c>
      <c r="AW394" s="264">
        <v>3000</v>
      </c>
      <c r="AX394" s="265">
        <v>1900</v>
      </c>
      <c r="AY394" s="266">
        <v>1900</v>
      </c>
      <c r="BA394" s="235" t="s">
        <v>669</v>
      </c>
      <c r="BC394" s="359"/>
      <c r="BE394" s="187"/>
      <c r="BF394" s="176"/>
      <c r="BG394" s="176"/>
      <c r="BH394" s="177"/>
      <c r="BJ394" s="253"/>
      <c r="BL394" s="193"/>
      <c r="BM394" s="194"/>
      <c r="BN394" s="194"/>
      <c r="BO394" s="195"/>
      <c r="BQ394" s="187"/>
      <c r="BR394" s="185"/>
      <c r="BS394" s="185"/>
      <c r="BT394" s="254"/>
      <c r="BV394" s="187"/>
      <c r="BW394" s="185"/>
      <c r="BX394" s="185"/>
      <c r="BY394" s="185"/>
      <c r="BZ394" s="254"/>
      <c r="CB394" s="187"/>
      <c r="CC394" s="185"/>
      <c r="CD394" s="185"/>
      <c r="CE394" s="185"/>
      <c r="CF394" s="254"/>
      <c r="CH394" s="253"/>
    </row>
    <row r="395" spans="1:86" ht="63">
      <c r="A395" s="1563"/>
      <c r="B395" s="215" t="s">
        <v>330</v>
      </c>
      <c r="C395" s="216" t="s">
        <v>313</v>
      </c>
      <c r="D395" s="217" t="s">
        <v>314</v>
      </c>
      <c r="F395" s="218">
        <v>47000</v>
      </c>
      <c r="G395" s="219">
        <v>54060</v>
      </c>
      <c r="H395" s="218">
        <v>41010</v>
      </c>
      <c r="I395" s="219">
        <v>48070</v>
      </c>
      <c r="J395" s="179" t="s">
        <v>182</v>
      </c>
      <c r="K395" s="220">
        <v>450</v>
      </c>
      <c r="L395" s="221">
        <v>520</v>
      </c>
      <c r="M395" s="222" t="s">
        <v>795</v>
      </c>
      <c r="N395" s="220">
        <v>390</v>
      </c>
      <c r="O395" s="221">
        <v>460</v>
      </c>
      <c r="P395" s="222" t="s">
        <v>795</v>
      </c>
      <c r="Q395" s="160" t="s">
        <v>182</v>
      </c>
      <c r="R395" s="223">
        <v>7060</v>
      </c>
      <c r="S395" s="224">
        <v>70</v>
      </c>
      <c r="T395" s="225" t="s">
        <v>184</v>
      </c>
      <c r="V395" s="182"/>
      <c r="W395" s="185">
        <v>360200</v>
      </c>
      <c r="X395" s="176"/>
      <c r="Y395" s="185">
        <v>3600</v>
      </c>
      <c r="Z395" s="176" t="s">
        <v>184</v>
      </c>
      <c r="AA395" s="176"/>
      <c r="AB395" s="177"/>
      <c r="AC395" s="160" t="s">
        <v>182</v>
      </c>
      <c r="AD395" s="1546">
        <v>12830</v>
      </c>
      <c r="AE395" s="227"/>
      <c r="AF395" s="176" t="s">
        <v>182</v>
      </c>
      <c r="AG395" s="176">
        <v>50</v>
      </c>
      <c r="AH395" s="177" t="s">
        <v>184</v>
      </c>
      <c r="AJ395" s="187" t="s">
        <v>207</v>
      </c>
      <c r="AK395" s="185"/>
      <c r="AL395" s="176" t="s">
        <v>182</v>
      </c>
      <c r="AM395" s="176">
        <v>40</v>
      </c>
      <c r="AN395" s="177" t="s">
        <v>316</v>
      </c>
      <c r="AO395" s="160" t="s">
        <v>182</v>
      </c>
      <c r="AP395" s="1550">
        <v>3500</v>
      </c>
      <c r="AQ395" s="1553">
        <v>3900</v>
      </c>
      <c r="AR395" s="1550">
        <v>2500</v>
      </c>
      <c r="AS395" s="1553">
        <v>2500</v>
      </c>
      <c r="AT395" s="1544" t="s">
        <v>664</v>
      </c>
      <c r="AU395" s="230" t="s">
        <v>697</v>
      </c>
      <c r="AV395" s="231">
        <v>7100</v>
      </c>
      <c r="AW395" s="232">
        <v>7900</v>
      </c>
      <c r="AX395" s="267">
        <v>4900</v>
      </c>
      <c r="AY395" s="252">
        <v>4900</v>
      </c>
      <c r="BA395" s="235">
        <v>6130</v>
      </c>
      <c r="BB395" s="160" t="s">
        <v>182</v>
      </c>
      <c r="BC395" s="1556">
        <v>4700</v>
      </c>
      <c r="BD395" s="160" t="s">
        <v>182</v>
      </c>
      <c r="BE395" s="228">
        <v>2660</v>
      </c>
      <c r="BF395" s="226" t="s">
        <v>182</v>
      </c>
      <c r="BG395" s="226">
        <v>20</v>
      </c>
      <c r="BH395" s="217" t="s">
        <v>184</v>
      </c>
      <c r="BJ395" s="253"/>
      <c r="BK395" s="160" t="s">
        <v>188</v>
      </c>
      <c r="BL395" s="237" t="s">
        <v>317</v>
      </c>
      <c r="BM395" s="238" t="s">
        <v>317</v>
      </c>
      <c r="BN395" s="238" t="s">
        <v>317</v>
      </c>
      <c r="BO395" s="239" t="s">
        <v>317</v>
      </c>
      <c r="BP395" s="160" t="s">
        <v>188</v>
      </c>
      <c r="BQ395" s="228"/>
      <c r="BR395" s="229"/>
      <c r="BS395" s="229"/>
      <c r="BT395" s="240"/>
      <c r="BU395" s="160" t="s">
        <v>188</v>
      </c>
      <c r="BV395" s="228"/>
      <c r="BW395" s="229"/>
      <c r="BX395" s="229"/>
      <c r="BY395" s="229"/>
      <c r="BZ395" s="240"/>
      <c r="CA395" s="160" t="s">
        <v>188</v>
      </c>
      <c r="CB395" s="228"/>
      <c r="CC395" s="229"/>
      <c r="CD395" s="229"/>
      <c r="CE395" s="229"/>
      <c r="CF395" s="240"/>
      <c r="CH395" s="236" t="s">
        <v>324</v>
      </c>
    </row>
    <row r="396" spans="1:86">
      <c r="A396" s="1563"/>
      <c r="B396" s="168"/>
      <c r="C396" s="241"/>
      <c r="D396" s="177" t="s">
        <v>318</v>
      </c>
      <c r="F396" s="242">
        <v>54060</v>
      </c>
      <c r="G396" s="243">
        <v>111750</v>
      </c>
      <c r="H396" s="242">
        <v>48070</v>
      </c>
      <c r="I396" s="243">
        <v>105760</v>
      </c>
      <c r="J396" s="179" t="s">
        <v>182</v>
      </c>
      <c r="K396" s="244">
        <v>520</v>
      </c>
      <c r="L396" s="245">
        <v>1000</v>
      </c>
      <c r="M396" s="246" t="s">
        <v>795</v>
      </c>
      <c r="N396" s="244">
        <v>460</v>
      </c>
      <c r="O396" s="245">
        <v>940</v>
      </c>
      <c r="P396" s="246" t="s">
        <v>795</v>
      </c>
      <c r="Q396" s="160" t="s">
        <v>182</v>
      </c>
      <c r="R396" s="187">
        <v>7060</v>
      </c>
      <c r="S396" s="185">
        <v>70</v>
      </c>
      <c r="T396" s="247" t="s">
        <v>184</v>
      </c>
      <c r="V396" s="182"/>
      <c r="W396" s="185"/>
      <c r="X396" s="176"/>
      <c r="Y396" s="185"/>
      <c r="Z396" s="176"/>
      <c r="AA396" s="176"/>
      <c r="AB396" s="177"/>
      <c r="AD396" s="1547"/>
      <c r="AE396" s="248">
        <v>11100</v>
      </c>
      <c r="AF396" s="176"/>
      <c r="AG396" s="176"/>
      <c r="AH396" s="177"/>
      <c r="AJ396" s="187"/>
      <c r="AK396" s="185"/>
      <c r="AL396" s="176"/>
      <c r="AM396" s="176"/>
      <c r="AN396" s="177"/>
      <c r="AP396" s="1551"/>
      <c r="AQ396" s="1554"/>
      <c r="AR396" s="1551"/>
      <c r="AS396" s="1554"/>
      <c r="AT396" s="1544"/>
      <c r="AU396" s="172" t="s">
        <v>699</v>
      </c>
      <c r="AV396" s="249">
        <v>3900</v>
      </c>
      <c r="AW396" s="250">
        <v>4300</v>
      </c>
      <c r="AX396" s="267">
        <v>2700</v>
      </c>
      <c r="AY396" s="252">
        <v>2700</v>
      </c>
      <c r="BA396" s="277"/>
      <c r="BC396" s="1557"/>
      <c r="BE396" s="187"/>
      <c r="BF396" s="176"/>
      <c r="BG396" s="176"/>
      <c r="BH396" s="177"/>
      <c r="BJ396" s="253"/>
      <c r="BL396" s="193"/>
      <c r="BM396" s="194"/>
      <c r="BN396" s="194"/>
      <c r="BO396" s="195"/>
      <c r="BQ396" s="187">
        <v>1590</v>
      </c>
      <c r="BR396" s="185" t="s">
        <v>199</v>
      </c>
      <c r="BS396" s="185">
        <v>10</v>
      </c>
      <c r="BT396" s="254" t="s">
        <v>184</v>
      </c>
      <c r="BV396" s="187">
        <v>5290</v>
      </c>
      <c r="BW396" s="185" t="s">
        <v>189</v>
      </c>
      <c r="BX396" s="185">
        <v>50</v>
      </c>
      <c r="BY396" s="185" t="s">
        <v>184</v>
      </c>
      <c r="BZ396" s="254" t="s">
        <v>190</v>
      </c>
      <c r="CB396" s="187">
        <v>3270</v>
      </c>
      <c r="CC396" s="185" t="s">
        <v>189</v>
      </c>
      <c r="CD396" s="185">
        <v>30</v>
      </c>
      <c r="CE396" s="185" t="s">
        <v>184</v>
      </c>
      <c r="CF396" s="254" t="s">
        <v>190</v>
      </c>
      <c r="CH396" s="253"/>
    </row>
    <row r="397" spans="1:86">
      <c r="A397" s="1563"/>
      <c r="B397" s="168"/>
      <c r="C397" s="241" t="s">
        <v>319</v>
      </c>
      <c r="D397" s="177" t="s">
        <v>320</v>
      </c>
      <c r="F397" s="242">
        <v>111750</v>
      </c>
      <c r="G397" s="243">
        <v>182360</v>
      </c>
      <c r="H397" s="242">
        <v>105760</v>
      </c>
      <c r="I397" s="243">
        <v>176370</v>
      </c>
      <c r="J397" s="179" t="s">
        <v>182</v>
      </c>
      <c r="K397" s="244">
        <v>1000</v>
      </c>
      <c r="L397" s="245">
        <v>1710</v>
      </c>
      <c r="M397" s="246" t="s">
        <v>795</v>
      </c>
      <c r="N397" s="244">
        <v>940</v>
      </c>
      <c r="O397" s="245">
        <v>1650</v>
      </c>
      <c r="P397" s="246" t="s">
        <v>795</v>
      </c>
      <c r="R397" s="182"/>
      <c r="S397" s="176"/>
      <c r="T397" s="177"/>
      <c r="V397" s="278"/>
      <c r="W397" s="279" t="s">
        <v>708</v>
      </c>
      <c r="X397" s="176"/>
      <c r="Y397" s="279" t="s">
        <v>708</v>
      </c>
      <c r="Z397" s="279"/>
      <c r="AA397" s="176"/>
      <c r="AB397" s="177"/>
      <c r="AC397" s="160" t="s">
        <v>182</v>
      </c>
      <c r="AD397" s="1548">
        <v>11100</v>
      </c>
      <c r="AE397" s="255"/>
      <c r="AF397" s="176"/>
      <c r="AG397" s="176">
        <v>0</v>
      </c>
      <c r="AH397" s="177"/>
      <c r="AJ397" s="187">
        <v>4140</v>
      </c>
      <c r="AK397" s="185" t="s">
        <v>321</v>
      </c>
      <c r="AL397" s="176"/>
      <c r="AM397" s="176"/>
      <c r="AN397" s="177"/>
      <c r="AP397" s="1551"/>
      <c r="AQ397" s="1554"/>
      <c r="AR397" s="1551"/>
      <c r="AS397" s="1554"/>
      <c r="AT397" s="1544"/>
      <c r="AU397" s="172" t="s">
        <v>700</v>
      </c>
      <c r="AV397" s="249">
        <v>3400</v>
      </c>
      <c r="AW397" s="250">
        <v>3800</v>
      </c>
      <c r="AX397" s="267">
        <v>2300</v>
      </c>
      <c r="AY397" s="252">
        <v>2300</v>
      </c>
      <c r="BA397" s="235" t="s">
        <v>670</v>
      </c>
      <c r="BC397" s="359"/>
      <c r="BE397" s="187"/>
      <c r="BF397" s="176"/>
      <c r="BG397" s="176"/>
      <c r="BH397" s="177"/>
      <c r="BJ397" s="253"/>
      <c r="BL397" s="193">
        <v>0.02</v>
      </c>
      <c r="BM397" s="194">
        <v>0.03</v>
      </c>
      <c r="BN397" s="194">
        <v>0.05</v>
      </c>
      <c r="BO397" s="195">
        <v>0.06</v>
      </c>
      <c r="BQ397" s="187"/>
      <c r="BR397" s="185"/>
      <c r="BS397" s="185"/>
      <c r="BT397" s="254"/>
      <c r="BV397" s="187"/>
      <c r="BW397" s="185"/>
      <c r="BX397" s="185"/>
      <c r="BY397" s="185"/>
      <c r="BZ397" s="254"/>
      <c r="CB397" s="187"/>
      <c r="CC397" s="185"/>
      <c r="CD397" s="185"/>
      <c r="CE397" s="185"/>
      <c r="CF397" s="254"/>
      <c r="CH397" s="253">
        <v>0.89</v>
      </c>
    </row>
    <row r="398" spans="1:86">
      <c r="A398" s="1563"/>
      <c r="B398" s="269"/>
      <c r="C398" s="270"/>
      <c r="D398" s="184" t="s">
        <v>322</v>
      </c>
      <c r="F398" s="256">
        <v>182360</v>
      </c>
      <c r="G398" s="257"/>
      <c r="H398" s="256">
        <v>176370</v>
      </c>
      <c r="I398" s="257"/>
      <c r="J398" s="179" t="s">
        <v>182</v>
      </c>
      <c r="K398" s="258">
        <v>1710</v>
      </c>
      <c r="L398" s="259"/>
      <c r="M398" s="260" t="s">
        <v>795</v>
      </c>
      <c r="N398" s="258">
        <v>1650</v>
      </c>
      <c r="O398" s="259"/>
      <c r="P398" s="260" t="s">
        <v>795</v>
      </c>
      <c r="R398" s="183"/>
      <c r="S398" s="271"/>
      <c r="T398" s="184"/>
      <c r="V398" s="182"/>
      <c r="W398" s="185">
        <v>394000</v>
      </c>
      <c r="X398" s="176"/>
      <c r="Y398" s="185">
        <v>3940</v>
      </c>
      <c r="Z398" s="176" t="s">
        <v>184</v>
      </c>
      <c r="AA398" s="176"/>
      <c r="AB398" s="177"/>
      <c r="AD398" s="1549"/>
      <c r="AE398" s="261"/>
      <c r="AF398" s="176"/>
      <c r="AG398" s="176"/>
      <c r="AH398" s="177"/>
      <c r="AJ398" s="187"/>
      <c r="AK398" s="185"/>
      <c r="AL398" s="176"/>
      <c r="AM398" s="176"/>
      <c r="AN398" s="177"/>
      <c r="AP398" s="1552"/>
      <c r="AQ398" s="1555"/>
      <c r="AR398" s="1552"/>
      <c r="AS398" s="1555"/>
      <c r="AT398" s="1544"/>
      <c r="AU398" s="262" t="s">
        <v>701</v>
      </c>
      <c r="AV398" s="263">
        <v>3000</v>
      </c>
      <c r="AW398" s="264">
        <v>3400</v>
      </c>
      <c r="AX398" s="265">
        <v>2100</v>
      </c>
      <c r="AY398" s="266">
        <v>2100</v>
      </c>
      <c r="BA398" s="235">
        <v>5220</v>
      </c>
      <c r="BC398" s="359"/>
      <c r="BE398" s="186"/>
      <c r="BF398" s="271"/>
      <c r="BG398" s="271"/>
      <c r="BH398" s="184"/>
      <c r="BJ398" s="253"/>
      <c r="BL398" s="272"/>
      <c r="BM398" s="273"/>
      <c r="BN398" s="273"/>
      <c r="BO398" s="274"/>
      <c r="BQ398" s="186"/>
      <c r="BR398" s="196"/>
      <c r="BS398" s="196"/>
      <c r="BT398" s="197"/>
      <c r="BV398" s="186"/>
      <c r="BW398" s="196"/>
      <c r="BX398" s="196"/>
      <c r="BY398" s="196"/>
      <c r="BZ398" s="197"/>
      <c r="CB398" s="186"/>
      <c r="CC398" s="196"/>
      <c r="CD398" s="196"/>
      <c r="CE398" s="196"/>
      <c r="CF398" s="197"/>
      <c r="CH398" s="198"/>
    </row>
    <row r="399" spans="1:86" ht="63">
      <c r="A399" s="1563"/>
      <c r="B399" s="168" t="s">
        <v>331</v>
      </c>
      <c r="C399" s="241" t="s">
        <v>313</v>
      </c>
      <c r="D399" s="177" t="s">
        <v>314</v>
      </c>
      <c r="F399" s="218">
        <v>43630</v>
      </c>
      <c r="G399" s="219">
        <v>50690</v>
      </c>
      <c r="H399" s="218">
        <v>38310</v>
      </c>
      <c r="I399" s="219">
        <v>45370</v>
      </c>
      <c r="J399" s="179" t="s">
        <v>182</v>
      </c>
      <c r="K399" s="220">
        <v>410</v>
      </c>
      <c r="L399" s="221">
        <v>480</v>
      </c>
      <c r="M399" s="222" t="s">
        <v>795</v>
      </c>
      <c r="N399" s="220">
        <v>360</v>
      </c>
      <c r="O399" s="221">
        <v>430</v>
      </c>
      <c r="P399" s="222" t="s">
        <v>795</v>
      </c>
      <c r="Q399" s="160" t="s">
        <v>182</v>
      </c>
      <c r="R399" s="275">
        <v>7060</v>
      </c>
      <c r="S399" s="276">
        <v>70</v>
      </c>
      <c r="T399" s="247" t="s">
        <v>184</v>
      </c>
      <c r="V399" s="182"/>
      <c r="W399" s="185"/>
      <c r="X399" s="176"/>
      <c r="Y399" s="185"/>
      <c r="Z399" s="176"/>
      <c r="AA399" s="176"/>
      <c r="AB399" s="177"/>
      <c r="AC399" s="160" t="s">
        <v>182</v>
      </c>
      <c r="AD399" s="1546">
        <v>12170</v>
      </c>
      <c r="AE399" s="227"/>
      <c r="AF399" s="226" t="s">
        <v>182</v>
      </c>
      <c r="AG399" s="226">
        <v>50</v>
      </c>
      <c r="AH399" s="217" t="s">
        <v>184</v>
      </c>
      <c r="AJ399" s="187" t="s">
        <v>209</v>
      </c>
      <c r="AK399" s="185"/>
      <c r="AL399" s="176" t="s">
        <v>182</v>
      </c>
      <c r="AM399" s="176">
        <v>30</v>
      </c>
      <c r="AN399" s="177" t="s">
        <v>316</v>
      </c>
      <c r="AO399" s="160" t="s">
        <v>182</v>
      </c>
      <c r="AP399" s="1550">
        <v>3100</v>
      </c>
      <c r="AQ399" s="1553">
        <v>3400</v>
      </c>
      <c r="AR399" s="1550">
        <v>2200</v>
      </c>
      <c r="AS399" s="1553">
        <v>2200</v>
      </c>
      <c r="AT399" s="1544" t="s">
        <v>664</v>
      </c>
      <c r="AU399" s="230" t="s">
        <v>697</v>
      </c>
      <c r="AV399" s="231">
        <v>6300</v>
      </c>
      <c r="AW399" s="232">
        <v>7100</v>
      </c>
      <c r="AX399" s="267">
        <v>4400</v>
      </c>
      <c r="AY399" s="252">
        <v>4400</v>
      </c>
      <c r="BA399" s="277"/>
      <c r="BB399" s="160" t="s">
        <v>182</v>
      </c>
      <c r="BC399" s="1556">
        <v>4700</v>
      </c>
      <c r="BD399" s="160" t="s">
        <v>182</v>
      </c>
      <c r="BE399" s="187">
        <v>2360</v>
      </c>
      <c r="BF399" s="176" t="s">
        <v>182</v>
      </c>
      <c r="BG399" s="176">
        <v>20</v>
      </c>
      <c r="BH399" s="177" t="s">
        <v>184</v>
      </c>
      <c r="BJ399" s="253"/>
      <c r="BK399" s="160" t="s">
        <v>188</v>
      </c>
      <c r="BL399" s="193" t="s">
        <v>317</v>
      </c>
      <c r="BM399" s="194" t="s">
        <v>317</v>
      </c>
      <c r="BN399" s="194" t="s">
        <v>317</v>
      </c>
      <c r="BO399" s="195" t="s">
        <v>317</v>
      </c>
      <c r="BP399" s="160" t="s">
        <v>188</v>
      </c>
      <c r="BQ399" s="187"/>
      <c r="BR399" s="185"/>
      <c r="BS399" s="185"/>
      <c r="BT399" s="254"/>
      <c r="BU399" s="160" t="s">
        <v>188</v>
      </c>
      <c r="BV399" s="187"/>
      <c r="BW399" s="185"/>
      <c r="BX399" s="185"/>
      <c r="BY399" s="185"/>
      <c r="BZ399" s="254"/>
      <c r="CA399" s="160" t="s">
        <v>188</v>
      </c>
      <c r="CB399" s="187"/>
      <c r="CC399" s="185"/>
      <c r="CD399" s="185"/>
      <c r="CE399" s="185"/>
      <c r="CF399" s="254"/>
      <c r="CH399" s="253" t="s">
        <v>324</v>
      </c>
    </row>
    <row r="400" spans="1:86">
      <c r="A400" s="1563"/>
      <c r="B400" s="168"/>
      <c r="C400" s="241"/>
      <c r="D400" s="177" t="s">
        <v>318</v>
      </c>
      <c r="F400" s="242">
        <v>50690</v>
      </c>
      <c r="G400" s="243">
        <v>108380</v>
      </c>
      <c r="H400" s="242">
        <v>45370</v>
      </c>
      <c r="I400" s="243">
        <v>103060</v>
      </c>
      <c r="J400" s="179" t="s">
        <v>182</v>
      </c>
      <c r="K400" s="244">
        <v>480</v>
      </c>
      <c r="L400" s="245">
        <v>970</v>
      </c>
      <c r="M400" s="246" t="s">
        <v>795</v>
      </c>
      <c r="N400" s="244">
        <v>430</v>
      </c>
      <c r="O400" s="245">
        <v>910</v>
      </c>
      <c r="P400" s="246" t="s">
        <v>795</v>
      </c>
      <c r="Q400" s="160" t="s">
        <v>182</v>
      </c>
      <c r="R400" s="187">
        <v>7060</v>
      </c>
      <c r="S400" s="185">
        <v>70</v>
      </c>
      <c r="T400" s="247" t="s">
        <v>184</v>
      </c>
      <c r="V400" s="278"/>
      <c r="W400" s="279" t="s">
        <v>709</v>
      </c>
      <c r="X400" s="176"/>
      <c r="Y400" s="279" t="s">
        <v>709</v>
      </c>
      <c r="Z400" s="279"/>
      <c r="AA400" s="176" t="s">
        <v>332</v>
      </c>
      <c r="AB400" s="177" t="s">
        <v>333</v>
      </c>
      <c r="AD400" s="1547"/>
      <c r="AE400" s="248">
        <v>10440</v>
      </c>
      <c r="AF400" s="176"/>
      <c r="AG400" s="176"/>
      <c r="AH400" s="177"/>
      <c r="AJ400" s="187"/>
      <c r="AK400" s="185"/>
      <c r="AL400" s="176"/>
      <c r="AM400" s="176"/>
      <c r="AN400" s="177"/>
      <c r="AP400" s="1551"/>
      <c r="AQ400" s="1554"/>
      <c r="AR400" s="1551"/>
      <c r="AS400" s="1554"/>
      <c r="AT400" s="1544"/>
      <c r="AU400" s="172" t="s">
        <v>699</v>
      </c>
      <c r="AV400" s="249">
        <v>3500</v>
      </c>
      <c r="AW400" s="250">
        <v>3900</v>
      </c>
      <c r="AX400" s="267">
        <v>2400</v>
      </c>
      <c r="AY400" s="252">
        <v>2400</v>
      </c>
      <c r="BA400" s="235" t="s">
        <v>671</v>
      </c>
      <c r="BC400" s="1557"/>
      <c r="BE400" s="187"/>
      <c r="BF400" s="176"/>
      <c r="BG400" s="176"/>
      <c r="BH400" s="177"/>
      <c r="BJ400" s="253"/>
      <c r="BL400" s="193"/>
      <c r="BM400" s="194"/>
      <c r="BN400" s="194"/>
      <c r="BO400" s="195"/>
      <c r="BQ400" s="187">
        <v>1410</v>
      </c>
      <c r="BR400" s="185" t="s">
        <v>199</v>
      </c>
      <c r="BS400" s="185">
        <v>10</v>
      </c>
      <c r="BT400" s="254" t="s">
        <v>184</v>
      </c>
      <c r="BV400" s="187">
        <v>4700</v>
      </c>
      <c r="BW400" s="185" t="s">
        <v>189</v>
      </c>
      <c r="BX400" s="185">
        <v>40</v>
      </c>
      <c r="BY400" s="185" t="s">
        <v>184</v>
      </c>
      <c r="BZ400" s="254" t="s">
        <v>190</v>
      </c>
      <c r="CB400" s="187">
        <v>2910</v>
      </c>
      <c r="CC400" s="185" t="s">
        <v>189</v>
      </c>
      <c r="CD400" s="185">
        <v>20</v>
      </c>
      <c r="CE400" s="185" t="s">
        <v>184</v>
      </c>
      <c r="CF400" s="254" t="s">
        <v>190</v>
      </c>
      <c r="CH400" s="253"/>
    </row>
    <row r="401" spans="1:86">
      <c r="A401" s="1563"/>
      <c r="B401" s="168"/>
      <c r="C401" s="241" t="s">
        <v>319</v>
      </c>
      <c r="D401" s="177" t="s">
        <v>320</v>
      </c>
      <c r="F401" s="242">
        <v>108380</v>
      </c>
      <c r="G401" s="243">
        <v>178990</v>
      </c>
      <c r="H401" s="242">
        <v>103060</v>
      </c>
      <c r="I401" s="243">
        <v>173670</v>
      </c>
      <c r="J401" s="179" t="s">
        <v>182</v>
      </c>
      <c r="K401" s="244">
        <v>970</v>
      </c>
      <c r="L401" s="245">
        <v>1680</v>
      </c>
      <c r="M401" s="246" t="s">
        <v>795</v>
      </c>
      <c r="N401" s="244">
        <v>910</v>
      </c>
      <c r="O401" s="245">
        <v>1620</v>
      </c>
      <c r="P401" s="246" t="s">
        <v>795</v>
      </c>
      <c r="R401" s="182"/>
      <c r="S401" s="176"/>
      <c r="T401" s="177"/>
      <c r="V401" s="182"/>
      <c r="W401" s="185">
        <v>427800</v>
      </c>
      <c r="X401" s="176"/>
      <c r="Y401" s="185">
        <v>4270</v>
      </c>
      <c r="Z401" s="176" t="s">
        <v>184</v>
      </c>
      <c r="AA401" s="176"/>
      <c r="AB401" s="177" t="s">
        <v>334</v>
      </c>
      <c r="AC401" s="160" t="s">
        <v>182</v>
      </c>
      <c r="AD401" s="1548">
        <v>10440</v>
      </c>
      <c r="AE401" s="255"/>
      <c r="AF401" s="176"/>
      <c r="AG401" s="176">
        <v>0</v>
      </c>
      <c r="AH401" s="177"/>
      <c r="AJ401" s="187">
        <v>3630</v>
      </c>
      <c r="AK401" s="185" t="s">
        <v>321</v>
      </c>
      <c r="AL401" s="176"/>
      <c r="AM401" s="176"/>
      <c r="AN401" s="177"/>
      <c r="AP401" s="1551"/>
      <c r="AQ401" s="1554"/>
      <c r="AR401" s="1551"/>
      <c r="AS401" s="1554"/>
      <c r="AT401" s="1544"/>
      <c r="AU401" s="172" t="s">
        <v>700</v>
      </c>
      <c r="AV401" s="249">
        <v>3000</v>
      </c>
      <c r="AW401" s="250">
        <v>3400</v>
      </c>
      <c r="AX401" s="267">
        <v>2100</v>
      </c>
      <c r="AY401" s="252">
        <v>2100</v>
      </c>
      <c r="BA401" s="235">
        <v>4660</v>
      </c>
      <c r="BC401" s="358"/>
      <c r="BE401" s="187"/>
      <c r="BF401" s="176"/>
      <c r="BG401" s="176"/>
      <c r="BH401" s="177"/>
      <c r="BJ401" s="253" t="s">
        <v>335</v>
      </c>
      <c r="BL401" s="193">
        <v>0.02</v>
      </c>
      <c r="BM401" s="194">
        <v>0.03</v>
      </c>
      <c r="BN401" s="194">
        <v>0.05</v>
      </c>
      <c r="BO401" s="195">
        <v>0.06</v>
      </c>
      <c r="BQ401" s="187"/>
      <c r="BR401" s="185"/>
      <c r="BS401" s="185"/>
      <c r="BT401" s="254"/>
      <c r="BV401" s="187"/>
      <c r="BW401" s="185"/>
      <c r="BX401" s="185"/>
      <c r="BY401" s="185"/>
      <c r="BZ401" s="254"/>
      <c r="CB401" s="187"/>
      <c r="CC401" s="185"/>
      <c r="CD401" s="185"/>
      <c r="CE401" s="185"/>
      <c r="CF401" s="254"/>
      <c r="CH401" s="253">
        <v>0.91</v>
      </c>
    </row>
    <row r="402" spans="1:86">
      <c r="A402" s="1563"/>
      <c r="B402" s="168"/>
      <c r="C402" s="241"/>
      <c r="D402" s="177" t="s">
        <v>322</v>
      </c>
      <c r="F402" s="256">
        <v>178990</v>
      </c>
      <c r="G402" s="257"/>
      <c r="H402" s="256">
        <v>173670</v>
      </c>
      <c r="I402" s="257"/>
      <c r="J402" s="179" t="s">
        <v>182</v>
      </c>
      <c r="K402" s="258">
        <v>1680</v>
      </c>
      <c r="L402" s="259"/>
      <c r="M402" s="260" t="s">
        <v>795</v>
      </c>
      <c r="N402" s="258">
        <v>1620</v>
      </c>
      <c r="O402" s="259"/>
      <c r="P402" s="260" t="s">
        <v>795</v>
      </c>
      <c r="R402" s="182"/>
      <c r="S402" s="176"/>
      <c r="T402" s="177"/>
      <c r="V402" s="182"/>
      <c r="W402" s="185"/>
      <c r="X402" s="176"/>
      <c r="Y402" s="185"/>
      <c r="Z402" s="176"/>
      <c r="AA402" s="176"/>
      <c r="AB402" s="177"/>
      <c r="AD402" s="1549"/>
      <c r="AE402" s="261"/>
      <c r="AF402" s="271"/>
      <c r="AG402" s="271"/>
      <c r="AH402" s="184"/>
      <c r="AJ402" s="187"/>
      <c r="AK402" s="185"/>
      <c r="AL402" s="176"/>
      <c r="AM402" s="176"/>
      <c r="AN402" s="177"/>
      <c r="AP402" s="1552"/>
      <c r="AQ402" s="1555"/>
      <c r="AR402" s="1552"/>
      <c r="AS402" s="1555"/>
      <c r="AT402" s="1544"/>
      <c r="AU402" s="262" t="s">
        <v>701</v>
      </c>
      <c r="AV402" s="263">
        <v>2700</v>
      </c>
      <c r="AW402" s="264">
        <v>3000</v>
      </c>
      <c r="AX402" s="265">
        <v>1900</v>
      </c>
      <c r="AY402" s="266">
        <v>1900</v>
      </c>
      <c r="BA402" s="277"/>
      <c r="BC402" s="359"/>
      <c r="BE402" s="187"/>
      <c r="BF402" s="176"/>
      <c r="BG402" s="176"/>
      <c r="BH402" s="177"/>
      <c r="BJ402" s="253"/>
      <c r="BL402" s="193"/>
      <c r="BM402" s="194"/>
      <c r="BN402" s="194"/>
      <c r="BO402" s="195"/>
      <c r="BQ402" s="187"/>
      <c r="BR402" s="185"/>
      <c r="BS402" s="185"/>
      <c r="BT402" s="254"/>
      <c r="BV402" s="187"/>
      <c r="BW402" s="185"/>
      <c r="BX402" s="185"/>
      <c r="BY402" s="185"/>
      <c r="BZ402" s="254"/>
      <c r="CB402" s="187"/>
      <c r="CC402" s="185"/>
      <c r="CD402" s="185"/>
      <c r="CE402" s="185"/>
      <c r="CF402" s="254"/>
      <c r="CH402" s="253"/>
    </row>
    <row r="403" spans="1:86" ht="63">
      <c r="A403" s="1563"/>
      <c r="B403" s="215" t="s">
        <v>336</v>
      </c>
      <c r="C403" s="216" t="s">
        <v>313</v>
      </c>
      <c r="D403" s="217" t="s">
        <v>314</v>
      </c>
      <c r="F403" s="218">
        <v>37880</v>
      </c>
      <c r="G403" s="219">
        <v>44940</v>
      </c>
      <c r="H403" s="218">
        <v>33090</v>
      </c>
      <c r="I403" s="219">
        <v>40150</v>
      </c>
      <c r="J403" s="179" t="s">
        <v>182</v>
      </c>
      <c r="K403" s="220">
        <v>360</v>
      </c>
      <c r="L403" s="221">
        <v>430</v>
      </c>
      <c r="M403" s="222" t="s">
        <v>795</v>
      </c>
      <c r="N403" s="220">
        <v>310</v>
      </c>
      <c r="O403" s="221">
        <v>380</v>
      </c>
      <c r="P403" s="222" t="s">
        <v>795</v>
      </c>
      <c r="Q403" s="160" t="s">
        <v>182</v>
      </c>
      <c r="R403" s="223">
        <v>7060</v>
      </c>
      <c r="S403" s="224">
        <v>70</v>
      </c>
      <c r="T403" s="225" t="s">
        <v>184</v>
      </c>
      <c r="V403" s="278"/>
      <c r="W403" s="279" t="s">
        <v>710</v>
      </c>
      <c r="X403" s="176"/>
      <c r="Y403" s="279" t="s">
        <v>710</v>
      </c>
      <c r="Z403" s="279"/>
      <c r="AA403" s="176"/>
      <c r="AB403" s="177"/>
      <c r="AD403" s="281"/>
      <c r="AE403" s="281"/>
      <c r="AF403" s="176"/>
      <c r="AG403" s="176"/>
      <c r="AH403" s="177"/>
      <c r="AJ403" s="187" t="s">
        <v>211</v>
      </c>
      <c r="AK403" s="185"/>
      <c r="AL403" s="176" t="s">
        <v>182</v>
      </c>
      <c r="AM403" s="176">
        <v>30</v>
      </c>
      <c r="AN403" s="177" t="s">
        <v>316</v>
      </c>
      <c r="AO403" s="160" t="s">
        <v>182</v>
      </c>
      <c r="AP403" s="1550">
        <v>2800</v>
      </c>
      <c r="AQ403" s="1553">
        <v>3100</v>
      </c>
      <c r="AR403" s="1550">
        <v>2000</v>
      </c>
      <c r="AS403" s="1553">
        <v>2000</v>
      </c>
      <c r="AT403" s="1544" t="s">
        <v>664</v>
      </c>
      <c r="AU403" s="230" t="s">
        <v>697</v>
      </c>
      <c r="AV403" s="231">
        <v>5500</v>
      </c>
      <c r="AW403" s="232">
        <v>6200</v>
      </c>
      <c r="AX403" s="267">
        <v>3900</v>
      </c>
      <c r="AY403" s="252">
        <v>3900</v>
      </c>
      <c r="BA403" s="235" t="s">
        <v>672</v>
      </c>
      <c r="BB403" s="160" t="s">
        <v>182</v>
      </c>
      <c r="BC403" s="1556">
        <v>4700</v>
      </c>
      <c r="BD403" s="160" t="s">
        <v>182</v>
      </c>
      <c r="BE403" s="228">
        <v>2130</v>
      </c>
      <c r="BF403" s="226" t="s">
        <v>182</v>
      </c>
      <c r="BG403" s="226">
        <v>20</v>
      </c>
      <c r="BH403" s="217" t="s">
        <v>184</v>
      </c>
      <c r="BJ403" s="253">
        <v>0.1</v>
      </c>
      <c r="BK403" s="160" t="s">
        <v>188</v>
      </c>
      <c r="BL403" s="237" t="s">
        <v>317</v>
      </c>
      <c r="BM403" s="238" t="s">
        <v>317</v>
      </c>
      <c r="BN403" s="238" t="s">
        <v>317</v>
      </c>
      <c r="BO403" s="239" t="s">
        <v>317</v>
      </c>
      <c r="BP403" s="160" t="s">
        <v>188</v>
      </c>
      <c r="BQ403" s="228"/>
      <c r="BR403" s="229"/>
      <c r="BS403" s="229"/>
      <c r="BT403" s="240"/>
      <c r="BU403" s="160" t="s">
        <v>188</v>
      </c>
      <c r="BV403" s="228"/>
      <c r="BW403" s="229"/>
      <c r="BX403" s="229"/>
      <c r="BY403" s="229"/>
      <c r="BZ403" s="240"/>
      <c r="CA403" s="160" t="s">
        <v>188</v>
      </c>
      <c r="CB403" s="228"/>
      <c r="CC403" s="229"/>
      <c r="CD403" s="229"/>
      <c r="CE403" s="229"/>
      <c r="CF403" s="240"/>
      <c r="CH403" s="236" t="s">
        <v>324</v>
      </c>
    </row>
    <row r="404" spans="1:86">
      <c r="A404" s="1563"/>
      <c r="B404" s="168"/>
      <c r="C404" s="241"/>
      <c r="D404" s="177" t="s">
        <v>318</v>
      </c>
      <c r="F404" s="242">
        <v>44940</v>
      </c>
      <c r="G404" s="243">
        <v>102630</v>
      </c>
      <c r="H404" s="242">
        <v>40150</v>
      </c>
      <c r="I404" s="243">
        <v>97840</v>
      </c>
      <c r="J404" s="179" t="s">
        <v>182</v>
      </c>
      <c r="K404" s="244">
        <v>430</v>
      </c>
      <c r="L404" s="245">
        <v>910</v>
      </c>
      <c r="M404" s="246" t="s">
        <v>795</v>
      </c>
      <c r="N404" s="244">
        <v>380</v>
      </c>
      <c r="O404" s="245">
        <v>860</v>
      </c>
      <c r="P404" s="246" t="s">
        <v>795</v>
      </c>
      <c r="Q404" s="160" t="s">
        <v>182</v>
      </c>
      <c r="R404" s="187">
        <v>7060</v>
      </c>
      <c r="S404" s="185">
        <v>70</v>
      </c>
      <c r="T404" s="247" t="s">
        <v>184</v>
      </c>
      <c r="V404" s="182"/>
      <c r="W404" s="185">
        <v>461700</v>
      </c>
      <c r="X404" s="176"/>
      <c r="Y404" s="185">
        <v>4610</v>
      </c>
      <c r="Z404" s="176" t="s">
        <v>184</v>
      </c>
      <c r="AA404" s="176"/>
      <c r="AB404" s="177"/>
      <c r="AD404" s="281"/>
      <c r="AE404" s="281"/>
      <c r="AF404" s="176"/>
      <c r="AG404" s="176"/>
      <c r="AH404" s="177"/>
      <c r="AJ404" s="187"/>
      <c r="AK404" s="185"/>
      <c r="AL404" s="176"/>
      <c r="AM404" s="176"/>
      <c r="AN404" s="177"/>
      <c r="AP404" s="1551"/>
      <c r="AQ404" s="1554"/>
      <c r="AR404" s="1551"/>
      <c r="AS404" s="1554"/>
      <c r="AT404" s="1544"/>
      <c r="AU404" s="172" t="s">
        <v>699</v>
      </c>
      <c r="AV404" s="249">
        <v>3000</v>
      </c>
      <c r="AW404" s="250">
        <v>3400</v>
      </c>
      <c r="AX404" s="267">
        <v>2100</v>
      </c>
      <c r="AY404" s="252">
        <v>2100</v>
      </c>
      <c r="BA404" s="235">
        <v>4250</v>
      </c>
      <c r="BC404" s="1557"/>
      <c r="BE404" s="187"/>
      <c r="BF404" s="176"/>
      <c r="BG404" s="176"/>
      <c r="BH404" s="177"/>
      <c r="BJ404" s="253"/>
      <c r="BL404" s="193"/>
      <c r="BM404" s="194"/>
      <c r="BN404" s="194"/>
      <c r="BO404" s="195"/>
      <c r="BQ404" s="187">
        <v>1270</v>
      </c>
      <c r="BR404" s="185" t="s">
        <v>199</v>
      </c>
      <c r="BS404" s="185">
        <v>10</v>
      </c>
      <c r="BT404" s="254" t="s">
        <v>184</v>
      </c>
      <c r="BV404" s="187">
        <v>4230</v>
      </c>
      <c r="BW404" s="185" t="s">
        <v>189</v>
      </c>
      <c r="BX404" s="185">
        <v>40</v>
      </c>
      <c r="BY404" s="185" t="s">
        <v>184</v>
      </c>
      <c r="BZ404" s="254" t="s">
        <v>190</v>
      </c>
      <c r="CB404" s="187">
        <v>2620</v>
      </c>
      <c r="CC404" s="185" t="s">
        <v>189</v>
      </c>
      <c r="CD404" s="185">
        <v>20</v>
      </c>
      <c r="CE404" s="185" t="s">
        <v>184</v>
      </c>
      <c r="CF404" s="254" t="s">
        <v>190</v>
      </c>
      <c r="CH404" s="253"/>
    </row>
    <row r="405" spans="1:86">
      <c r="A405" s="1563"/>
      <c r="B405" s="168"/>
      <c r="C405" s="241" t="s">
        <v>319</v>
      </c>
      <c r="D405" s="177" t="s">
        <v>320</v>
      </c>
      <c r="F405" s="242">
        <v>102630</v>
      </c>
      <c r="G405" s="243">
        <v>173240</v>
      </c>
      <c r="H405" s="242">
        <v>97840</v>
      </c>
      <c r="I405" s="243">
        <v>168450</v>
      </c>
      <c r="J405" s="179" t="s">
        <v>182</v>
      </c>
      <c r="K405" s="244">
        <v>910</v>
      </c>
      <c r="L405" s="245">
        <v>1620</v>
      </c>
      <c r="M405" s="246" t="s">
        <v>795</v>
      </c>
      <c r="N405" s="244">
        <v>860</v>
      </c>
      <c r="O405" s="245">
        <v>1570</v>
      </c>
      <c r="P405" s="246" t="s">
        <v>795</v>
      </c>
      <c r="R405" s="182"/>
      <c r="S405" s="176"/>
      <c r="T405" s="177"/>
      <c r="V405" s="182"/>
      <c r="W405" s="185"/>
      <c r="X405" s="176"/>
      <c r="Y405" s="185"/>
      <c r="Z405" s="176"/>
      <c r="AA405" s="176"/>
      <c r="AB405" s="177"/>
      <c r="AD405" s="281"/>
      <c r="AE405" s="281"/>
      <c r="AF405" s="176"/>
      <c r="AG405" s="176"/>
      <c r="AH405" s="177"/>
      <c r="AJ405" s="187">
        <v>3220</v>
      </c>
      <c r="AK405" s="185" t="s">
        <v>321</v>
      </c>
      <c r="AL405" s="176"/>
      <c r="AM405" s="176"/>
      <c r="AN405" s="177"/>
      <c r="AP405" s="1551"/>
      <c r="AQ405" s="1554"/>
      <c r="AR405" s="1551"/>
      <c r="AS405" s="1554"/>
      <c r="AT405" s="1544"/>
      <c r="AU405" s="172" t="s">
        <v>700</v>
      </c>
      <c r="AV405" s="249">
        <v>2600</v>
      </c>
      <c r="AW405" s="250">
        <v>2900</v>
      </c>
      <c r="AX405" s="267">
        <v>1800</v>
      </c>
      <c r="AY405" s="252">
        <v>1800</v>
      </c>
      <c r="BA405" s="277"/>
      <c r="BC405" s="359"/>
      <c r="BE405" s="187"/>
      <c r="BF405" s="176"/>
      <c r="BG405" s="176"/>
      <c r="BH405" s="177"/>
      <c r="BJ405" s="253"/>
      <c r="BL405" s="193">
        <v>0.02</v>
      </c>
      <c r="BM405" s="194">
        <v>0.03</v>
      </c>
      <c r="BN405" s="194">
        <v>0.05</v>
      </c>
      <c r="BO405" s="195">
        <v>0.06</v>
      </c>
      <c r="BQ405" s="187"/>
      <c r="BR405" s="185"/>
      <c r="BS405" s="185"/>
      <c r="BT405" s="254"/>
      <c r="BV405" s="187"/>
      <c r="BW405" s="185"/>
      <c r="BX405" s="185"/>
      <c r="BY405" s="185"/>
      <c r="BZ405" s="254"/>
      <c r="CB405" s="187"/>
      <c r="CC405" s="185"/>
      <c r="CD405" s="185"/>
      <c r="CE405" s="185"/>
      <c r="CF405" s="254"/>
      <c r="CH405" s="253">
        <v>0.96</v>
      </c>
    </row>
    <row r="406" spans="1:86">
      <c r="A406" s="1563"/>
      <c r="B406" s="269"/>
      <c r="C406" s="270"/>
      <c r="D406" s="184" t="s">
        <v>322</v>
      </c>
      <c r="F406" s="256">
        <v>173240</v>
      </c>
      <c r="G406" s="257"/>
      <c r="H406" s="256">
        <v>168450</v>
      </c>
      <c r="I406" s="257"/>
      <c r="J406" s="179" t="s">
        <v>182</v>
      </c>
      <c r="K406" s="258">
        <v>1620</v>
      </c>
      <c r="L406" s="259"/>
      <c r="M406" s="260" t="s">
        <v>795</v>
      </c>
      <c r="N406" s="258">
        <v>1570</v>
      </c>
      <c r="O406" s="259"/>
      <c r="P406" s="260" t="s">
        <v>795</v>
      </c>
      <c r="R406" s="183"/>
      <c r="S406" s="271"/>
      <c r="T406" s="184"/>
      <c r="V406" s="278"/>
      <c r="W406" s="279" t="s">
        <v>711</v>
      </c>
      <c r="X406" s="176"/>
      <c r="Y406" s="279" t="s">
        <v>711</v>
      </c>
      <c r="Z406" s="279"/>
      <c r="AA406" s="176"/>
      <c r="AB406" s="177"/>
      <c r="AD406" s="281"/>
      <c r="AE406" s="281"/>
      <c r="AF406" s="176"/>
      <c r="AG406" s="176"/>
      <c r="AH406" s="177"/>
      <c r="AJ406" s="187"/>
      <c r="AK406" s="185"/>
      <c r="AL406" s="176"/>
      <c r="AM406" s="176"/>
      <c r="AN406" s="177"/>
      <c r="AP406" s="1552"/>
      <c r="AQ406" s="1555"/>
      <c r="AR406" s="1552"/>
      <c r="AS406" s="1555"/>
      <c r="AT406" s="1544"/>
      <c r="AU406" s="262" t="s">
        <v>701</v>
      </c>
      <c r="AV406" s="263">
        <v>2400</v>
      </c>
      <c r="AW406" s="264">
        <v>2600</v>
      </c>
      <c r="AX406" s="265">
        <v>1600</v>
      </c>
      <c r="AY406" s="266">
        <v>1600</v>
      </c>
      <c r="BA406" s="235" t="s">
        <v>673</v>
      </c>
      <c r="BC406" s="359"/>
      <c r="BE406" s="186"/>
      <c r="BF406" s="271"/>
      <c r="BG406" s="271"/>
      <c r="BH406" s="184"/>
      <c r="BJ406" s="253"/>
      <c r="BL406" s="272"/>
      <c r="BM406" s="273"/>
      <c r="BN406" s="273"/>
      <c r="BO406" s="274"/>
      <c r="BQ406" s="186"/>
      <c r="BR406" s="196"/>
      <c r="BS406" s="196"/>
      <c r="BT406" s="197"/>
      <c r="BV406" s="186"/>
      <c r="BW406" s="196"/>
      <c r="BX406" s="196"/>
      <c r="BY406" s="196"/>
      <c r="BZ406" s="197"/>
      <c r="CB406" s="186"/>
      <c r="CC406" s="196"/>
      <c r="CD406" s="196"/>
      <c r="CE406" s="196"/>
      <c r="CF406" s="197"/>
      <c r="CH406" s="198"/>
    </row>
    <row r="407" spans="1:86" ht="63">
      <c r="A407" s="1563"/>
      <c r="B407" s="168" t="s">
        <v>337</v>
      </c>
      <c r="C407" s="241" t="s">
        <v>313</v>
      </c>
      <c r="D407" s="177" t="s">
        <v>314</v>
      </c>
      <c r="F407" s="218">
        <v>35990</v>
      </c>
      <c r="G407" s="219">
        <v>43050</v>
      </c>
      <c r="H407" s="218">
        <v>31640</v>
      </c>
      <c r="I407" s="219">
        <v>38700</v>
      </c>
      <c r="J407" s="179" t="s">
        <v>182</v>
      </c>
      <c r="K407" s="220">
        <v>340</v>
      </c>
      <c r="L407" s="221">
        <v>410</v>
      </c>
      <c r="M407" s="222" t="s">
        <v>795</v>
      </c>
      <c r="N407" s="220">
        <v>290</v>
      </c>
      <c r="O407" s="221">
        <v>360</v>
      </c>
      <c r="P407" s="222" t="s">
        <v>795</v>
      </c>
      <c r="Q407" s="160" t="s">
        <v>182</v>
      </c>
      <c r="R407" s="275">
        <v>7060</v>
      </c>
      <c r="S407" s="276">
        <v>70</v>
      </c>
      <c r="T407" s="247" t="s">
        <v>184</v>
      </c>
      <c r="V407" s="182"/>
      <c r="W407" s="185">
        <v>495500</v>
      </c>
      <c r="X407" s="176"/>
      <c r="Y407" s="185">
        <v>4950</v>
      </c>
      <c r="Z407" s="176" t="s">
        <v>184</v>
      </c>
      <c r="AA407" s="176"/>
      <c r="AB407" s="177"/>
      <c r="AD407" s="281"/>
      <c r="AE407" s="281"/>
      <c r="AF407" s="176"/>
      <c r="AG407" s="176"/>
      <c r="AH407" s="177"/>
      <c r="AJ407" s="187" t="s">
        <v>213</v>
      </c>
      <c r="AK407" s="185"/>
      <c r="AL407" s="176" t="s">
        <v>182</v>
      </c>
      <c r="AM407" s="176">
        <v>20</v>
      </c>
      <c r="AN407" s="177" t="s">
        <v>316</v>
      </c>
      <c r="AO407" s="160" t="s">
        <v>182</v>
      </c>
      <c r="AP407" s="1550">
        <v>3100</v>
      </c>
      <c r="AQ407" s="1553">
        <v>3400</v>
      </c>
      <c r="AR407" s="1550">
        <v>2100</v>
      </c>
      <c r="AS407" s="1553">
        <v>2100</v>
      </c>
      <c r="AT407" s="1544" t="s">
        <v>664</v>
      </c>
      <c r="AU407" s="230" t="s">
        <v>697</v>
      </c>
      <c r="AV407" s="231">
        <v>6100</v>
      </c>
      <c r="AW407" s="232">
        <v>6800</v>
      </c>
      <c r="AX407" s="267">
        <v>4200</v>
      </c>
      <c r="AY407" s="252">
        <v>4200</v>
      </c>
      <c r="BA407" s="235">
        <v>3920</v>
      </c>
      <c r="BB407" s="160" t="s">
        <v>182</v>
      </c>
      <c r="BC407" s="1556">
        <v>4700</v>
      </c>
      <c r="BD407" s="160" t="s">
        <v>182</v>
      </c>
      <c r="BE407" s="187">
        <v>1930</v>
      </c>
      <c r="BF407" s="176" t="s">
        <v>182</v>
      </c>
      <c r="BG407" s="176">
        <v>10</v>
      </c>
      <c r="BH407" s="177" t="s">
        <v>184</v>
      </c>
      <c r="BJ407" s="253"/>
      <c r="BK407" s="160" t="s">
        <v>188</v>
      </c>
      <c r="BL407" s="193" t="s">
        <v>317</v>
      </c>
      <c r="BM407" s="194" t="s">
        <v>317</v>
      </c>
      <c r="BN407" s="194" t="s">
        <v>317</v>
      </c>
      <c r="BO407" s="195" t="s">
        <v>317</v>
      </c>
      <c r="BP407" s="160" t="s">
        <v>188</v>
      </c>
      <c r="BQ407" s="187"/>
      <c r="BR407" s="185"/>
      <c r="BS407" s="185"/>
      <c r="BT407" s="254"/>
      <c r="BU407" s="160" t="s">
        <v>188</v>
      </c>
      <c r="BV407" s="187"/>
      <c r="BW407" s="185"/>
      <c r="BX407" s="185"/>
      <c r="BY407" s="185"/>
      <c r="BZ407" s="254"/>
      <c r="CA407" s="160" t="s">
        <v>188</v>
      </c>
      <c r="CB407" s="187"/>
      <c r="CC407" s="185"/>
      <c r="CD407" s="185"/>
      <c r="CE407" s="185"/>
      <c r="CF407" s="254"/>
      <c r="CH407" s="253" t="s">
        <v>324</v>
      </c>
    </row>
    <row r="408" spans="1:86">
      <c r="A408" s="1563"/>
      <c r="B408" s="168"/>
      <c r="C408" s="241"/>
      <c r="D408" s="177" t="s">
        <v>318</v>
      </c>
      <c r="F408" s="242">
        <v>43050</v>
      </c>
      <c r="G408" s="243">
        <v>100740</v>
      </c>
      <c r="H408" s="242">
        <v>38700</v>
      </c>
      <c r="I408" s="243">
        <v>96390</v>
      </c>
      <c r="J408" s="179" t="s">
        <v>182</v>
      </c>
      <c r="K408" s="244">
        <v>410</v>
      </c>
      <c r="L408" s="245">
        <v>890</v>
      </c>
      <c r="M408" s="246" t="s">
        <v>795</v>
      </c>
      <c r="N408" s="244">
        <v>360</v>
      </c>
      <c r="O408" s="245">
        <v>850</v>
      </c>
      <c r="P408" s="246" t="s">
        <v>795</v>
      </c>
      <c r="Q408" s="160" t="s">
        <v>182</v>
      </c>
      <c r="R408" s="187">
        <v>7060</v>
      </c>
      <c r="S408" s="185">
        <v>70</v>
      </c>
      <c r="T408" s="247" t="s">
        <v>184</v>
      </c>
      <c r="V408" s="182"/>
      <c r="W408" s="185"/>
      <c r="X408" s="176"/>
      <c r="Y408" s="185"/>
      <c r="Z408" s="176"/>
      <c r="AA408" s="176"/>
      <c r="AB408" s="177"/>
      <c r="AD408" s="281"/>
      <c r="AE408" s="281"/>
      <c r="AF408" s="176"/>
      <c r="AG408" s="176"/>
      <c r="AH408" s="177"/>
      <c r="AJ408" s="187"/>
      <c r="AK408" s="185"/>
      <c r="AL408" s="176"/>
      <c r="AM408" s="176"/>
      <c r="AN408" s="177"/>
      <c r="AP408" s="1551"/>
      <c r="AQ408" s="1554"/>
      <c r="AR408" s="1551"/>
      <c r="AS408" s="1554"/>
      <c r="AT408" s="1544"/>
      <c r="AU408" s="172" t="s">
        <v>699</v>
      </c>
      <c r="AV408" s="249">
        <v>3300</v>
      </c>
      <c r="AW408" s="250">
        <v>3700</v>
      </c>
      <c r="AX408" s="267">
        <v>2300</v>
      </c>
      <c r="AY408" s="252">
        <v>2300</v>
      </c>
      <c r="BA408" s="277"/>
      <c r="BC408" s="1557"/>
      <c r="BE408" s="187"/>
      <c r="BF408" s="176"/>
      <c r="BG408" s="176"/>
      <c r="BH408" s="177"/>
      <c r="BJ408" s="253"/>
      <c r="BL408" s="193"/>
      <c r="BM408" s="194"/>
      <c r="BN408" s="194"/>
      <c r="BO408" s="195"/>
      <c r="BQ408" s="187">
        <v>1150</v>
      </c>
      <c r="BR408" s="185" t="s">
        <v>199</v>
      </c>
      <c r="BS408" s="185">
        <v>10</v>
      </c>
      <c r="BT408" s="254" t="s">
        <v>184</v>
      </c>
      <c r="BV408" s="187">
        <v>3850</v>
      </c>
      <c r="BW408" s="185" t="s">
        <v>189</v>
      </c>
      <c r="BX408" s="185">
        <v>30</v>
      </c>
      <c r="BY408" s="185" t="s">
        <v>184</v>
      </c>
      <c r="BZ408" s="254" t="s">
        <v>190</v>
      </c>
      <c r="CB408" s="187">
        <v>2380</v>
      </c>
      <c r="CC408" s="185" t="s">
        <v>189</v>
      </c>
      <c r="CD408" s="185">
        <v>20</v>
      </c>
      <c r="CE408" s="185" t="s">
        <v>184</v>
      </c>
      <c r="CF408" s="254" t="s">
        <v>190</v>
      </c>
      <c r="CH408" s="253"/>
    </row>
    <row r="409" spans="1:86">
      <c r="A409" s="1563"/>
      <c r="B409" s="168"/>
      <c r="C409" s="241" t="s">
        <v>319</v>
      </c>
      <c r="D409" s="177" t="s">
        <v>320</v>
      </c>
      <c r="F409" s="242">
        <v>100740</v>
      </c>
      <c r="G409" s="243">
        <v>171350</v>
      </c>
      <c r="H409" s="242">
        <v>96390</v>
      </c>
      <c r="I409" s="243">
        <v>167000</v>
      </c>
      <c r="J409" s="179" t="s">
        <v>182</v>
      </c>
      <c r="K409" s="244">
        <v>890</v>
      </c>
      <c r="L409" s="245">
        <v>1600</v>
      </c>
      <c r="M409" s="246" t="s">
        <v>795</v>
      </c>
      <c r="N409" s="244">
        <v>850</v>
      </c>
      <c r="O409" s="245">
        <v>1560</v>
      </c>
      <c r="P409" s="246" t="s">
        <v>795</v>
      </c>
      <c r="R409" s="182"/>
      <c r="S409" s="176"/>
      <c r="T409" s="177"/>
      <c r="V409" s="278"/>
      <c r="W409" s="279" t="s">
        <v>712</v>
      </c>
      <c r="X409" s="176"/>
      <c r="Y409" s="279" t="s">
        <v>712</v>
      </c>
      <c r="Z409" s="279"/>
      <c r="AA409" s="176"/>
      <c r="AB409" s="177"/>
      <c r="AD409" s="281"/>
      <c r="AE409" s="281"/>
      <c r="AF409" s="176"/>
      <c r="AG409" s="176"/>
      <c r="AH409" s="177"/>
      <c r="AJ409" s="187">
        <v>2900</v>
      </c>
      <c r="AK409" s="185" t="s">
        <v>321</v>
      </c>
      <c r="AL409" s="176"/>
      <c r="AM409" s="176"/>
      <c r="AN409" s="177"/>
      <c r="AP409" s="1551"/>
      <c r="AQ409" s="1554"/>
      <c r="AR409" s="1551"/>
      <c r="AS409" s="1554"/>
      <c r="AT409" s="1544"/>
      <c r="AU409" s="172" t="s">
        <v>700</v>
      </c>
      <c r="AV409" s="249">
        <v>2900</v>
      </c>
      <c r="AW409" s="250">
        <v>3200</v>
      </c>
      <c r="AX409" s="267">
        <v>2000</v>
      </c>
      <c r="AY409" s="252">
        <v>2000</v>
      </c>
      <c r="BA409" s="235" t="s">
        <v>674</v>
      </c>
      <c r="BC409" s="359"/>
      <c r="BE409" s="187"/>
      <c r="BF409" s="176"/>
      <c r="BG409" s="176"/>
      <c r="BH409" s="177"/>
      <c r="BJ409" s="253"/>
      <c r="BL409" s="193">
        <v>0.02</v>
      </c>
      <c r="BM409" s="194">
        <v>0.03</v>
      </c>
      <c r="BN409" s="194">
        <v>0.05</v>
      </c>
      <c r="BO409" s="195">
        <v>0.06</v>
      </c>
      <c r="BQ409" s="187"/>
      <c r="BR409" s="185"/>
      <c r="BS409" s="185"/>
      <c r="BT409" s="254"/>
      <c r="BV409" s="187"/>
      <c r="BW409" s="185"/>
      <c r="BX409" s="185"/>
      <c r="BY409" s="185"/>
      <c r="BZ409" s="254"/>
      <c r="CB409" s="187"/>
      <c r="CC409" s="185"/>
      <c r="CD409" s="185"/>
      <c r="CE409" s="185"/>
      <c r="CF409" s="254"/>
      <c r="CH409" s="253">
        <v>0.95</v>
      </c>
    </row>
    <row r="410" spans="1:86">
      <c r="A410" s="1563"/>
      <c r="B410" s="168"/>
      <c r="C410" s="241"/>
      <c r="D410" s="177" t="s">
        <v>322</v>
      </c>
      <c r="F410" s="256">
        <v>171350</v>
      </c>
      <c r="G410" s="257"/>
      <c r="H410" s="256">
        <v>167000</v>
      </c>
      <c r="I410" s="257"/>
      <c r="J410" s="179" t="s">
        <v>182</v>
      </c>
      <c r="K410" s="258">
        <v>1600</v>
      </c>
      <c r="L410" s="259"/>
      <c r="M410" s="260" t="s">
        <v>795</v>
      </c>
      <c r="N410" s="258">
        <v>1560</v>
      </c>
      <c r="O410" s="259"/>
      <c r="P410" s="260" t="s">
        <v>795</v>
      </c>
      <c r="R410" s="182"/>
      <c r="S410" s="176"/>
      <c r="T410" s="177"/>
      <c r="V410" s="182"/>
      <c r="W410" s="185">
        <v>529300</v>
      </c>
      <c r="X410" s="176"/>
      <c r="Y410" s="185">
        <v>5290</v>
      </c>
      <c r="Z410" s="176" t="s">
        <v>184</v>
      </c>
      <c r="AA410" s="176"/>
      <c r="AB410" s="177"/>
      <c r="AD410" s="281"/>
      <c r="AE410" s="281"/>
      <c r="AF410" s="176"/>
      <c r="AG410" s="176"/>
      <c r="AH410" s="177"/>
      <c r="AJ410" s="187"/>
      <c r="AK410" s="185"/>
      <c r="AL410" s="176"/>
      <c r="AM410" s="176"/>
      <c r="AN410" s="177"/>
      <c r="AP410" s="1552"/>
      <c r="AQ410" s="1555"/>
      <c r="AR410" s="1552"/>
      <c r="AS410" s="1555"/>
      <c r="AT410" s="1544"/>
      <c r="AU410" s="262" t="s">
        <v>701</v>
      </c>
      <c r="AV410" s="263">
        <v>2600</v>
      </c>
      <c r="AW410" s="264">
        <v>2900</v>
      </c>
      <c r="AX410" s="265">
        <v>1800</v>
      </c>
      <c r="AY410" s="266">
        <v>1800</v>
      </c>
      <c r="BA410" s="235">
        <v>3660</v>
      </c>
      <c r="BC410" s="359"/>
      <c r="BE410" s="187"/>
      <c r="BF410" s="176"/>
      <c r="BG410" s="176"/>
      <c r="BH410" s="177"/>
      <c r="BJ410" s="253"/>
      <c r="BL410" s="193"/>
      <c r="BM410" s="194"/>
      <c r="BN410" s="194"/>
      <c r="BO410" s="195"/>
      <c r="BQ410" s="187"/>
      <c r="BR410" s="185"/>
      <c r="BS410" s="185"/>
      <c r="BT410" s="254"/>
      <c r="BV410" s="187"/>
      <c r="BW410" s="185"/>
      <c r="BX410" s="185"/>
      <c r="BY410" s="185"/>
      <c r="BZ410" s="254"/>
      <c r="CB410" s="187"/>
      <c r="CC410" s="185"/>
      <c r="CD410" s="185"/>
      <c r="CE410" s="185"/>
      <c r="CF410" s="254"/>
      <c r="CH410" s="253"/>
    </row>
    <row r="411" spans="1:86" ht="63">
      <c r="A411" s="1563"/>
      <c r="B411" s="215" t="s">
        <v>338</v>
      </c>
      <c r="C411" s="216" t="s">
        <v>313</v>
      </c>
      <c r="D411" s="217" t="s">
        <v>314</v>
      </c>
      <c r="F411" s="218">
        <v>34380</v>
      </c>
      <c r="G411" s="219">
        <v>41440</v>
      </c>
      <c r="H411" s="218">
        <v>30390</v>
      </c>
      <c r="I411" s="219">
        <v>37450</v>
      </c>
      <c r="J411" s="179" t="s">
        <v>182</v>
      </c>
      <c r="K411" s="220">
        <v>320</v>
      </c>
      <c r="L411" s="221">
        <v>390</v>
      </c>
      <c r="M411" s="222" t="s">
        <v>795</v>
      </c>
      <c r="N411" s="220">
        <v>280</v>
      </c>
      <c r="O411" s="221">
        <v>350</v>
      </c>
      <c r="P411" s="222" t="s">
        <v>795</v>
      </c>
      <c r="Q411" s="160" t="s">
        <v>182</v>
      </c>
      <c r="R411" s="223">
        <v>7060</v>
      </c>
      <c r="S411" s="224">
        <v>70</v>
      </c>
      <c r="T411" s="225" t="s">
        <v>184</v>
      </c>
      <c r="V411" s="182"/>
      <c r="W411" s="185"/>
      <c r="X411" s="176"/>
      <c r="Y411" s="185"/>
      <c r="Z411" s="176"/>
      <c r="AA411" s="176"/>
      <c r="AB411" s="177"/>
      <c r="AD411" s="281"/>
      <c r="AE411" s="281"/>
      <c r="AF411" s="176"/>
      <c r="AG411" s="176"/>
      <c r="AH411" s="177"/>
      <c r="AJ411" s="187" t="s">
        <v>215</v>
      </c>
      <c r="AK411" s="185"/>
      <c r="AL411" s="176" t="s">
        <v>182</v>
      </c>
      <c r="AM411" s="176">
        <v>20</v>
      </c>
      <c r="AN411" s="177" t="s">
        <v>316</v>
      </c>
      <c r="AO411" s="160" t="s">
        <v>182</v>
      </c>
      <c r="AP411" s="1550">
        <v>2800</v>
      </c>
      <c r="AQ411" s="1553">
        <v>3100</v>
      </c>
      <c r="AR411" s="1550">
        <v>2000</v>
      </c>
      <c r="AS411" s="1553">
        <v>2000</v>
      </c>
      <c r="AT411" s="1544" t="s">
        <v>664</v>
      </c>
      <c r="AU411" s="230" t="s">
        <v>697</v>
      </c>
      <c r="AV411" s="231">
        <v>5500</v>
      </c>
      <c r="AW411" s="232">
        <v>6200</v>
      </c>
      <c r="AX411" s="267">
        <v>3900</v>
      </c>
      <c r="AY411" s="252">
        <v>3900</v>
      </c>
      <c r="BA411" s="277"/>
      <c r="BB411" s="160" t="s">
        <v>182</v>
      </c>
      <c r="BC411" s="1556">
        <v>4700</v>
      </c>
      <c r="BD411" s="160" t="s">
        <v>182</v>
      </c>
      <c r="BE411" s="228">
        <v>1780</v>
      </c>
      <c r="BF411" s="226" t="s">
        <v>182</v>
      </c>
      <c r="BG411" s="226">
        <v>10</v>
      </c>
      <c r="BH411" s="217" t="s">
        <v>184</v>
      </c>
      <c r="BJ411" s="253"/>
      <c r="BK411" s="160" t="s">
        <v>188</v>
      </c>
      <c r="BL411" s="237" t="s">
        <v>317</v>
      </c>
      <c r="BM411" s="238" t="s">
        <v>317</v>
      </c>
      <c r="BN411" s="238" t="s">
        <v>317</v>
      </c>
      <c r="BO411" s="239" t="s">
        <v>317</v>
      </c>
      <c r="BP411" s="160" t="s">
        <v>188</v>
      </c>
      <c r="BQ411" s="228"/>
      <c r="BR411" s="229"/>
      <c r="BS411" s="229"/>
      <c r="BT411" s="240"/>
      <c r="BU411" s="160" t="s">
        <v>188</v>
      </c>
      <c r="BV411" s="228"/>
      <c r="BW411" s="229"/>
      <c r="BX411" s="229"/>
      <c r="BY411" s="229"/>
      <c r="BZ411" s="240"/>
      <c r="CA411" s="160" t="s">
        <v>188</v>
      </c>
      <c r="CB411" s="228"/>
      <c r="CC411" s="229"/>
      <c r="CD411" s="229"/>
      <c r="CE411" s="229"/>
      <c r="CF411" s="240"/>
      <c r="CH411" s="236" t="s">
        <v>324</v>
      </c>
    </row>
    <row r="412" spans="1:86">
      <c r="A412" s="1563"/>
      <c r="B412" s="168"/>
      <c r="C412" s="241"/>
      <c r="D412" s="177" t="s">
        <v>318</v>
      </c>
      <c r="F412" s="242">
        <v>41440</v>
      </c>
      <c r="G412" s="243">
        <v>99130</v>
      </c>
      <c r="H412" s="242">
        <v>37450</v>
      </c>
      <c r="I412" s="243">
        <v>95140</v>
      </c>
      <c r="J412" s="179" t="s">
        <v>182</v>
      </c>
      <c r="K412" s="244">
        <v>390</v>
      </c>
      <c r="L412" s="245">
        <v>870</v>
      </c>
      <c r="M412" s="246" t="s">
        <v>795</v>
      </c>
      <c r="N412" s="244">
        <v>350</v>
      </c>
      <c r="O412" s="245">
        <v>830</v>
      </c>
      <c r="P412" s="246" t="s">
        <v>795</v>
      </c>
      <c r="Q412" s="160" t="s">
        <v>182</v>
      </c>
      <c r="R412" s="187">
        <v>7060</v>
      </c>
      <c r="S412" s="185">
        <v>70</v>
      </c>
      <c r="T412" s="247" t="s">
        <v>184</v>
      </c>
      <c r="V412" s="278"/>
      <c r="W412" s="279" t="s">
        <v>713</v>
      </c>
      <c r="X412" s="176"/>
      <c r="Y412" s="279" t="s">
        <v>713</v>
      </c>
      <c r="Z412" s="279"/>
      <c r="AA412" s="176"/>
      <c r="AB412" s="177"/>
      <c r="AD412" s="281"/>
      <c r="AE412" s="281"/>
      <c r="AF412" s="176"/>
      <c r="AG412" s="176"/>
      <c r="AH412" s="177"/>
      <c r="AJ412" s="187"/>
      <c r="AK412" s="185"/>
      <c r="AL412" s="176"/>
      <c r="AM412" s="176"/>
      <c r="AN412" s="177"/>
      <c r="AP412" s="1551"/>
      <c r="AQ412" s="1554"/>
      <c r="AR412" s="1551"/>
      <c r="AS412" s="1554"/>
      <c r="AT412" s="1544"/>
      <c r="AU412" s="172" t="s">
        <v>699</v>
      </c>
      <c r="AV412" s="249">
        <v>3000</v>
      </c>
      <c r="AW412" s="250">
        <v>3400</v>
      </c>
      <c r="AX412" s="267">
        <v>2100</v>
      </c>
      <c r="AY412" s="252">
        <v>2100</v>
      </c>
      <c r="BA412" s="235" t="s">
        <v>675</v>
      </c>
      <c r="BC412" s="1557"/>
      <c r="BE412" s="187"/>
      <c r="BF412" s="176"/>
      <c r="BG412" s="176"/>
      <c r="BH412" s="177"/>
      <c r="BJ412" s="253"/>
      <c r="BL412" s="193"/>
      <c r="BM412" s="194"/>
      <c r="BN412" s="194"/>
      <c r="BO412" s="195"/>
      <c r="BQ412" s="187">
        <v>1060</v>
      </c>
      <c r="BR412" s="185" t="s">
        <v>199</v>
      </c>
      <c r="BS412" s="185">
        <v>10</v>
      </c>
      <c r="BT412" s="254" t="s">
        <v>184</v>
      </c>
      <c r="BV412" s="187">
        <v>3530</v>
      </c>
      <c r="BW412" s="185" t="s">
        <v>189</v>
      </c>
      <c r="BX412" s="185">
        <v>30</v>
      </c>
      <c r="BY412" s="185" t="s">
        <v>184</v>
      </c>
      <c r="BZ412" s="254" t="s">
        <v>190</v>
      </c>
      <c r="CB412" s="187">
        <v>2180</v>
      </c>
      <c r="CC412" s="185" t="s">
        <v>189</v>
      </c>
      <c r="CD412" s="185">
        <v>20</v>
      </c>
      <c r="CE412" s="185" t="s">
        <v>184</v>
      </c>
      <c r="CF412" s="254" t="s">
        <v>190</v>
      </c>
      <c r="CH412" s="253"/>
    </row>
    <row r="413" spans="1:86">
      <c r="A413" s="1563"/>
      <c r="B413" s="168"/>
      <c r="C413" s="241" t="s">
        <v>319</v>
      </c>
      <c r="D413" s="177" t="s">
        <v>320</v>
      </c>
      <c r="F413" s="242">
        <v>99130</v>
      </c>
      <c r="G413" s="243">
        <v>169740</v>
      </c>
      <c r="H413" s="242">
        <v>95140</v>
      </c>
      <c r="I413" s="243">
        <v>165750</v>
      </c>
      <c r="J413" s="179" t="s">
        <v>182</v>
      </c>
      <c r="K413" s="244">
        <v>870</v>
      </c>
      <c r="L413" s="245">
        <v>1580</v>
      </c>
      <c r="M413" s="246" t="s">
        <v>795</v>
      </c>
      <c r="N413" s="244">
        <v>830</v>
      </c>
      <c r="O413" s="245">
        <v>1540</v>
      </c>
      <c r="P413" s="246" t="s">
        <v>795</v>
      </c>
      <c r="R413" s="182"/>
      <c r="S413" s="176"/>
      <c r="T413" s="177"/>
      <c r="V413" s="182"/>
      <c r="W413" s="185">
        <v>563200</v>
      </c>
      <c r="X413" s="176"/>
      <c r="Y413" s="185">
        <v>5630</v>
      </c>
      <c r="Z413" s="176" t="s">
        <v>184</v>
      </c>
      <c r="AA413" s="176"/>
      <c r="AB413" s="177"/>
      <c r="AD413" s="281"/>
      <c r="AE413" s="281"/>
      <c r="AF413" s="176"/>
      <c r="AG413" s="176"/>
      <c r="AH413" s="177"/>
      <c r="AJ413" s="187">
        <v>2420</v>
      </c>
      <c r="AK413" s="185" t="s">
        <v>321</v>
      </c>
      <c r="AL413" s="176"/>
      <c r="AM413" s="176"/>
      <c r="AN413" s="177"/>
      <c r="AP413" s="1551"/>
      <c r="AQ413" s="1554"/>
      <c r="AR413" s="1551"/>
      <c r="AS413" s="1554"/>
      <c r="AT413" s="1544"/>
      <c r="AU413" s="172" t="s">
        <v>700</v>
      </c>
      <c r="AV413" s="249">
        <v>2600</v>
      </c>
      <c r="AW413" s="250">
        <v>2900</v>
      </c>
      <c r="AX413" s="267">
        <v>1800</v>
      </c>
      <c r="AY413" s="252">
        <v>1800</v>
      </c>
      <c r="BA413" s="235">
        <v>3160</v>
      </c>
      <c r="BC413" s="359"/>
      <c r="BE413" s="187"/>
      <c r="BF413" s="176"/>
      <c r="BG413" s="176"/>
      <c r="BH413" s="177"/>
      <c r="BJ413" s="253"/>
      <c r="BL413" s="193">
        <v>0.02</v>
      </c>
      <c r="BM413" s="194">
        <v>0.03</v>
      </c>
      <c r="BN413" s="194">
        <v>0.05</v>
      </c>
      <c r="BO413" s="195">
        <v>0.06</v>
      </c>
      <c r="BQ413" s="187"/>
      <c r="BR413" s="185"/>
      <c r="BS413" s="185"/>
      <c r="BT413" s="254"/>
      <c r="BV413" s="187"/>
      <c r="BW413" s="185"/>
      <c r="BX413" s="185"/>
      <c r="BY413" s="185"/>
      <c r="BZ413" s="254"/>
      <c r="CB413" s="187"/>
      <c r="CC413" s="185"/>
      <c r="CD413" s="185"/>
      <c r="CE413" s="185"/>
      <c r="CF413" s="254"/>
      <c r="CH413" s="253">
        <v>0.95</v>
      </c>
    </row>
    <row r="414" spans="1:86">
      <c r="A414" s="1563"/>
      <c r="B414" s="269"/>
      <c r="C414" s="270"/>
      <c r="D414" s="184" t="s">
        <v>322</v>
      </c>
      <c r="F414" s="256">
        <v>169740</v>
      </c>
      <c r="G414" s="257"/>
      <c r="H414" s="256">
        <v>165750</v>
      </c>
      <c r="I414" s="257"/>
      <c r="J414" s="179" t="s">
        <v>182</v>
      </c>
      <c r="K414" s="258">
        <v>1580</v>
      </c>
      <c r="L414" s="259"/>
      <c r="M414" s="260" t="s">
        <v>795</v>
      </c>
      <c r="N414" s="258">
        <v>1540</v>
      </c>
      <c r="O414" s="259"/>
      <c r="P414" s="260" t="s">
        <v>795</v>
      </c>
      <c r="R414" s="183"/>
      <c r="S414" s="271"/>
      <c r="T414" s="184"/>
      <c r="V414" s="182"/>
      <c r="W414" s="185"/>
      <c r="X414" s="176"/>
      <c r="Y414" s="185"/>
      <c r="Z414" s="176"/>
      <c r="AA414" s="176"/>
      <c r="AB414" s="177"/>
      <c r="AD414" s="281"/>
      <c r="AE414" s="281"/>
      <c r="AF414" s="176"/>
      <c r="AG414" s="176"/>
      <c r="AH414" s="177"/>
      <c r="AJ414" s="187"/>
      <c r="AK414" s="185"/>
      <c r="AL414" s="176"/>
      <c r="AM414" s="176"/>
      <c r="AN414" s="177"/>
      <c r="AP414" s="1552"/>
      <c r="AQ414" s="1555"/>
      <c r="AR414" s="1552"/>
      <c r="AS414" s="1555"/>
      <c r="AT414" s="1544"/>
      <c r="AU414" s="262" t="s">
        <v>701</v>
      </c>
      <c r="AV414" s="263">
        <v>2400</v>
      </c>
      <c r="AW414" s="264">
        <v>2600</v>
      </c>
      <c r="AX414" s="265">
        <v>1600</v>
      </c>
      <c r="AY414" s="266">
        <v>1600</v>
      </c>
      <c r="BA414" s="277"/>
      <c r="BC414" s="359"/>
      <c r="BE414" s="186"/>
      <c r="BF414" s="271"/>
      <c r="BG414" s="271"/>
      <c r="BH414" s="184"/>
      <c r="BJ414" s="253"/>
      <c r="BL414" s="272"/>
      <c r="BM414" s="273"/>
      <c r="BN414" s="273"/>
      <c r="BO414" s="274"/>
      <c r="BQ414" s="186"/>
      <c r="BR414" s="196"/>
      <c r="BS414" s="196"/>
      <c r="BT414" s="197"/>
      <c r="BV414" s="186"/>
      <c r="BW414" s="196"/>
      <c r="BX414" s="196"/>
      <c r="BY414" s="196"/>
      <c r="BZ414" s="197"/>
      <c r="CB414" s="186"/>
      <c r="CC414" s="196"/>
      <c r="CD414" s="196"/>
      <c r="CE414" s="196"/>
      <c r="CF414" s="197"/>
      <c r="CH414" s="198"/>
    </row>
    <row r="415" spans="1:86" ht="63">
      <c r="A415" s="1563"/>
      <c r="B415" s="168" t="s">
        <v>339</v>
      </c>
      <c r="C415" s="241" t="s">
        <v>313</v>
      </c>
      <c r="D415" s="177" t="s">
        <v>314</v>
      </c>
      <c r="F415" s="218">
        <v>33020</v>
      </c>
      <c r="G415" s="219">
        <v>40080</v>
      </c>
      <c r="H415" s="218">
        <v>29340</v>
      </c>
      <c r="I415" s="219">
        <v>36400</v>
      </c>
      <c r="J415" s="179" t="s">
        <v>182</v>
      </c>
      <c r="K415" s="220">
        <v>310</v>
      </c>
      <c r="L415" s="221">
        <v>380</v>
      </c>
      <c r="M415" s="222" t="s">
        <v>795</v>
      </c>
      <c r="N415" s="220">
        <v>270</v>
      </c>
      <c r="O415" s="221">
        <v>340</v>
      </c>
      <c r="P415" s="222" t="s">
        <v>795</v>
      </c>
      <c r="Q415" s="160" t="s">
        <v>182</v>
      </c>
      <c r="R415" s="275">
        <v>7060</v>
      </c>
      <c r="S415" s="276">
        <v>70</v>
      </c>
      <c r="T415" s="247" t="s">
        <v>184</v>
      </c>
      <c r="V415" s="278"/>
      <c r="W415" s="279" t="s">
        <v>714</v>
      </c>
      <c r="X415" s="176"/>
      <c r="Y415" s="279" t="s">
        <v>714</v>
      </c>
      <c r="Z415" s="279"/>
      <c r="AA415" s="176"/>
      <c r="AB415" s="177"/>
      <c r="AD415" s="281"/>
      <c r="AE415" s="281"/>
      <c r="AF415" s="176"/>
      <c r="AG415" s="176"/>
      <c r="AH415" s="177"/>
      <c r="AJ415" s="187" t="s">
        <v>217</v>
      </c>
      <c r="AK415" s="185"/>
      <c r="AL415" s="176" t="s">
        <v>182</v>
      </c>
      <c r="AM415" s="176">
        <v>20</v>
      </c>
      <c r="AN415" s="177" t="s">
        <v>316</v>
      </c>
      <c r="AO415" s="160" t="s">
        <v>182</v>
      </c>
      <c r="AP415" s="1550">
        <v>2600</v>
      </c>
      <c r="AQ415" s="1553">
        <v>2900</v>
      </c>
      <c r="AR415" s="1550">
        <v>1800</v>
      </c>
      <c r="AS415" s="1553">
        <v>1800</v>
      </c>
      <c r="AT415" s="1544" t="s">
        <v>664</v>
      </c>
      <c r="AU415" s="230" t="s">
        <v>697</v>
      </c>
      <c r="AV415" s="231">
        <v>5100</v>
      </c>
      <c r="AW415" s="232">
        <v>5700</v>
      </c>
      <c r="AX415" s="267">
        <v>3500</v>
      </c>
      <c r="AY415" s="252">
        <v>3500</v>
      </c>
      <c r="BA415" s="235" t="s">
        <v>676</v>
      </c>
      <c r="BB415" s="160" t="s">
        <v>182</v>
      </c>
      <c r="BC415" s="1556">
        <v>4700</v>
      </c>
      <c r="BD415" s="160" t="s">
        <v>182</v>
      </c>
      <c r="BE415" s="187">
        <v>1640</v>
      </c>
      <c r="BF415" s="176" t="s">
        <v>182</v>
      </c>
      <c r="BG415" s="176">
        <v>10</v>
      </c>
      <c r="BH415" s="177" t="s">
        <v>184</v>
      </c>
      <c r="BJ415" s="253"/>
      <c r="BK415" s="160" t="s">
        <v>188</v>
      </c>
      <c r="BL415" s="193" t="s">
        <v>317</v>
      </c>
      <c r="BM415" s="194" t="s">
        <v>317</v>
      </c>
      <c r="BN415" s="194" t="s">
        <v>317</v>
      </c>
      <c r="BO415" s="195" t="s">
        <v>317</v>
      </c>
      <c r="BP415" s="160" t="s">
        <v>188</v>
      </c>
      <c r="BQ415" s="187"/>
      <c r="BR415" s="185"/>
      <c r="BS415" s="185"/>
      <c r="BT415" s="254"/>
      <c r="BU415" s="160" t="s">
        <v>188</v>
      </c>
      <c r="BV415" s="187"/>
      <c r="BW415" s="185"/>
      <c r="BX415" s="185"/>
      <c r="BY415" s="185"/>
      <c r="BZ415" s="254"/>
      <c r="CA415" s="160" t="s">
        <v>188</v>
      </c>
      <c r="CB415" s="187"/>
      <c r="CC415" s="185"/>
      <c r="CD415" s="185"/>
      <c r="CE415" s="185"/>
      <c r="CF415" s="254"/>
      <c r="CH415" s="253" t="s">
        <v>324</v>
      </c>
    </row>
    <row r="416" spans="1:86">
      <c r="A416" s="1563"/>
      <c r="B416" s="168"/>
      <c r="C416" s="241"/>
      <c r="D416" s="177" t="s">
        <v>318</v>
      </c>
      <c r="F416" s="242">
        <v>40080</v>
      </c>
      <c r="G416" s="243">
        <v>97770</v>
      </c>
      <c r="H416" s="242">
        <v>36400</v>
      </c>
      <c r="I416" s="243">
        <v>94090</v>
      </c>
      <c r="J416" s="179" t="s">
        <v>182</v>
      </c>
      <c r="K416" s="244">
        <v>380</v>
      </c>
      <c r="L416" s="245">
        <v>860</v>
      </c>
      <c r="M416" s="246" t="s">
        <v>795</v>
      </c>
      <c r="N416" s="244">
        <v>340</v>
      </c>
      <c r="O416" s="245">
        <v>820</v>
      </c>
      <c r="P416" s="246" t="s">
        <v>795</v>
      </c>
      <c r="Q416" s="160" t="s">
        <v>182</v>
      </c>
      <c r="R416" s="187">
        <v>7060</v>
      </c>
      <c r="S416" s="185">
        <v>70</v>
      </c>
      <c r="T416" s="247" t="s">
        <v>184</v>
      </c>
      <c r="V416" s="182"/>
      <c r="W416" s="185">
        <v>597000</v>
      </c>
      <c r="X416" s="176"/>
      <c r="Y416" s="185">
        <v>5970</v>
      </c>
      <c r="Z416" s="176" t="s">
        <v>184</v>
      </c>
      <c r="AA416" s="176"/>
      <c r="AB416" s="177"/>
      <c r="AD416" s="281"/>
      <c r="AE416" s="281"/>
      <c r="AF416" s="176"/>
      <c r="AG416" s="176"/>
      <c r="AH416" s="177"/>
      <c r="AJ416" s="187"/>
      <c r="AK416" s="185"/>
      <c r="AL416" s="176"/>
      <c r="AM416" s="176"/>
      <c r="AN416" s="177"/>
      <c r="AP416" s="1551"/>
      <c r="AQ416" s="1554"/>
      <c r="AR416" s="1551"/>
      <c r="AS416" s="1554"/>
      <c r="AT416" s="1544"/>
      <c r="AU416" s="172" t="s">
        <v>699</v>
      </c>
      <c r="AV416" s="249">
        <v>2800</v>
      </c>
      <c r="AW416" s="250">
        <v>3100</v>
      </c>
      <c r="AX416" s="267">
        <v>1900</v>
      </c>
      <c r="AY416" s="252">
        <v>1900</v>
      </c>
      <c r="BA416" s="235">
        <v>2810</v>
      </c>
      <c r="BC416" s="1557"/>
      <c r="BE416" s="187"/>
      <c r="BF416" s="176"/>
      <c r="BG416" s="176"/>
      <c r="BH416" s="177"/>
      <c r="BJ416" s="253"/>
      <c r="BL416" s="193"/>
      <c r="BM416" s="194"/>
      <c r="BN416" s="194"/>
      <c r="BO416" s="195"/>
      <c r="BQ416" s="187">
        <v>970</v>
      </c>
      <c r="BR416" s="185" t="s">
        <v>199</v>
      </c>
      <c r="BS416" s="185">
        <v>10</v>
      </c>
      <c r="BT416" s="254" t="s">
        <v>184</v>
      </c>
      <c r="BV416" s="187">
        <v>3250</v>
      </c>
      <c r="BW416" s="185" t="s">
        <v>189</v>
      </c>
      <c r="BX416" s="185">
        <v>30</v>
      </c>
      <c r="BY416" s="185" t="s">
        <v>184</v>
      </c>
      <c r="BZ416" s="254" t="s">
        <v>190</v>
      </c>
      <c r="CB416" s="187">
        <v>2010</v>
      </c>
      <c r="CC416" s="185" t="s">
        <v>189</v>
      </c>
      <c r="CD416" s="185">
        <v>20</v>
      </c>
      <c r="CE416" s="185" t="s">
        <v>184</v>
      </c>
      <c r="CF416" s="254" t="s">
        <v>190</v>
      </c>
      <c r="CH416" s="253"/>
    </row>
    <row r="417" spans="1:86">
      <c r="A417" s="1563"/>
      <c r="B417" s="168"/>
      <c r="C417" s="241" t="s">
        <v>319</v>
      </c>
      <c r="D417" s="177" t="s">
        <v>320</v>
      </c>
      <c r="F417" s="242">
        <v>97770</v>
      </c>
      <c r="G417" s="243">
        <v>168380</v>
      </c>
      <c r="H417" s="242">
        <v>94090</v>
      </c>
      <c r="I417" s="243">
        <v>164700</v>
      </c>
      <c r="J417" s="179" t="s">
        <v>182</v>
      </c>
      <c r="K417" s="244">
        <v>860</v>
      </c>
      <c r="L417" s="245">
        <v>1570</v>
      </c>
      <c r="M417" s="246" t="s">
        <v>795</v>
      </c>
      <c r="N417" s="244">
        <v>820</v>
      </c>
      <c r="O417" s="245">
        <v>1530</v>
      </c>
      <c r="P417" s="246" t="s">
        <v>795</v>
      </c>
      <c r="R417" s="182"/>
      <c r="S417" s="176"/>
      <c r="T417" s="177"/>
      <c r="V417" s="182"/>
      <c r="W417" s="185"/>
      <c r="X417" s="176"/>
      <c r="Y417" s="185"/>
      <c r="Z417" s="176"/>
      <c r="AA417" s="176"/>
      <c r="AB417" s="177"/>
      <c r="AD417" s="281"/>
      <c r="AE417" s="281"/>
      <c r="AF417" s="176"/>
      <c r="AG417" s="176"/>
      <c r="AH417" s="177"/>
      <c r="AJ417" s="187">
        <v>2070</v>
      </c>
      <c r="AK417" s="185" t="s">
        <v>321</v>
      </c>
      <c r="AL417" s="176"/>
      <c r="AM417" s="176"/>
      <c r="AN417" s="177"/>
      <c r="AP417" s="1551"/>
      <c r="AQ417" s="1554"/>
      <c r="AR417" s="1551"/>
      <c r="AS417" s="1554"/>
      <c r="AT417" s="1544"/>
      <c r="AU417" s="172" t="s">
        <v>700</v>
      </c>
      <c r="AV417" s="249">
        <v>2400</v>
      </c>
      <c r="AW417" s="250">
        <v>2700</v>
      </c>
      <c r="AX417" s="267">
        <v>1700</v>
      </c>
      <c r="AY417" s="252">
        <v>1700</v>
      </c>
      <c r="BA417" s="277"/>
      <c r="BC417" s="358"/>
      <c r="BE417" s="187"/>
      <c r="BF417" s="176"/>
      <c r="BG417" s="176"/>
      <c r="BH417" s="177"/>
      <c r="BJ417" s="253"/>
      <c r="BL417" s="193">
        <v>0.02</v>
      </c>
      <c r="BM417" s="194">
        <v>0.03</v>
      </c>
      <c r="BN417" s="194">
        <v>0.05</v>
      </c>
      <c r="BO417" s="195">
        <v>0.06</v>
      </c>
      <c r="BQ417" s="187"/>
      <c r="BR417" s="185"/>
      <c r="BS417" s="185"/>
      <c r="BT417" s="254"/>
      <c r="BV417" s="187"/>
      <c r="BW417" s="185"/>
      <c r="BX417" s="185"/>
      <c r="BY417" s="185"/>
      <c r="BZ417" s="254"/>
      <c r="CB417" s="187"/>
      <c r="CC417" s="185"/>
      <c r="CD417" s="185"/>
      <c r="CE417" s="185"/>
      <c r="CF417" s="254"/>
      <c r="CH417" s="253">
        <v>0.97</v>
      </c>
    </row>
    <row r="418" spans="1:86">
      <c r="A418" s="1563"/>
      <c r="B418" s="168"/>
      <c r="C418" s="241"/>
      <c r="D418" s="177" t="s">
        <v>322</v>
      </c>
      <c r="F418" s="256">
        <v>168380</v>
      </c>
      <c r="G418" s="257"/>
      <c r="H418" s="256">
        <v>164700</v>
      </c>
      <c r="I418" s="257"/>
      <c r="J418" s="179" t="s">
        <v>182</v>
      </c>
      <c r="K418" s="258">
        <v>1570</v>
      </c>
      <c r="L418" s="259"/>
      <c r="M418" s="260" t="s">
        <v>795</v>
      </c>
      <c r="N418" s="258">
        <v>1530</v>
      </c>
      <c r="O418" s="259"/>
      <c r="P418" s="260" t="s">
        <v>795</v>
      </c>
      <c r="R418" s="182"/>
      <c r="S418" s="176"/>
      <c r="T418" s="177"/>
      <c r="V418" s="278"/>
      <c r="W418" s="279" t="s">
        <v>715</v>
      </c>
      <c r="X418" s="176"/>
      <c r="Y418" s="185" t="s">
        <v>715</v>
      </c>
      <c r="Z418" s="176"/>
      <c r="AA418" s="176"/>
      <c r="AB418" s="177"/>
      <c r="AD418" s="281"/>
      <c r="AE418" s="281"/>
      <c r="AF418" s="176"/>
      <c r="AG418" s="176"/>
      <c r="AH418" s="177"/>
      <c r="AJ418" s="187"/>
      <c r="AK418" s="185"/>
      <c r="AL418" s="176"/>
      <c r="AM418" s="176"/>
      <c r="AN418" s="177"/>
      <c r="AP418" s="1552"/>
      <c r="AQ418" s="1555"/>
      <c r="AR418" s="1552"/>
      <c r="AS418" s="1555"/>
      <c r="AT418" s="1544"/>
      <c r="AU418" s="262" t="s">
        <v>701</v>
      </c>
      <c r="AV418" s="263">
        <v>2200</v>
      </c>
      <c r="AW418" s="264">
        <v>2400</v>
      </c>
      <c r="AX418" s="265">
        <v>1500</v>
      </c>
      <c r="AY418" s="266">
        <v>1500</v>
      </c>
      <c r="BA418" s="235" t="s">
        <v>677</v>
      </c>
      <c r="BC418" s="359"/>
      <c r="BE418" s="187"/>
      <c r="BF418" s="176"/>
      <c r="BG418" s="176"/>
      <c r="BH418" s="177"/>
      <c r="BJ418" s="253"/>
      <c r="BL418" s="193"/>
      <c r="BM418" s="194"/>
      <c r="BN418" s="194"/>
      <c r="BO418" s="195"/>
      <c r="BQ418" s="187"/>
      <c r="BR418" s="185"/>
      <c r="BS418" s="185"/>
      <c r="BT418" s="254"/>
      <c r="BV418" s="187"/>
      <c r="BW418" s="185"/>
      <c r="BX418" s="185"/>
      <c r="BY418" s="185"/>
      <c r="BZ418" s="254"/>
      <c r="CB418" s="187"/>
      <c r="CC418" s="185"/>
      <c r="CD418" s="185"/>
      <c r="CE418" s="185"/>
      <c r="CF418" s="254"/>
      <c r="CH418" s="253"/>
    </row>
    <row r="419" spans="1:86" ht="63">
      <c r="A419" s="1563"/>
      <c r="B419" s="215" t="s">
        <v>340</v>
      </c>
      <c r="C419" s="216" t="s">
        <v>313</v>
      </c>
      <c r="D419" s="217" t="s">
        <v>314</v>
      </c>
      <c r="F419" s="218">
        <v>31890</v>
      </c>
      <c r="G419" s="219">
        <v>38950</v>
      </c>
      <c r="H419" s="218">
        <v>28460</v>
      </c>
      <c r="I419" s="219">
        <v>35520</v>
      </c>
      <c r="J419" s="179" t="s">
        <v>182</v>
      </c>
      <c r="K419" s="220">
        <v>300</v>
      </c>
      <c r="L419" s="221">
        <v>370</v>
      </c>
      <c r="M419" s="222" t="s">
        <v>795</v>
      </c>
      <c r="N419" s="220">
        <v>260</v>
      </c>
      <c r="O419" s="221">
        <v>330</v>
      </c>
      <c r="P419" s="222" t="s">
        <v>795</v>
      </c>
      <c r="Q419" s="160" t="s">
        <v>182</v>
      </c>
      <c r="R419" s="223">
        <v>7060</v>
      </c>
      <c r="S419" s="224">
        <v>70</v>
      </c>
      <c r="T419" s="225" t="s">
        <v>184</v>
      </c>
      <c r="V419" s="182"/>
      <c r="W419" s="185">
        <v>630800</v>
      </c>
      <c r="X419" s="176"/>
      <c r="Y419" s="185">
        <v>6300</v>
      </c>
      <c r="Z419" s="176" t="s">
        <v>184</v>
      </c>
      <c r="AA419" s="176"/>
      <c r="AB419" s="177"/>
      <c r="AD419" s="281"/>
      <c r="AE419" s="281"/>
      <c r="AF419" s="176"/>
      <c r="AG419" s="176"/>
      <c r="AH419" s="177"/>
      <c r="AJ419" s="187" t="s">
        <v>219</v>
      </c>
      <c r="AK419" s="185"/>
      <c r="AL419" s="176" t="s">
        <v>182</v>
      </c>
      <c r="AM419" s="176">
        <v>10</v>
      </c>
      <c r="AN419" s="177" t="s">
        <v>316</v>
      </c>
      <c r="AO419" s="160" t="s">
        <v>182</v>
      </c>
      <c r="AP419" s="1550">
        <v>2800</v>
      </c>
      <c r="AQ419" s="1553">
        <v>3100</v>
      </c>
      <c r="AR419" s="1550">
        <v>1900</v>
      </c>
      <c r="AS419" s="1553">
        <v>1900</v>
      </c>
      <c r="AT419" s="1544" t="s">
        <v>664</v>
      </c>
      <c r="AU419" s="230" t="s">
        <v>697</v>
      </c>
      <c r="AV419" s="231">
        <v>5500</v>
      </c>
      <c r="AW419" s="232">
        <v>6200</v>
      </c>
      <c r="AX419" s="267">
        <v>3900</v>
      </c>
      <c r="AY419" s="252">
        <v>3900</v>
      </c>
      <c r="BA419" s="235">
        <v>2540</v>
      </c>
      <c r="BB419" s="160" t="s">
        <v>182</v>
      </c>
      <c r="BC419" s="1556">
        <v>4700</v>
      </c>
      <c r="BD419" s="160" t="s">
        <v>182</v>
      </c>
      <c r="BE419" s="228">
        <v>1520</v>
      </c>
      <c r="BF419" s="226" t="s">
        <v>182</v>
      </c>
      <c r="BG419" s="226">
        <v>10</v>
      </c>
      <c r="BH419" s="217" t="s">
        <v>184</v>
      </c>
      <c r="BJ419" s="253"/>
      <c r="BK419" s="160" t="s">
        <v>188</v>
      </c>
      <c r="BL419" s="237" t="s">
        <v>317</v>
      </c>
      <c r="BM419" s="238" t="s">
        <v>317</v>
      </c>
      <c r="BN419" s="238" t="s">
        <v>317</v>
      </c>
      <c r="BO419" s="239" t="s">
        <v>317</v>
      </c>
      <c r="BP419" s="160" t="s">
        <v>188</v>
      </c>
      <c r="BQ419" s="228"/>
      <c r="BR419" s="229"/>
      <c r="BS419" s="229"/>
      <c r="BT419" s="240"/>
      <c r="BU419" s="160" t="s">
        <v>188</v>
      </c>
      <c r="BV419" s="228"/>
      <c r="BW419" s="229"/>
      <c r="BX419" s="229"/>
      <c r="BY419" s="229"/>
      <c r="BZ419" s="240"/>
      <c r="CA419" s="160" t="s">
        <v>188</v>
      </c>
      <c r="CB419" s="228"/>
      <c r="CC419" s="229"/>
      <c r="CD419" s="229"/>
      <c r="CE419" s="229"/>
      <c r="CF419" s="240"/>
      <c r="CH419" s="236" t="s">
        <v>324</v>
      </c>
    </row>
    <row r="420" spans="1:86">
      <c r="A420" s="1563"/>
      <c r="B420" s="168"/>
      <c r="C420" s="241"/>
      <c r="D420" s="177" t="s">
        <v>318</v>
      </c>
      <c r="F420" s="242">
        <v>38950</v>
      </c>
      <c r="G420" s="243">
        <v>96640</v>
      </c>
      <c r="H420" s="242">
        <v>35520</v>
      </c>
      <c r="I420" s="243">
        <v>93210</v>
      </c>
      <c r="J420" s="179" t="s">
        <v>182</v>
      </c>
      <c r="K420" s="244">
        <v>370</v>
      </c>
      <c r="L420" s="245">
        <v>850</v>
      </c>
      <c r="M420" s="246" t="s">
        <v>795</v>
      </c>
      <c r="N420" s="244">
        <v>330</v>
      </c>
      <c r="O420" s="245">
        <v>810</v>
      </c>
      <c r="P420" s="246" t="s">
        <v>795</v>
      </c>
      <c r="Q420" s="160" t="s">
        <v>182</v>
      </c>
      <c r="R420" s="187">
        <v>7060</v>
      </c>
      <c r="S420" s="185">
        <v>70</v>
      </c>
      <c r="T420" s="247" t="s">
        <v>184</v>
      </c>
      <c r="V420" s="182"/>
      <c r="W420" s="185"/>
      <c r="X420" s="176"/>
      <c r="Y420" s="185"/>
      <c r="Z420" s="176"/>
      <c r="AA420" s="176"/>
      <c r="AB420" s="177"/>
      <c r="AD420" s="281"/>
      <c r="AE420" s="281"/>
      <c r="AF420" s="176"/>
      <c r="AG420" s="176"/>
      <c r="AH420" s="177"/>
      <c r="AJ420" s="187"/>
      <c r="AK420" s="185"/>
      <c r="AL420" s="176"/>
      <c r="AM420" s="176"/>
      <c r="AN420" s="177"/>
      <c r="AP420" s="1551"/>
      <c r="AQ420" s="1554"/>
      <c r="AR420" s="1551"/>
      <c r="AS420" s="1554"/>
      <c r="AT420" s="1544"/>
      <c r="AU420" s="172" t="s">
        <v>699</v>
      </c>
      <c r="AV420" s="249">
        <v>3000</v>
      </c>
      <c r="AW420" s="250">
        <v>3400</v>
      </c>
      <c r="AX420" s="267">
        <v>2100</v>
      </c>
      <c r="AY420" s="252">
        <v>2100</v>
      </c>
      <c r="BA420" s="277"/>
      <c r="BC420" s="1557"/>
      <c r="BE420" s="187"/>
      <c r="BF420" s="176"/>
      <c r="BG420" s="176"/>
      <c r="BH420" s="177"/>
      <c r="BJ420" s="253"/>
      <c r="BL420" s="193"/>
      <c r="BM420" s="194"/>
      <c r="BN420" s="194"/>
      <c r="BO420" s="195"/>
      <c r="BQ420" s="187">
        <v>900</v>
      </c>
      <c r="BR420" s="185" t="s">
        <v>199</v>
      </c>
      <c r="BS420" s="185">
        <v>9</v>
      </c>
      <c r="BT420" s="254" t="s">
        <v>184</v>
      </c>
      <c r="BV420" s="187">
        <v>3020</v>
      </c>
      <c r="BW420" s="185" t="s">
        <v>189</v>
      </c>
      <c r="BX420" s="185">
        <v>30</v>
      </c>
      <c r="BY420" s="185" t="s">
        <v>184</v>
      </c>
      <c r="BZ420" s="254" t="s">
        <v>190</v>
      </c>
      <c r="CB420" s="187">
        <v>1870</v>
      </c>
      <c r="CC420" s="185" t="s">
        <v>189</v>
      </c>
      <c r="CD420" s="185">
        <v>10</v>
      </c>
      <c r="CE420" s="185" t="s">
        <v>184</v>
      </c>
      <c r="CF420" s="254" t="s">
        <v>190</v>
      </c>
      <c r="CH420" s="253"/>
    </row>
    <row r="421" spans="1:86">
      <c r="A421" s="1563"/>
      <c r="B421" s="168"/>
      <c r="C421" s="241" t="s">
        <v>319</v>
      </c>
      <c r="D421" s="177" t="s">
        <v>320</v>
      </c>
      <c r="F421" s="242">
        <v>96640</v>
      </c>
      <c r="G421" s="243">
        <v>167250</v>
      </c>
      <c r="H421" s="242">
        <v>93210</v>
      </c>
      <c r="I421" s="243">
        <v>163820</v>
      </c>
      <c r="J421" s="179" t="s">
        <v>182</v>
      </c>
      <c r="K421" s="244">
        <v>850</v>
      </c>
      <c r="L421" s="245">
        <v>1560</v>
      </c>
      <c r="M421" s="246" t="s">
        <v>795</v>
      </c>
      <c r="N421" s="244">
        <v>810</v>
      </c>
      <c r="O421" s="245">
        <v>1520</v>
      </c>
      <c r="P421" s="246" t="s">
        <v>795</v>
      </c>
      <c r="R421" s="182"/>
      <c r="S421" s="176"/>
      <c r="T421" s="177"/>
      <c r="V421" s="278"/>
      <c r="W421" s="279" t="s">
        <v>716</v>
      </c>
      <c r="X421" s="176"/>
      <c r="Y421" s="279" t="s">
        <v>716</v>
      </c>
      <c r="Z421" s="279"/>
      <c r="AA421" s="176"/>
      <c r="AB421" s="177"/>
      <c r="AD421" s="281"/>
      <c r="AE421" s="281"/>
      <c r="AF421" s="176"/>
      <c r="AG421" s="176"/>
      <c r="AH421" s="177"/>
      <c r="AJ421" s="187">
        <v>1810</v>
      </c>
      <c r="AK421" s="185" t="s">
        <v>321</v>
      </c>
      <c r="AL421" s="176"/>
      <c r="AM421" s="176"/>
      <c r="AN421" s="177"/>
      <c r="AP421" s="1551"/>
      <c r="AQ421" s="1554"/>
      <c r="AR421" s="1551"/>
      <c r="AS421" s="1554"/>
      <c r="AT421" s="1544"/>
      <c r="AU421" s="172" t="s">
        <v>700</v>
      </c>
      <c r="AV421" s="249">
        <v>2600</v>
      </c>
      <c r="AW421" s="250">
        <v>2900</v>
      </c>
      <c r="AX421" s="267">
        <v>1800</v>
      </c>
      <c r="AY421" s="252">
        <v>1800</v>
      </c>
      <c r="BA421" s="235" t="s">
        <v>678</v>
      </c>
      <c r="BC421" s="359"/>
      <c r="BE421" s="187"/>
      <c r="BF421" s="176"/>
      <c r="BG421" s="176"/>
      <c r="BH421" s="177"/>
      <c r="BJ421" s="253"/>
      <c r="BL421" s="193">
        <v>0.02</v>
      </c>
      <c r="BM421" s="194">
        <v>0.03</v>
      </c>
      <c r="BN421" s="194">
        <v>0.05</v>
      </c>
      <c r="BO421" s="195">
        <v>0.06</v>
      </c>
      <c r="BQ421" s="187"/>
      <c r="BR421" s="185"/>
      <c r="BS421" s="185"/>
      <c r="BT421" s="254"/>
      <c r="BV421" s="187"/>
      <c r="BW421" s="185"/>
      <c r="BX421" s="185"/>
      <c r="BY421" s="185"/>
      <c r="BZ421" s="254"/>
      <c r="CB421" s="187"/>
      <c r="CC421" s="185"/>
      <c r="CD421" s="185"/>
      <c r="CE421" s="185"/>
      <c r="CF421" s="254"/>
      <c r="CH421" s="253">
        <v>0.98</v>
      </c>
    </row>
    <row r="422" spans="1:86">
      <c r="A422" s="1563"/>
      <c r="B422" s="269"/>
      <c r="C422" s="270"/>
      <c r="D422" s="184" t="s">
        <v>322</v>
      </c>
      <c r="F422" s="256">
        <v>167250</v>
      </c>
      <c r="G422" s="257"/>
      <c r="H422" s="256">
        <v>163820</v>
      </c>
      <c r="I422" s="257"/>
      <c r="J422" s="179" t="s">
        <v>182</v>
      </c>
      <c r="K422" s="258">
        <v>1560</v>
      </c>
      <c r="L422" s="259"/>
      <c r="M422" s="260" t="s">
        <v>795</v>
      </c>
      <c r="N422" s="258">
        <v>1520</v>
      </c>
      <c r="O422" s="259"/>
      <c r="P422" s="260" t="s">
        <v>795</v>
      </c>
      <c r="R422" s="183"/>
      <c r="S422" s="271"/>
      <c r="T422" s="184"/>
      <c r="V422" s="182"/>
      <c r="W422" s="185">
        <v>664700</v>
      </c>
      <c r="X422" s="176"/>
      <c r="Y422" s="185">
        <v>6640</v>
      </c>
      <c r="Z422" s="176" t="s">
        <v>184</v>
      </c>
      <c r="AA422" s="176"/>
      <c r="AB422" s="177"/>
      <c r="AD422" s="281"/>
      <c r="AE422" s="281"/>
      <c r="AF422" s="176"/>
      <c r="AG422" s="176"/>
      <c r="AH422" s="177"/>
      <c r="AJ422" s="187"/>
      <c r="AK422" s="185"/>
      <c r="AL422" s="176"/>
      <c r="AM422" s="176"/>
      <c r="AN422" s="177"/>
      <c r="AP422" s="1552"/>
      <c r="AQ422" s="1555"/>
      <c r="AR422" s="1552"/>
      <c r="AS422" s="1555"/>
      <c r="AT422" s="1544"/>
      <c r="AU422" s="262" t="s">
        <v>701</v>
      </c>
      <c r="AV422" s="263">
        <v>2400</v>
      </c>
      <c r="AW422" s="264">
        <v>2600</v>
      </c>
      <c r="AX422" s="265">
        <v>1600</v>
      </c>
      <c r="AY422" s="266">
        <v>1600</v>
      </c>
      <c r="BA422" s="235">
        <v>2440</v>
      </c>
      <c r="BC422" s="359"/>
      <c r="BE422" s="186"/>
      <c r="BF422" s="271"/>
      <c r="BG422" s="271"/>
      <c r="BH422" s="184"/>
      <c r="BJ422" s="253"/>
      <c r="BL422" s="272"/>
      <c r="BM422" s="273"/>
      <c r="BN422" s="273"/>
      <c r="BO422" s="274"/>
      <c r="BQ422" s="186"/>
      <c r="BR422" s="196"/>
      <c r="BS422" s="196"/>
      <c r="BT422" s="197"/>
      <c r="BV422" s="186"/>
      <c r="BW422" s="196"/>
      <c r="BX422" s="196"/>
      <c r="BY422" s="196"/>
      <c r="BZ422" s="197"/>
      <c r="CB422" s="186"/>
      <c r="CC422" s="196"/>
      <c r="CD422" s="196"/>
      <c r="CE422" s="196"/>
      <c r="CF422" s="197"/>
      <c r="CH422" s="198"/>
    </row>
    <row r="423" spans="1:86" ht="63">
      <c r="A423" s="1563"/>
      <c r="B423" s="168" t="s">
        <v>341</v>
      </c>
      <c r="C423" s="241" t="s">
        <v>313</v>
      </c>
      <c r="D423" s="177" t="s">
        <v>314</v>
      </c>
      <c r="F423" s="218">
        <v>30880</v>
      </c>
      <c r="G423" s="219">
        <v>37940</v>
      </c>
      <c r="H423" s="218">
        <v>27690</v>
      </c>
      <c r="I423" s="219">
        <v>34750</v>
      </c>
      <c r="J423" s="179" t="s">
        <v>182</v>
      </c>
      <c r="K423" s="220">
        <v>290</v>
      </c>
      <c r="L423" s="221">
        <v>360</v>
      </c>
      <c r="M423" s="222" t="s">
        <v>795</v>
      </c>
      <c r="N423" s="220">
        <v>250</v>
      </c>
      <c r="O423" s="221">
        <v>320</v>
      </c>
      <c r="P423" s="222" t="s">
        <v>795</v>
      </c>
      <c r="Q423" s="160" t="s">
        <v>182</v>
      </c>
      <c r="R423" s="275">
        <v>7060</v>
      </c>
      <c r="S423" s="276">
        <v>70</v>
      </c>
      <c r="T423" s="247" t="s">
        <v>184</v>
      </c>
      <c r="V423" s="182"/>
      <c r="W423" s="185"/>
      <c r="X423" s="176"/>
      <c r="Y423" s="185"/>
      <c r="Z423" s="176"/>
      <c r="AA423" s="176"/>
      <c r="AB423" s="177"/>
      <c r="AD423" s="281"/>
      <c r="AE423" s="281"/>
      <c r="AF423" s="176"/>
      <c r="AG423" s="176"/>
      <c r="AH423" s="177"/>
      <c r="AJ423" s="187" t="s">
        <v>221</v>
      </c>
      <c r="AK423" s="185"/>
      <c r="AL423" s="176" t="s">
        <v>182</v>
      </c>
      <c r="AM423" s="176">
        <v>10</v>
      </c>
      <c r="AN423" s="177" t="s">
        <v>316</v>
      </c>
      <c r="AO423" s="160" t="s">
        <v>182</v>
      </c>
      <c r="AP423" s="1550">
        <v>2600</v>
      </c>
      <c r="AQ423" s="1553">
        <v>2900</v>
      </c>
      <c r="AR423" s="1550">
        <v>1800</v>
      </c>
      <c r="AS423" s="1553">
        <v>1800</v>
      </c>
      <c r="AT423" s="1544" t="s">
        <v>664</v>
      </c>
      <c r="AU423" s="230" t="s">
        <v>697</v>
      </c>
      <c r="AV423" s="231">
        <v>5400</v>
      </c>
      <c r="AW423" s="232">
        <v>6000</v>
      </c>
      <c r="AX423" s="267">
        <v>3700</v>
      </c>
      <c r="AY423" s="252">
        <v>3700</v>
      </c>
      <c r="BA423" s="235"/>
      <c r="BB423" s="160" t="s">
        <v>182</v>
      </c>
      <c r="BC423" s="1556">
        <v>4700</v>
      </c>
      <c r="BD423" s="160" t="s">
        <v>182</v>
      </c>
      <c r="BE423" s="187">
        <v>1420</v>
      </c>
      <c r="BF423" s="176" t="s">
        <v>182</v>
      </c>
      <c r="BG423" s="176">
        <v>10</v>
      </c>
      <c r="BH423" s="177" t="s">
        <v>184</v>
      </c>
      <c r="BJ423" s="253"/>
      <c r="BK423" s="160" t="s">
        <v>188</v>
      </c>
      <c r="BL423" s="193" t="s">
        <v>317</v>
      </c>
      <c r="BM423" s="194" t="s">
        <v>317</v>
      </c>
      <c r="BN423" s="194" t="s">
        <v>317</v>
      </c>
      <c r="BO423" s="195" t="s">
        <v>317</v>
      </c>
      <c r="BP423" s="160" t="s">
        <v>188</v>
      </c>
      <c r="BQ423" s="187"/>
      <c r="BR423" s="185"/>
      <c r="BS423" s="185"/>
      <c r="BT423" s="254"/>
      <c r="BU423" s="160" t="s">
        <v>188</v>
      </c>
      <c r="BV423" s="187"/>
      <c r="BW423" s="185"/>
      <c r="BX423" s="185"/>
      <c r="BY423" s="185"/>
      <c r="BZ423" s="254"/>
      <c r="CA423" s="160" t="s">
        <v>188</v>
      </c>
      <c r="CB423" s="187"/>
      <c r="CC423" s="185"/>
      <c r="CD423" s="185"/>
      <c r="CE423" s="185"/>
      <c r="CF423" s="254"/>
      <c r="CH423" s="253" t="s">
        <v>324</v>
      </c>
    </row>
    <row r="424" spans="1:86">
      <c r="A424" s="1563"/>
      <c r="B424" s="168"/>
      <c r="C424" s="241"/>
      <c r="D424" s="177" t="s">
        <v>318</v>
      </c>
      <c r="F424" s="242">
        <v>37940</v>
      </c>
      <c r="G424" s="243">
        <v>95630</v>
      </c>
      <c r="H424" s="242">
        <v>34750</v>
      </c>
      <c r="I424" s="243">
        <v>92440</v>
      </c>
      <c r="J424" s="179" t="s">
        <v>182</v>
      </c>
      <c r="K424" s="244">
        <v>360</v>
      </c>
      <c r="L424" s="245">
        <v>840</v>
      </c>
      <c r="M424" s="246" t="s">
        <v>795</v>
      </c>
      <c r="N424" s="244">
        <v>320</v>
      </c>
      <c r="O424" s="245">
        <v>810</v>
      </c>
      <c r="P424" s="246" t="s">
        <v>795</v>
      </c>
      <c r="Q424" s="160" t="s">
        <v>182</v>
      </c>
      <c r="R424" s="187">
        <v>7060</v>
      </c>
      <c r="S424" s="185">
        <v>70</v>
      </c>
      <c r="T424" s="247" t="s">
        <v>184</v>
      </c>
      <c r="V424" s="182"/>
      <c r="W424" s="185"/>
      <c r="X424" s="176"/>
      <c r="Y424" s="185"/>
      <c r="Z424" s="176"/>
      <c r="AA424" s="176"/>
      <c r="AB424" s="177"/>
      <c r="AD424" s="281"/>
      <c r="AE424" s="281"/>
      <c r="AF424" s="176"/>
      <c r="AG424" s="176"/>
      <c r="AH424" s="177"/>
      <c r="AJ424" s="187"/>
      <c r="AK424" s="185"/>
      <c r="AL424" s="176"/>
      <c r="AM424" s="176"/>
      <c r="AN424" s="177"/>
      <c r="AP424" s="1551"/>
      <c r="AQ424" s="1554"/>
      <c r="AR424" s="1551"/>
      <c r="AS424" s="1554"/>
      <c r="AT424" s="1544"/>
      <c r="AU424" s="172" t="s">
        <v>699</v>
      </c>
      <c r="AV424" s="249">
        <v>2900</v>
      </c>
      <c r="AW424" s="250">
        <v>3300</v>
      </c>
      <c r="AX424" s="267">
        <v>2000</v>
      </c>
      <c r="AY424" s="252">
        <v>2000</v>
      </c>
      <c r="BA424" s="235" t="s">
        <v>679</v>
      </c>
      <c r="BC424" s="1557"/>
      <c r="BE424" s="187"/>
      <c r="BF424" s="176"/>
      <c r="BG424" s="176"/>
      <c r="BH424" s="177"/>
      <c r="BJ424" s="253"/>
      <c r="BL424" s="193"/>
      <c r="BM424" s="194"/>
      <c r="BN424" s="194"/>
      <c r="BO424" s="195"/>
      <c r="BQ424" s="187">
        <v>840</v>
      </c>
      <c r="BR424" s="185" t="s">
        <v>199</v>
      </c>
      <c r="BS424" s="185">
        <v>8</v>
      </c>
      <c r="BT424" s="254" t="s">
        <v>184</v>
      </c>
      <c r="BV424" s="187">
        <v>2820</v>
      </c>
      <c r="BW424" s="185" t="s">
        <v>189</v>
      </c>
      <c r="BX424" s="185">
        <v>20</v>
      </c>
      <c r="BY424" s="185" t="s">
        <v>184</v>
      </c>
      <c r="BZ424" s="254" t="s">
        <v>190</v>
      </c>
      <c r="CB424" s="187">
        <v>1740</v>
      </c>
      <c r="CC424" s="185" t="s">
        <v>189</v>
      </c>
      <c r="CD424" s="185">
        <v>10</v>
      </c>
      <c r="CE424" s="185" t="s">
        <v>184</v>
      </c>
      <c r="CF424" s="254" t="s">
        <v>190</v>
      </c>
      <c r="CH424" s="253"/>
    </row>
    <row r="425" spans="1:86">
      <c r="A425" s="1563"/>
      <c r="B425" s="168"/>
      <c r="C425" s="241" t="s">
        <v>319</v>
      </c>
      <c r="D425" s="177" t="s">
        <v>320</v>
      </c>
      <c r="F425" s="242">
        <v>95630</v>
      </c>
      <c r="G425" s="243">
        <v>166240</v>
      </c>
      <c r="H425" s="242">
        <v>92440</v>
      </c>
      <c r="I425" s="243">
        <v>163050</v>
      </c>
      <c r="J425" s="179" t="s">
        <v>182</v>
      </c>
      <c r="K425" s="244">
        <v>840</v>
      </c>
      <c r="L425" s="245">
        <v>1550</v>
      </c>
      <c r="M425" s="246" t="s">
        <v>795</v>
      </c>
      <c r="N425" s="244">
        <v>810</v>
      </c>
      <c r="O425" s="245">
        <v>1520</v>
      </c>
      <c r="P425" s="246" t="s">
        <v>795</v>
      </c>
      <c r="R425" s="182"/>
      <c r="S425" s="176"/>
      <c r="T425" s="177"/>
      <c r="V425" s="182"/>
      <c r="W425" s="185"/>
      <c r="X425" s="176"/>
      <c r="Y425" s="185"/>
      <c r="Z425" s="176"/>
      <c r="AA425" s="176"/>
      <c r="AB425" s="177"/>
      <c r="AD425" s="281"/>
      <c r="AE425" s="281"/>
      <c r="AF425" s="176"/>
      <c r="AG425" s="176"/>
      <c r="AH425" s="177"/>
      <c r="AJ425" s="187">
        <v>1610</v>
      </c>
      <c r="AK425" s="185" t="s">
        <v>321</v>
      </c>
      <c r="AL425" s="176"/>
      <c r="AM425" s="176"/>
      <c r="AN425" s="177"/>
      <c r="AP425" s="1551"/>
      <c r="AQ425" s="1554"/>
      <c r="AR425" s="1551"/>
      <c r="AS425" s="1554"/>
      <c r="AT425" s="1544"/>
      <c r="AU425" s="172" t="s">
        <v>700</v>
      </c>
      <c r="AV425" s="249">
        <v>2500</v>
      </c>
      <c r="AW425" s="250">
        <v>2800</v>
      </c>
      <c r="AX425" s="267">
        <v>1800</v>
      </c>
      <c r="AY425" s="252">
        <v>1800</v>
      </c>
      <c r="BA425" s="235">
        <v>2360</v>
      </c>
      <c r="BC425" s="359"/>
      <c r="BE425" s="187"/>
      <c r="BF425" s="176"/>
      <c r="BG425" s="176"/>
      <c r="BH425" s="177"/>
      <c r="BJ425" s="253"/>
      <c r="BL425" s="193">
        <v>0.02</v>
      </c>
      <c r="BM425" s="194">
        <v>0.03</v>
      </c>
      <c r="BN425" s="194">
        <v>0.05</v>
      </c>
      <c r="BO425" s="195">
        <v>7.0000000000000007E-2</v>
      </c>
      <c r="BQ425" s="187"/>
      <c r="BR425" s="185"/>
      <c r="BS425" s="185"/>
      <c r="BT425" s="254"/>
      <c r="BV425" s="187"/>
      <c r="BW425" s="185"/>
      <c r="BX425" s="185"/>
      <c r="BY425" s="185"/>
      <c r="BZ425" s="254"/>
      <c r="CB425" s="187"/>
      <c r="CC425" s="185"/>
      <c r="CD425" s="185"/>
      <c r="CE425" s="185"/>
      <c r="CF425" s="254"/>
      <c r="CH425" s="253">
        <v>0.98</v>
      </c>
    </row>
    <row r="426" spans="1:86">
      <c r="A426" s="1563"/>
      <c r="B426" s="168"/>
      <c r="C426" s="241"/>
      <c r="D426" s="177" t="s">
        <v>322</v>
      </c>
      <c r="F426" s="256">
        <v>166240</v>
      </c>
      <c r="G426" s="257"/>
      <c r="H426" s="256">
        <v>163050</v>
      </c>
      <c r="I426" s="257"/>
      <c r="J426" s="179" t="s">
        <v>182</v>
      </c>
      <c r="K426" s="258">
        <v>1550</v>
      </c>
      <c r="L426" s="259"/>
      <c r="M426" s="260" t="s">
        <v>795</v>
      </c>
      <c r="N426" s="258">
        <v>1520</v>
      </c>
      <c r="O426" s="259"/>
      <c r="P426" s="260" t="s">
        <v>795</v>
      </c>
      <c r="R426" s="182"/>
      <c r="S426" s="176"/>
      <c r="T426" s="177"/>
      <c r="V426" s="182"/>
      <c r="W426" s="185"/>
      <c r="X426" s="176"/>
      <c r="Y426" s="185"/>
      <c r="Z426" s="176"/>
      <c r="AA426" s="176"/>
      <c r="AB426" s="177"/>
      <c r="AD426" s="281"/>
      <c r="AE426" s="281"/>
      <c r="AF426" s="176"/>
      <c r="AG426" s="176"/>
      <c r="AH426" s="177"/>
      <c r="AJ426" s="187"/>
      <c r="AK426" s="185"/>
      <c r="AL426" s="176"/>
      <c r="AM426" s="176"/>
      <c r="AN426" s="177"/>
      <c r="AP426" s="1552"/>
      <c r="AQ426" s="1555"/>
      <c r="AR426" s="1552"/>
      <c r="AS426" s="1555"/>
      <c r="AT426" s="1544"/>
      <c r="AU426" s="262" t="s">
        <v>701</v>
      </c>
      <c r="AV426" s="263">
        <v>2300</v>
      </c>
      <c r="AW426" s="264">
        <v>2500</v>
      </c>
      <c r="AX426" s="265">
        <v>1600</v>
      </c>
      <c r="AY426" s="266">
        <v>1600</v>
      </c>
      <c r="BA426" s="235"/>
      <c r="BC426" s="359"/>
      <c r="BE426" s="187"/>
      <c r="BF426" s="176"/>
      <c r="BG426" s="176"/>
      <c r="BH426" s="177"/>
      <c r="BJ426" s="253"/>
      <c r="BL426" s="193"/>
      <c r="BM426" s="194"/>
      <c r="BN426" s="194"/>
      <c r="BO426" s="195"/>
      <c r="BQ426" s="187"/>
      <c r="BR426" s="185"/>
      <c r="BS426" s="185"/>
      <c r="BT426" s="254"/>
      <c r="BV426" s="187"/>
      <c r="BW426" s="185"/>
      <c r="BX426" s="185"/>
      <c r="BY426" s="185"/>
      <c r="BZ426" s="254"/>
      <c r="CB426" s="187"/>
      <c r="CC426" s="185"/>
      <c r="CD426" s="185"/>
      <c r="CE426" s="185"/>
      <c r="CF426" s="254"/>
      <c r="CH426" s="253"/>
    </row>
    <row r="427" spans="1:86" ht="63">
      <c r="A427" s="1563"/>
      <c r="B427" s="215" t="s">
        <v>342</v>
      </c>
      <c r="C427" s="216" t="s">
        <v>313</v>
      </c>
      <c r="D427" s="217" t="s">
        <v>314</v>
      </c>
      <c r="F427" s="218">
        <v>30860</v>
      </c>
      <c r="G427" s="219">
        <v>37920</v>
      </c>
      <c r="H427" s="218">
        <v>27870</v>
      </c>
      <c r="I427" s="219">
        <v>34930</v>
      </c>
      <c r="J427" s="179" t="s">
        <v>182</v>
      </c>
      <c r="K427" s="220">
        <v>290</v>
      </c>
      <c r="L427" s="221">
        <v>360</v>
      </c>
      <c r="M427" s="222" t="s">
        <v>795</v>
      </c>
      <c r="N427" s="220">
        <v>260</v>
      </c>
      <c r="O427" s="221">
        <v>330</v>
      </c>
      <c r="P427" s="222" t="s">
        <v>795</v>
      </c>
      <c r="Q427" s="160" t="s">
        <v>182</v>
      </c>
      <c r="R427" s="223">
        <v>7060</v>
      </c>
      <c r="S427" s="224">
        <v>70</v>
      </c>
      <c r="T427" s="225" t="s">
        <v>184</v>
      </c>
      <c r="V427" s="182"/>
      <c r="W427" s="185"/>
      <c r="X427" s="176"/>
      <c r="Y427" s="185"/>
      <c r="Z427" s="176"/>
      <c r="AA427" s="176"/>
      <c r="AB427" s="177"/>
      <c r="AD427" s="281"/>
      <c r="AE427" s="281"/>
      <c r="AF427" s="176"/>
      <c r="AG427" s="176"/>
      <c r="AH427" s="177"/>
      <c r="AJ427" s="187" t="s">
        <v>223</v>
      </c>
      <c r="AK427" s="185"/>
      <c r="AL427" s="176" t="s">
        <v>182</v>
      </c>
      <c r="AM427" s="176">
        <v>10</v>
      </c>
      <c r="AN427" s="177" t="s">
        <v>316</v>
      </c>
      <c r="AO427" s="160" t="s">
        <v>182</v>
      </c>
      <c r="AP427" s="1550">
        <v>2400</v>
      </c>
      <c r="AQ427" s="1553">
        <v>2700</v>
      </c>
      <c r="AR427" s="1550">
        <v>1700</v>
      </c>
      <c r="AS427" s="1553">
        <v>1700</v>
      </c>
      <c r="AT427" s="1544" t="s">
        <v>664</v>
      </c>
      <c r="AU427" s="230" t="s">
        <v>697</v>
      </c>
      <c r="AV427" s="231">
        <v>4800</v>
      </c>
      <c r="AW427" s="232">
        <v>5400</v>
      </c>
      <c r="AX427" s="267">
        <v>3400</v>
      </c>
      <c r="AY427" s="252">
        <v>3400</v>
      </c>
      <c r="BA427" s="235" t="s">
        <v>680</v>
      </c>
      <c r="BB427" s="160" t="s">
        <v>182</v>
      </c>
      <c r="BC427" s="1556">
        <v>4700</v>
      </c>
      <c r="BD427" s="160" t="s">
        <v>182</v>
      </c>
      <c r="BE427" s="228">
        <v>1330</v>
      </c>
      <c r="BF427" s="226" t="s">
        <v>182</v>
      </c>
      <c r="BG427" s="226">
        <v>10</v>
      </c>
      <c r="BH427" s="217" t="s">
        <v>184</v>
      </c>
      <c r="BJ427" s="253"/>
      <c r="BK427" s="160" t="s">
        <v>188</v>
      </c>
      <c r="BL427" s="237" t="s">
        <v>317</v>
      </c>
      <c r="BM427" s="238" t="s">
        <v>317</v>
      </c>
      <c r="BN427" s="238" t="s">
        <v>317</v>
      </c>
      <c r="BO427" s="239" t="s">
        <v>317</v>
      </c>
      <c r="BP427" s="160" t="s">
        <v>188</v>
      </c>
      <c r="BQ427" s="228"/>
      <c r="BR427" s="229"/>
      <c r="BS427" s="229"/>
      <c r="BT427" s="240"/>
      <c r="BU427" s="160" t="s">
        <v>188</v>
      </c>
      <c r="BV427" s="228"/>
      <c r="BW427" s="229"/>
      <c r="BX427" s="229"/>
      <c r="BY427" s="229"/>
      <c r="BZ427" s="240"/>
      <c r="CA427" s="160" t="s">
        <v>188</v>
      </c>
      <c r="CB427" s="228"/>
      <c r="CC427" s="229"/>
      <c r="CD427" s="229"/>
      <c r="CE427" s="229"/>
      <c r="CF427" s="240"/>
      <c r="CH427" s="236" t="s">
        <v>324</v>
      </c>
    </row>
    <row r="428" spans="1:86">
      <c r="A428" s="1563"/>
      <c r="B428" s="168"/>
      <c r="C428" s="241"/>
      <c r="D428" s="177" t="s">
        <v>318</v>
      </c>
      <c r="F428" s="242">
        <v>37920</v>
      </c>
      <c r="G428" s="243">
        <v>95610</v>
      </c>
      <c r="H428" s="242">
        <v>34930</v>
      </c>
      <c r="I428" s="243">
        <v>92620</v>
      </c>
      <c r="J428" s="179" t="s">
        <v>182</v>
      </c>
      <c r="K428" s="244">
        <v>360</v>
      </c>
      <c r="L428" s="245">
        <v>840</v>
      </c>
      <c r="M428" s="246" t="s">
        <v>795</v>
      </c>
      <c r="N428" s="244">
        <v>330</v>
      </c>
      <c r="O428" s="245">
        <v>810</v>
      </c>
      <c r="P428" s="246" t="s">
        <v>795</v>
      </c>
      <c r="Q428" s="160" t="s">
        <v>182</v>
      </c>
      <c r="R428" s="187">
        <v>7060</v>
      </c>
      <c r="S428" s="185">
        <v>70</v>
      </c>
      <c r="T428" s="247" t="s">
        <v>184</v>
      </c>
      <c r="V428" s="182"/>
      <c r="W428" s="185"/>
      <c r="X428" s="176"/>
      <c r="Y428" s="185"/>
      <c r="Z428" s="176"/>
      <c r="AA428" s="176"/>
      <c r="AB428" s="177"/>
      <c r="AD428" s="281"/>
      <c r="AE428" s="281"/>
      <c r="AF428" s="176"/>
      <c r="AG428" s="176"/>
      <c r="AH428" s="177"/>
      <c r="AJ428" s="187"/>
      <c r="AK428" s="185"/>
      <c r="AL428" s="176"/>
      <c r="AM428" s="176"/>
      <c r="AN428" s="177"/>
      <c r="AP428" s="1551"/>
      <c r="AQ428" s="1554"/>
      <c r="AR428" s="1551"/>
      <c r="AS428" s="1554"/>
      <c r="AT428" s="1544"/>
      <c r="AU428" s="172" t="s">
        <v>699</v>
      </c>
      <c r="AV428" s="249">
        <v>2600</v>
      </c>
      <c r="AW428" s="250">
        <v>2900</v>
      </c>
      <c r="AX428" s="267">
        <v>1800</v>
      </c>
      <c r="AY428" s="252">
        <v>1800</v>
      </c>
      <c r="BA428" s="235">
        <v>2150</v>
      </c>
      <c r="BC428" s="1557"/>
      <c r="BE428" s="187"/>
      <c r="BF428" s="176"/>
      <c r="BG428" s="176"/>
      <c r="BH428" s="177"/>
      <c r="BJ428" s="253"/>
      <c r="BL428" s="193"/>
      <c r="BM428" s="194"/>
      <c r="BN428" s="194"/>
      <c r="BO428" s="195"/>
      <c r="BQ428" s="187">
        <v>790</v>
      </c>
      <c r="BR428" s="185" t="s">
        <v>199</v>
      </c>
      <c r="BS428" s="185">
        <v>8</v>
      </c>
      <c r="BT428" s="254" t="s">
        <v>184</v>
      </c>
      <c r="BV428" s="187">
        <v>2640</v>
      </c>
      <c r="BW428" s="185" t="s">
        <v>189</v>
      </c>
      <c r="BX428" s="185">
        <v>20</v>
      </c>
      <c r="BY428" s="185" t="s">
        <v>184</v>
      </c>
      <c r="BZ428" s="254" t="s">
        <v>190</v>
      </c>
      <c r="CB428" s="187">
        <v>1640</v>
      </c>
      <c r="CC428" s="185" t="s">
        <v>189</v>
      </c>
      <c r="CD428" s="185">
        <v>10</v>
      </c>
      <c r="CE428" s="185" t="s">
        <v>184</v>
      </c>
      <c r="CF428" s="254" t="s">
        <v>190</v>
      </c>
      <c r="CH428" s="253"/>
    </row>
    <row r="429" spans="1:86">
      <c r="A429" s="1563"/>
      <c r="B429" s="168"/>
      <c r="C429" s="241" t="s">
        <v>319</v>
      </c>
      <c r="D429" s="177" t="s">
        <v>320</v>
      </c>
      <c r="F429" s="242">
        <v>95610</v>
      </c>
      <c r="G429" s="243">
        <v>166220</v>
      </c>
      <c r="H429" s="242">
        <v>92620</v>
      </c>
      <c r="I429" s="243">
        <v>163230</v>
      </c>
      <c r="J429" s="179" t="s">
        <v>182</v>
      </c>
      <c r="K429" s="244">
        <v>840</v>
      </c>
      <c r="L429" s="245">
        <v>1550</v>
      </c>
      <c r="M429" s="246" t="s">
        <v>795</v>
      </c>
      <c r="N429" s="244">
        <v>810</v>
      </c>
      <c r="O429" s="245">
        <v>1520</v>
      </c>
      <c r="P429" s="246" t="s">
        <v>795</v>
      </c>
      <c r="R429" s="182"/>
      <c r="S429" s="176"/>
      <c r="T429" s="177"/>
      <c r="V429" s="182"/>
      <c r="W429" s="185"/>
      <c r="X429" s="176"/>
      <c r="Y429" s="185"/>
      <c r="Z429" s="176"/>
      <c r="AA429" s="176"/>
      <c r="AB429" s="177"/>
      <c r="AD429" s="281"/>
      <c r="AE429" s="281"/>
      <c r="AF429" s="176"/>
      <c r="AG429" s="176"/>
      <c r="AH429" s="177"/>
      <c r="AJ429" s="187">
        <v>1450</v>
      </c>
      <c r="AK429" s="185" t="s">
        <v>321</v>
      </c>
      <c r="AL429" s="176"/>
      <c r="AM429" s="176"/>
      <c r="AN429" s="177"/>
      <c r="AP429" s="1551"/>
      <c r="AQ429" s="1554"/>
      <c r="AR429" s="1551"/>
      <c r="AS429" s="1554"/>
      <c r="AT429" s="1544"/>
      <c r="AU429" s="172" t="s">
        <v>700</v>
      </c>
      <c r="AV429" s="249">
        <v>2300</v>
      </c>
      <c r="AW429" s="250">
        <v>2500</v>
      </c>
      <c r="AX429" s="267">
        <v>1600</v>
      </c>
      <c r="AY429" s="252">
        <v>1600</v>
      </c>
      <c r="BA429" s="235"/>
      <c r="BC429" s="359"/>
      <c r="BE429" s="187"/>
      <c r="BF429" s="176"/>
      <c r="BG429" s="176"/>
      <c r="BH429" s="177"/>
      <c r="BJ429" s="253"/>
      <c r="BL429" s="193">
        <v>0.02</v>
      </c>
      <c r="BM429" s="194">
        <v>0.03</v>
      </c>
      <c r="BN429" s="194">
        <v>0.05</v>
      </c>
      <c r="BO429" s="195">
        <v>7.0000000000000007E-2</v>
      </c>
      <c r="BQ429" s="187"/>
      <c r="BR429" s="185"/>
      <c r="BS429" s="185"/>
      <c r="BT429" s="254"/>
      <c r="BV429" s="187"/>
      <c r="BW429" s="185"/>
      <c r="BX429" s="185"/>
      <c r="BY429" s="185"/>
      <c r="BZ429" s="254"/>
      <c r="CB429" s="187"/>
      <c r="CC429" s="185"/>
      <c r="CD429" s="185"/>
      <c r="CE429" s="185"/>
      <c r="CF429" s="254"/>
      <c r="CH429" s="253">
        <v>0.98</v>
      </c>
    </row>
    <row r="430" spans="1:86">
      <c r="A430" s="1563"/>
      <c r="B430" s="269"/>
      <c r="C430" s="270"/>
      <c r="D430" s="184" t="s">
        <v>322</v>
      </c>
      <c r="F430" s="256">
        <v>166220</v>
      </c>
      <c r="G430" s="257"/>
      <c r="H430" s="256">
        <v>163230</v>
      </c>
      <c r="I430" s="257"/>
      <c r="J430" s="179" t="s">
        <v>182</v>
      </c>
      <c r="K430" s="258">
        <v>1550</v>
      </c>
      <c r="L430" s="259"/>
      <c r="M430" s="260" t="s">
        <v>795</v>
      </c>
      <c r="N430" s="258">
        <v>1520</v>
      </c>
      <c r="O430" s="259"/>
      <c r="P430" s="260" t="s">
        <v>795</v>
      </c>
      <c r="R430" s="183"/>
      <c r="S430" s="271"/>
      <c r="T430" s="184"/>
      <c r="V430" s="182"/>
      <c r="W430" s="185"/>
      <c r="X430" s="176"/>
      <c r="Y430" s="185"/>
      <c r="Z430" s="176"/>
      <c r="AA430" s="176"/>
      <c r="AB430" s="177"/>
      <c r="AD430" s="281"/>
      <c r="AE430" s="281"/>
      <c r="AF430" s="176"/>
      <c r="AG430" s="176"/>
      <c r="AH430" s="177"/>
      <c r="AJ430" s="187"/>
      <c r="AK430" s="185"/>
      <c r="AL430" s="176"/>
      <c r="AM430" s="176"/>
      <c r="AN430" s="177"/>
      <c r="AP430" s="1552"/>
      <c r="AQ430" s="1555"/>
      <c r="AR430" s="1552"/>
      <c r="AS430" s="1555"/>
      <c r="AT430" s="1544"/>
      <c r="AU430" s="262" t="s">
        <v>701</v>
      </c>
      <c r="AV430" s="263">
        <v>2000</v>
      </c>
      <c r="AW430" s="264">
        <v>2300</v>
      </c>
      <c r="AX430" s="265">
        <v>1400</v>
      </c>
      <c r="AY430" s="266">
        <v>1400</v>
      </c>
      <c r="BA430" s="235"/>
      <c r="BC430" s="359"/>
      <c r="BE430" s="186"/>
      <c r="BF430" s="271"/>
      <c r="BG430" s="271"/>
      <c r="BH430" s="184"/>
      <c r="BJ430" s="253"/>
      <c r="BL430" s="272"/>
      <c r="BM430" s="273"/>
      <c r="BN430" s="273"/>
      <c r="BO430" s="274"/>
      <c r="BQ430" s="186"/>
      <c r="BR430" s="196"/>
      <c r="BS430" s="196"/>
      <c r="BT430" s="197"/>
      <c r="BV430" s="186"/>
      <c r="BW430" s="196"/>
      <c r="BX430" s="196"/>
      <c r="BY430" s="196"/>
      <c r="BZ430" s="197"/>
      <c r="CB430" s="186"/>
      <c r="CC430" s="196"/>
      <c r="CD430" s="196"/>
      <c r="CE430" s="196"/>
      <c r="CF430" s="197"/>
      <c r="CH430" s="198"/>
    </row>
    <row r="431" spans="1:86" ht="63">
      <c r="A431" s="1563"/>
      <c r="B431" s="168" t="s">
        <v>343</v>
      </c>
      <c r="C431" s="241" t="s">
        <v>313</v>
      </c>
      <c r="D431" s="177" t="s">
        <v>314</v>
      </c>
      <c r="F431" s="218">
        <v>30060</v>
      </c>
      <c r="G431" s="219">
        <v>37120</v>
      </c>
      <c r="H431" s="218">
        <v>27240</v>
      </c>
      <c r="I431" s="219">
        <v>34300</v>
      </c>
      <c r="J431" s="179" t="s">
        <v>182</v>
      </c>
      <c r="K431" s="220">
        <v>280</v>
      </c>
      <c r="L431" s="221">
        <v>350</v>
      </c>
      <c r="M431" s="222" t="s">
        <v>795</v>
      </c>
      <c r="N431" s="220">
        <v>250</v>
      </c>
      <c r="O431" s="221">
        <v>320</v>
      </c>
      <c r="P431" s="222" t="s">
        <v>795</v>
      </c>
      <c r="Q431" s="160" t="s">
        <v>182</v>
      </c>
      <c r="R431" s="275">
        <v>7060</v>
      </c>
      <c r="S431" s="276">
        <v>70</v>
      </c>
      <c r="T431" s="247" t="s">
        <v>184</v>
      </c>
      <c r="V431" s="182"/>
      <c r="W431" s="185"/>
      <c r="X431" s="176"/>
      <c r="Y431" s="185"/>
      <c r="Z431" s="176"/>
      <c r="AA431" s="176"/>
      <c r="AB431" s="177"/>
      <c r="AD431" s="281"/>
      <c r="AE431" s="281"/>
      <c r="AF431" s="176"/>
      <c r="AG431" s="176"/>
      <c r="AH431" s="177"/>
      <c r="AJ431" s="187" t="s">
        <v>225</v>
      </c>
      <c r="AK431" s="185"/>
      <c r="AL431" s="176" t="s">
        <v>182</v>
      </c>
      <c r="AM431" s="176">
        <v>10</v>
      </c>
      <c r="AN431" s="177" t="s">
        <v>316</v>
      </c>
      <c r="AO431" s="160" t="s">
        <v>182</v>
      </c>
      <c r="AP431" s="1550">
        <v>2600</v>
      </c>
      <c r="AQ431" s="1553">
        <v>2900</v>
      </c>
      <c r="AR431" s="1550">
        <v>1800</v>
      </c>
      <c r="AS431" s="1553">
        <v>1800</v>
      </c>
      <c r="AT431" s="1544" t="s">
        <v>664</v>
      </c>
      <c r="AU431" s="230" t="s">
        <v>697</v>
      </c>
      <c r="AV431" s="231">
        <v>5400</v>
      </c>
      <c r="AW431" s="232">
        <v>6000</v>
      </c>
      <c r="AX431" s="267">
        <v>3700</v>
      </c>
      <c r="AY431" s="252">
        <v>3700</v>
      </c>
      <c r="BA431" s="1545" t="s">
        <v>717</v>
      </c>
      <c r="BB431" s="160" t="s">
        <v>182</v>
      </c>
      <c r="BC431" s="1556">
        <v>4700</v>
      </c>
      <c r="BD431" s="160" t="s">
        <v>182</v>
      </c>
      <c r="BE431" s="187">
        <v>1250</v>
      </c>
      <c r="BF431" s="176" t="s">
        <v>182</v>
      </c>
      <c r="BG431" s="176">
        <v>10</v>
      </c>
      <c r="BH431" s="177" t="s">
        <v>184</v>
      </c>
      <c r="BJ431" s="253"/>
      <c r="BK431" s="160" t="s">
        <v>188</v>
      </c>
      <c r="BL431" s="193" t="s">
        <v>317</v>
      </c>
      <c r="BM431" s="194" t="s">
        <v>317</v>
      </c>
      <c r="BN431" s="194" t="s">
        <v>317</v>
      </c>
      <c r="BO431" s="195" t="s">
        <v>317</v>
      </c>
      <c r="BP431" s="160" t="s">
        <v>188</v>
      </c>
      <c r="BQ431" s="187"/>
      <c r="BR431" s="185"/>
      <c r="BS431" s="185"/>
      <c r="BT431" s="254"/>
      <c r="BU431" s="160" t="s">
        <v>188</v>
      </c>
      <c r="BV431" s="187"/>
      <c r="BW431" s="185"/>
      <c r="BX431" s="185"/>
      <c r="BY431" s="185"/>
      <c r="BZ431" s="254"/>
      <c r="CA431" s="160" t="s">
        <v>188</v>
      </c>
      <c r="CB431" s="187"/>
      <c r="CC431" s="185"/>
      <c r="CD431" s="185"/>
      <c r="CE431" s="185"/>
      <c r="CF431" s="254"/>
      <c r="CH431" s="253" t="s">
        <v>324</v>
      </c>
    </row>
    <row r="432" spans="1:86">
      <c r="A432" s="1563"/>
      <c r="B432" s="168"/>
      <c r="C432" s="241"/>
      <c r="D432" s="177" t="s">
        <v>318</v>
      </c>
      <c r="F432" s="242">
        <v>37120</v>
      </c>
      <c r="G432" s="243">
        <v>94810</v>
      </c>
      <c r="H432" s="242">
        <v>34300</v>
      </c>
      <c r="I432" s="243">
        <v>91990</v>
      </c>
      <c r="J432" s="179" t="s">
        <v>182</v>
      </c>
      <c r="K432" s="244">
        <v>350</v>
      </c>
      <c r="L432" s="245">
        <v>830</v>
      </c>
      <c r="M432" s="246" t="s">
        <v>795</v>
      </c>
      <c r="N432" s="244">
        <v>320</v>
      </c>
      <c r="O432" s="245">
        <v>800</v>
      </c>
      <c r="P432" s="246" t="s">
        <v>795</v>
      </c>
      <c r="Q432" s="160" t="s">
        <v>182</v>
      </c>
      <c r="R432" s="187">
        <v>7060</v>
      </c>
      <c r="S432" s="185">
        <v>70</v>
      </c>
      <c r="T432" s="247" t="s">
        <v>184</v>
      </c>
      <c r="V432" s="182"/>
      <c r="W432" s="185"/>
      <c r="X432" s="176"/>
      <c r="Y432" s="185"/>
      <c r="Z432" s="176"/>
      <c r="AA432" s="176"/>
      <c r="AB432" s="177"/>
      <c r="AD432" s="281"/>
      <c r="AE432" s="281"/>
      <c r="AF432" s="176"/>
      <c r="AG432" s="176"/>
      <c r="AH432" s="177"/>
      <c r="AJ432" s="187"/>
      <c r="AK432" s="185"/>
      <c r="AL432" s="176"/>
      <c r="AM432" s="176"/>
      <c r="AN432" s="177"/>
      <c r="AP432" s="1551"/>
      <c r="AQ432" s="1554"/>
      <c r="AR432" s="1551"/>
      <c r="AS432" s="1554"/>
      <c r="AT432" s="1544"/>
      <c r="AU432" s="172" t="s">
        <v>699</v>
      </c>
      <c r="AV432" s="249">
        <v>2900</v>
      </c>
      <c r="AW432" s="250">
        <v>3300</v>
      </c>
      <c r="AX432" s="267">
        <v>2000</v>
      </c>
      <c r="AY432" s="252">
        <v>2000</v>
      </c>
      <c r="BA432" s="1545"/>
      <c r="BC432" s="1557"/>
      <c r="BE432" s="187"/>
      <c r="BF432" s="176"/>
      <c r="BG432" s="176"/>
      <c r="BH432" s="177"/>
      <c r="BJ432" s="253"/>
      <c r="BL432" s="193"/>
      <c r="BM432" s="194"/>
      <c r="BN432" s="194"/>
      <c r="BO432" s="195"/>
      <c r="BQ432" s="187">
        <v>740</v>
      </c>
      <c r="BR432" s="185" t="s">
        <v>199</v>
      </c>
      <c r="BS432" s="185">
        <v>7</v>
      </c>
      <c r="BT432" s="254" t="s">
        <v>184</v>
      </c>
      <c r="BV432" s="187">
        <v>2490</v>
      </c>
      <c r="BW432" s="185" t="s">
        <v>189</v>
      </c>
      <c r="BX432" s="185">
        <v>20</v>
      </c>
      <c r="BY432" s="185" t="s">
        <v>184</v>
      </c>
      <c r="BZ432" s="254" t="s">
        <v>190</v>
      </c>
      <c r="CB432" s="187">
        <v>1540</v>
      </c>
      <c r="CC432" s="185" t="s">
        <v>189</v>
      </c>
      <c r="CD432" s="185">
        <v>10</v>
      </c>
      <c r="CE432" s="185" t="s">
        <v>184</v>
      </c>
      <c r="CF432" s="254" t="s">
        <v>190</v>
      </c>
      <c r="CH432" s="253"/>
    </row>
    <row r="433" spans="1:86">
      <c r="A433" s="1563"/>
      <c r="B433" s="168"/>
      <c r="C433" s="241" t="s">
        <v>319</v>
      </c>
      <c r="D433" s="177" t="s">
        <v>320</v>
      </c>
      <c r="F433" s="242">
        <v>94810</v>
      </c>
      <c r="G433" s="243">
        <v>165420</v>
      </c>
      <c r="H433" s="242">
        <v>91990</v>
      </c>
      <c r="I433" s="243">
        <v>162600</v>
      </c>
      <c r="J433" s="179" t="s">
        <v>182</v>
      </c>
      <c r="K433" s="244">
        <v>830</v>
      </c>
      <c r="L433" s="245">
        <v>1540</v>
      </c>
      <c r="M433" s="246" t="s">
        <v>795</v>
      </c>
      <c r="N433" s="244">
        <v>800</v>
      </c>
      <c r="O433" s="245">
        <v>1510</v>
      </c>
      <c r="P433" s="246" t="s">
        <v>795</v>
      </c>
      <c r="R433" s="182"/>
      <c r="S433" s="176"/>
      <c r="T433" s="177"/>
      <c r="V433" s="182"/>
      <c r="W433" s="185"/>
      <c r="X433" s="176"/>
      <c r="Y433" s="185"/>
      <c r="Z433" s="176"/>
      <c r="AA433" s="176"/>
      <c r="AB433" s="177"/>
      <c r="AD433" s="281"/>
      <c r="AE433" s="281"/>
      <c r="AF433" s="176"/>
      <c r="AG433" s="176"/>
      <c r="AH433" s="177"/>
      <c r="AJ433" s="187">
        <v>1320</v>
      </c>
      <c r="AK433" s="185" t="s">
        <v>321</v>
      </c>
      <c r="AL433" s="176"/>
      <c r="AM433" s="176"/>
      <c r="AN433" s="177"/>
      <c r="AP433" s="1551"/>
      <c r="AQ433" s="1554"/>
      <c r="AR433" s="1551"/>
      <c r="AS433" s="1554"/>
      <c r="AT433" s="1544"/>
      <c r="AU433" s="172" t="s">
        <v>700</v>
      </c>
      <c r="AV433" s="249">
        <v>2500</v>
      </c>
      <c r="AW433" s="250">
        <v>2800</v>
      </c>
      <c r="AX433" s="267">
        <v>1800</v>
      </c>
      <c r="AY433" s="252">
        <v>1800</v>
      </c>
      <c r="BA433" s="235"/>
      <c r="BC433" s="358"/>
      <c r="BE433" s="187"/>
      <c r="BF433" s="176"/>
      <c r="BG433" s="176"/>
      <c r="BH433" s="177"/>
      <c r="BJ433" s="253"/>
      <c r="BL433" s="193">
        <v>0.02</v>
      </c>
      <c r="BM433" s="194">
        <v>0.03</v>
      </c>
      <c r="BN433" s="194">
        <v>0.05</v>
      </c>
      <c r="BO433" s="195">
        <v>7.0000000000000007E-2</v>
      </c>
      <c r="BQ433" s="187"/>
      <c r="BR433" s="185"/>
      <c r="BS433" s="185"/>
      <c r="BT433" s="254"/>
      <c r="BV433" s="187"/>
      <c r="BW433" s="185"/>
      <c r="BX433" s="185"/>
      <c r="BY433" s="185"/>
      <c r="BZ433" s="254"/>
      <c r="CB433" s="187"/>
      <c r="CC433" s="185"/>
      <c r="CD433" s="185"/>
      <c r="CE433" s="185"/>
      <c r="CF433" s="254"/>
      <c r="CH433" s="253">
        <v>0.99</v>
      </c>
    </row>
    <row r="434" spans="1:86">
      <c r="A434" s="1563"/>
      <c r="B434" s="168"/>
      <c r="C434" s="241"/>
      <c r="D434" s="177" t="s">
        <v>322</v>
      </c>
      <c r="F434" s="256">
        <v>165420</v>
      </c>
      <c r="G434" s="257"/>
      <c r="H434" s="256">
        <v>162600</v>
      </c>
      <c r="I434" s="257"/>
      <c r="J434" s="179" t="s">
        <v>182</v>
      </c>
      <c r="K434" s="258">
        <v>1540</v>
      </c>
      <c r="L434" s="259"/>
      <c r="M434" s="260" t="s">
        <v>795</v>
      </c>
      <c r="N434" s="258">
        <v>1510</v>
      </c>
      <c r="O434" s="259"/>
      <c r="P434" s="260" t="s">
        <v>795</v>
      </c>
      <c r="R434" s="182"/>
      <c r="S434" s="176"/>
      <c r="T434" s="177"/>
      <c r="V434" s="182"/>
      <c r="W434" s="185"/>
      <c r="X434" s="176"/>
      <c r="Y434" s="185"/>
      <c r="Z434" s="176"/>
      <c r="AA434" s="176"/>
      <c r="AB434" s="177"/>
      <c r="AD434" s="281"/>
      <c r="AE434" s="281"/>
      <c r="AF434" s="176"/>
      <c r="AG434" s="176"/>
      <c r="AH434" s="177"/>
      <c r="AJ434" s="187"/>
      <c r="AK434" s="185"/>
      <c r="AL434" s="176"/>
      <c r="AM434" s="176"/>
      <c r="AN434" s="177"/>
      <c r="AP434" s="1552"/>
      <c r="AQ434" s="1555"/>
      <c r="AR434" s="1552"/>
      <c r="AS434" s="1555"/>
      <c r="AT434" s="1544"/>
      <c r="AU434" s="262" t="s">
        <v>701</v>
      </c>
      <c r="AV434" s="263">
        <v>2300</v>
      </c>
      <c r="AW434" s="264">
        <v>2500</v>
      </c>
      <c r="AX434" s="265">
        <v>1600</v>
      </c>
      <c r="AY434" s="266">
        <v>1600</v>
      </c>
      <c r="BA434" s="235"/>
      <c r="BC434" s="359"/>
      <c r="BE434" s="187"/>
      <c r="BF434" s="176"/>
      <c r="BG434" s="176"/>
      <c r="BH434" s="177"/>
      <c r="BJ434" s="253"/>
      <c r="BL434" s="193"/>
      <c r="BM434" s="194"/>
      <c r="BN434" s="194"/>
      <c r="BO434" s="195"/>
      <c r="BQ434" s="187"/>
      <c r="BR434" s="185"/>
      <c r="BS434" s="185"/>
      <c r="BT434" s="254"/>
      <c r="BV434" s="187"/>
      <c r="BW434" s="185"/>
      <c r="BX434" s="185"/>
      <c r="BY434" s="185"/>
      <c r="BZ434" s="254"/>
      <c r="CB434" s="187"/>
      <c r="CC434" s="185"/>
      <c r="CD434" s="185"/>
      <c r="CE434" s="185"/>
      <c r="CF434" s="254"/>
      <c r="CH434" s="253"/>
    </row>
    <row r="435" spans="1:86" ht="31.5">
      <c r="A435" s="1563"/>
      <c r="B435" s="215" t="s">
        <v>344</v>
      </c>
      <c r="C435" s="216" t="s">
        <v>313</v>
      </c>
      <c r="D435" s="217" t="s">
        <v>314</v>
      </c>
      <c r="F435" s="218">
        <v>29320</v>
      </c>
      <c r="G435" s="219">
        <v>36380</v>
      </c>
      <c r="H435" s="218">
        <v>26660</v>
      </c>
      <c r="I435" s="219">
        <v>33720</v>
      </c>
      <c r="J435" s="179" t="s">
        <v>182</v>
      </c>
      <c r="K435" s="220">
        <v>270</v>
      </c>
      <c r="L435" s="221">
        <v>340</v>
      </c>
      <c r="M435" s="222" t="s">
        <v>795</v>
      </c>
      <c r="N435" s="220">
        <v>240</v>
      </c>
      <c r="O435" s="221">
        <v>310</v>
      </c>
      <c r="P435" s="222" t="s">
        <v>795</v>
      </c>
      <c r="Q435" s="160" t="s">
        <v>182</v>
      </c>
      <c r="R435" s="223">
        <v>7060</v>
      </c>
      <c r="S435" s="224">
        <v>70</v>
      </c>
      <c r="T435" s="225" t="s">
        <v>184</v>
      </c>
      <c r="V435" s="182"/>
      <c r="W435" s="185"/>
      <c r="X435" s="176"/>
      <c r="Y435" s="185"/>
      <c r="Z435" s="176"/>
      <c r="AA435" s="176"/>
      <c r="AB435" s="177"/>
      <c r="AD435" s="281"/>
      <c r="AE435" s="281"/>
      <c r="AF435" s="176"/>
      <c r="AG435" s="176"/>
      <c r="AH435" s="177"/>
      <c r="AJ435" s="187"/>
      <c r="AK435" s="185"/>
      <c r="AL435" s="176"/>
      <c r="AM435" s="176"/>
      <c r="AN435" s="177" t="s">
        <v>316</v>
      </c>
      <c r="AO435" s="160" t="s">
        <v>182</v>
      </c>
      <c r="AP435" s="1550">
        <v>2500</v>
      </c>
      <c r="AQ435" s="1553">
        <v>2700</v>
      </c>
      <c r="AR435" s="1550">
        <v>1700</v>
      </c>
      <c r="AS435" s="1553">
        <v>1700</v>
      </c>
      <c r="AT435" s="1544" t="s">
        <v>664</v>
      </c>
      <c r="AU435" s="230" t="s">
        <v>697</v>
      </c>
      <c r="AV435" s="231">
        <v>4800</v>
      </c>
      <c r="AW435" s="232">
        <v>5400</v>
      </c>
      <c r="AX435" s="267">
        <v>3400</v>
      </c>
      <c r="AY435" s="252">
        <v>3400</v>
      </c>
      <c r="BA435" s="235"/>
      <c r="BB435" s="160" t="s">
        <v>182</v>
      </c>
      <c r="BC435" s="1556">
        <v>4700</v>
      </c>
      <c r="BD435" s="160" t="s">
        <v>182</v>
      </c>
      <c r="BE435" s="228">
        <v>1180</v>
      </c>
      <c r="BF435" s="226" t="s">
        <v>182</v>
      </c>
      <c r="BG435" s="226">
        <v>10</v>
      </c>
      <c r="BH435" s="217" t="s">
        <v>184</v>
      </c>
      <c r="BJ435" s="253"/>
      <c r="BK435" s="160" t="s">
        <v>188</v>
      </c>
      <c r="BL435" s="237" t="s">
        <v>317</v>
      </c>
      <c r="BM435" s="238" t="s">
        <v>317</v>
      </c>
      <c r="BN435" s="238" t="s">
        <v>317</v>
      </c>
      <c r="BO435" s="239" t="s">
        <v>317</v>
      </c>
      <c r="BP435" s="160" t="s">
        <v>188</v>
      </c>
      <c r="BQ435" s="228"/>
      <c r="BR435" s="229"/>
      <c r="BS435" s="229"/>
      <c r="BT435" s="240"/>
      <c r="BU435" s="160" t="s">
        <v>188</v>
      </c>
      <c r="BV435" s="228"/>
      <c r="BW435" s="229"/>
      <c r="BX435" s="229"/>
      <c r="BY435" s="229"/>
      <c r="BZ435" s="240"/>
      <c r="CA435" s="160" t="s">
        <v>188</v>
      </c>
      <c r="CB435" s="228"/>
      <c r="CC435" s="229"/>
      <c r="CD435" s="229"/>
      <c r="CE435" s="229"/>
      <c r="CF435" s="240"/>
      <c r="CH435" s="236" t="s">
        <v>324</v>
      </c>
    </row>
    <row r="436" spans="1:86">
      <c r="A436" s="1563"/>
      <c r="B436" s="168"/>
      <c r="C436" s="241"/>
      <c r="D436" s="177" t="s">
        <v>318</v>
      </c>
      <c r="F436" s="242">
        <v>36380</v>
      </c>
      <c r="G436" s="243">
        <v>94070</v>
      </c>
      <c r="H436" s="242">
        <v>33720</v>
      </c>
      <c r="I436" s="243">
        <v>91410</v>
      </c>
      <c r="J436" s="179" t="s">
        <v>182</v>
      </c>
      <c r="K436" s="244">
        <v>340</v>
      </c>
      <c r="L436" s="245">
        <v>820</v>
      </c>
      <c r="M436" s="246" t="s">
        <v>795</v>
      </c>
      <c r="N436" s="244">
        <v>310</v>
      </c>
      <c r="O436" s="245">
        <v>800</v>
      </c>
      <c r="P436" s="246" t="s">
        <v>795</v>
      </c>
      <c r="Q436" s="160" t="s">
        <v>182</v>
      </c>
      <c r="R436" s="187">
        <v>7060</v>
      </c>
      <c r="S436" s="185">
        <v>70</v>
      </c>
      <c r="T436" s="247" t="s">
        <v>184</v>
      </c>
      <c r="V436" s="182"/>
      <c r="W436" s="185"/>
      <c r="X436" s="176"/>
      <c r="Y436" s="185"/>
      <c r="Z436" s="176"/>
      <c r="AA436" s="176"/>
      <c r="AB436" s="177"/>
      <c r="AD436" s="281"/>
      <c r="AE436" s="281"/>
      <c r="AF436" s="176"/>
      <c r="AG436" s="176"/>
      <c r="AH436" s="177"/>
      <c r="AJ436" s="187"/>
      <c r="AK436" s="185"/>
      <c r="AL436" s="176"/>
      <c r="AM436" s="176"/>
      <c r="AN436" s="177"/>
      <c r="AP436" s="1551"/>
      <c r="AQ436" s="1554"/>
      <c r="AR436" s="1551"/>
      <c r="AS436" s="1554"/>
      <c r="AT436" s="1544"/>
      <c r="AU436" s="172" t="s">
        <v>699</v>
      </c>
      <c r="AV436" s="249">
        <v>2600</v>
      </c>
      <c r="AW436" s="250">
        <v>2900</v>
      </c>
      <c r="AX436" s="267">
        <v>1800</v>
      </c>
      <c r="AY436" s="252">
        <v>1800</v>
      </c>
      <c r="BA436" s="235"/>
      <c r="BC436" s="1557"/>
      <c r="BE436" s="187"/>
      <c r="BF436" s="176"/>
      <c r="BG436" s="176"/>
      <c r="BH436" s="177"/>
      <c r="BJ436" s="253"/>
      <c r="BL436" s="193"/>
      <c r="BM436" s="194"/>
      <c r="BN436" s="194"/>
      <c r="BO436" s="195"/>
      <c r="BQ436" s="187">
        <v>700</v>
      </c>
      <c r="BR436" s="185" t="s">
        <v>199</v>
      </c>
      <c r="BS436" s="185">
        <v>7</v>
      </c>
      <c r="BT436" s="254" t="s">
        <v>184</v>
      </c>
      <c r="BV436" s="187">
        <v>2350</v>
      </c>
      <c r="BW436" s="185" t="s">
        <v>189</v>
      </c>
      <c r="BX436" s="185">
        <v>20</v>
      </c>
      <c r="BY436" s="185" t="s">
        <v>184</v>
      </c>
      <c r="BZ436" s="254" t="s">
        <v>190</v>
      </c>
      <c r="CB436" s="187">
        <v>1450</v>
      </c>
      <c r="CC436" s="185" t="s">
        <v>189</v>
      </c>
      <c r="CD436" s="185">
        <v>10</v>
      </c>
      <c r="CE436" s="185" t="s">
        <v>184</v>
      </c>
      <c r="CF436" s="254" t="s">
        <v>190</v>
      </c>
      <c r="CH436" s="253"/>
    </row>
    <row r="437" spans="1:86">
      <c r="A437" s="1563"/>
      <c r="B437" s="168"/>
      <c r="C437" s="241" t="s">
        <v>319</v>
      </c>
      <c r="D437" s="177" t="s">
        <v>320</v>
      </c>
      <c r="F437" s="242">
        <v>94070</v>
      </c>
      <c r="G437" s="243">
        <v>164680</v>
      </c>
      <c r="H437" s="242">
        <v>91410</v>
      </c>
      <c r="I437" s="243">
        <v>162020</v>
      </c>
      <c r="J437" s="179" t="s">
        <v>182</v>
      </c>
      <c r="K437" s="244">
        <v>820</v>
      </c>
      <c r="L437" s="245">
        <v>1530</v>
      </c>
      <c r="M437" s="246" t="s">
        <v>795</v>
      </c>
      <c r="N437" s="244">
        <v>800</v>
      </c>
      <c r="O437" s="245">
        <v>1510</v>
      </c>
      <c r="P437" s="246" t="s">
        <v>795</v>
      </c>
      <c r="R437" s="182"/>
      <c r="S437" s="176"/>
      <c r="T437" s="177"/>
      <c r="V437" s="182"/>
      <c r="W437" s="185"/>
      <c r="X437" s="176"/>
      <c r="Y437" s="185"/>
      <c r="Z437" s="176"/>
      <c r="AA437" s="176"/>
      <c r="AB437" s="177"/>
      <c r="AD437" s="281"/>
      <c r="AE437" s="281"/>
      <c r="AF437" s="176"/>
      <c r="AG437" s="176"/>
      <c r="AH437" s="177"/>
      <c r="AJ437" s="187"/>
      <c r="AK437" s="185" t="s">
        <v>321</v>
      </c>
      <c r="AL437" s="176"/>
      <c r="AM437" s="176"/>
      <c r="AN437" s="177"/>
      <c r="AP437" s="1551"/>
      <c r="AQ437" s="1554"/>
      <c r="AR437" s="1551"/>
      <c r="AS437" s="1554"/>
      <c r="AT437" s="1544"/>
      <c r="AU437" s="172" t="s">
        <v>700</v>
      </c>
      <c r="AV437" s="249">
        <v>2300</v>
      </c>
      <c r="AW437" s="250">
        <v>2500</v>
      </c>
      <c r="AX437" s="267">
        <v>1600</v>
      </c>
      <c r="AY437" s="252">
        <v>1600</v>
      </c>
      <c r="BA437" s="235"/>
      <c r="BC437" s="359"/>
      <c r="BE437" s="187"/>
      <c r="BF437" s="176"/>
      <c r="BG437" s="176"/>
      <c r="BH437" s="177"/>
      <c r="BJ437" s="253"/>
      <c r="BL437" s="193">
        <v>0.02</v>
      </c>
      <c r="BM437" s="194">
        <v>0.03</v>
      </c>
      <c r="BN437" s="194">
        <v>0.05</v>
      </c>
      <c r="BO437" s="195">
        <v>7.0000000000000007E-2</v>
      </c>
      <c r="BQ437" s="187"/>
      <c r="BR437" s="185"/>
      <c r="BS437" s="185"/>
      <c r="BT437" s="254"/>
      <c r="BV437" s="187"/>
      <c r="BW437" s="185"/>
      <c r="BX437" s="185"/>
      <c r="BY437" s="185"/>
      <c r="BZ437" s="254"/>
      <c r="CB437" s="187"/>
      <c r="CC437" s="185"/>
      <c r="CD437" s="185"/>
      <c r="CE437" s="185"/>
      <c r="CF437" s="254"/>
      <c r="CH437" s="253">
        <v>0.99</v>
      </c>
    </row>
    <row r="438" spans="1:86">
      <c r="A438" s="1563"/>
      <c r="B438" s="269"/>
      <c r="C438" s="270"/>
      <c r="D438" s="184" t="s">
        <v>322</v>
      </c>
      <c r="F438" s="256">
        <v>164680</v>
      </c>
      <c r="G438" s="257"/>
      <c r="H438" s="256">
        <v>162020</v>
      </c>
      <c r="I438" s="257"/>
      <c r="J438" s="179" t="s">
        <v>182</v>
      </c>
      <c r="K438" s="258">
        <v>1530</v>
      </c>
      <c r="L438" s="259"/>
      <c r="M438" s="260" t="s">
        <v>795</v>
      </c>
      <c r="N438" s="258">
        <v>1510</v>
      </c>
      <c r="O438" s="259"/>
      <c r="P438" s="260" t="s">
        <v>795</v>
      </c>
      <c r="R438" s="183"/>
      <c r="S438" s="271"/>
      <c r="T438" s="184"/>
      <c r="V438" s="183"/>
      <c r="W438" s="196"/>
      <c r="X438" s="271"/>
      <c r="Y438" s="196"/>
      <c r="Z438" s="271"/>
      <c r="AA438" s="271"/>
      <c r="AB438" s="184"/>
      <c r="AD438" s="281"/>
      <c r="AE438" s="281"/>
      <c r="AF438" s="176"/>
      <c r="AG438" s="176"/>
      <c r="AH438" s="177"/>
      <c r="AJ438" s="186"/>
      <c r="AK438" s="196"/>
      <c r="AL438" s="271"/>
      <c r="AM438" s="271"/>
      <c r="AN438" s="184"/>
      <c r="AP438" s="1552"/>
      <c r="AQ438" s="1555"/>
      <c r="AR438" s="1552"/>
      <c r="AS438" s="1555"/>
      <c r="AT438" s="1544"/>
      <c r="AU438" s="262" t="s">
        <v>701</v>
      </c>
      <c r="AV438" s="263">
        <v>2000</v>
      </c>
      <c r="AW438" s="264">
        <v>2300</v>
      </c>
      <c r="AX438" s="283">
        <v>1400</v>
      </c>
      <c r="AY438" s="266">
        <v>1400</v>
      </c>
      <c r="BA438" s="282"/>
      <c r="BC438" s="359"/>
      <c r="BE438" s="186"/>
      <c r="BF438" s="271"/>
      <c r="BG438" s="271"/>
      <c r="BH438" s="184"/>
      <c r="BJ438" s="198"/>
      <c r="BL438" s="272"/>
      <c r="BM438" s="273"/>
      <c r="BN438" s="273"/>
      <c r="BO438" s="274"/>
      <c r="BQ438" s="186"/>
      <c r="BR438" s="196"/>
      <c r="BS438" s="196"/>
      <c r="BT438" s="197"/>
      <c r="BV438" s="186"/>
      <c r="BW438" s="196"/>
      <c r="BX438" s="196"/>
      <c r="BY438" s="196"/>
      <c r="BZ438" s="197"/>
      <c r="CB438" s="186"/>
      <c r="CC438" s="196"/>
      <c r="CD438" s="196"/>
      <c r="CE438" s="196"/>
      <c r="CF438" s="197"/>
      <c r="CH438" s="198"/>
    </row>
    <row r="439" spans="1:86" ht="63">
      <c r="A439" s="1563" t="s">
        <v>231</v>
      </c>
      <c r="B439" s="168" t="s">
        <v>345</v>
      </c>
      <c r="C439" s="241" t="s">
        <v>313</v>
      </c>
      <c r="D439" s="177" t="s">
        <v>314</v>
      </c>
      <c r="F439" s="218">
        <v>218750</v>
      </c>
      <c r="G439" s="219">
        <v>225630</v>
      </c>
      <c r="H439" s="218">
        <v>171900</v>
      </c>
      <c r="I439" s="219">
        <v>178780</v>
      </c>
      <c r="J439" s="179" t="s">
        <v>182</v>
      </c>
      <c r="K439" s="220">
        <v>2160</v>
      </c>
      <c r="L439" s="221">
        <v>2220</v>
      </c>
      <c r="M439" s="222" t="s">
        <v>795</v>
      </c>
      <c r="N439" s="220">
        <v>1700</v>
      </c>
      <c r="O439" s="221">
        <v>1760</v>
      </c>
      <c r="P439" s="222" t="s">
        <v>795</v>
      </c>
      <c r="Q439" s="160" t="s">
        <v>182</v>
      </c>
      <c r="R439" s="275">
        <v>6880</v>
      </c>
      <c r="S439" s="276">
        <v>60</v>
      </c>
      <c r="T439" s="247" t="s">
        <v>184</v>
      </c>
      <c r="U439" s="160" t="s">
        <v>182</v>
      </c>
      <c r="V439" s="1576" t="s">
        <v>315</v>
      </c>
      <c r="W439" s="1577"/>
      <c r="X439" s="226" t="s">
        <v>182</v>
      </c>
      <c r="Y439" s="1577" t="s">
        <v>315</v>
      </c>
      <c r="Z439" s="1577"/>
      <c r="AA439" s="226"/>
      <c r="AB439" s="217"/>
      <c r="AC439" s="160" t="s">
        <v>182</v>
      </c>
      <c r="AD439" s="1546">
        <v>54290</v>
      </c>
      <c r="AE439" s="227"/>
      <c r="AF439" s="226" t="s">
        <v>182</v>
      </c>
      <c r="AG439" s="226">
        <v>470</v>
      </c>
      <c r="AH439" s="217" t="s">
        <v>184</v>
      </c>
      <c r="AI439" s="160" t="s">
        <v>182</v>
      </c>
      <c r="AJ439" s="187" t="s">
        <v>186</v>
      </c>
      <c r="AK439" s="185"/>
      <c r="AL439" s="176" t="s">
        <v>182</v>
      </c>
      <c r="AM439" s="176">
        <v>280</v>
      </c>
      <c r="AN439" s="177" t="s">
        <v>316</v>
      </c>
      <c r="AO439" s="160" t="s">
        <v>182</v>
      </c>
      <c r="AP439" s="1550">
        <v>15800</v>
      </c>
      <c r="AQ439" s="1553">
        <v>17400</v>
      </c>
      <c r="AR439" s="1550">
        <v>11000</v>
      </c>
      <c r="AS439" s="1553">
        <v>11000</v>
      </c>
      <c r="AT439" s="1544" t="s">
        <v>664</v>
      </c>
      <c r="AU439" s="230" t="s">
        <v>697</v>
      </c>
      <c r="AV439" s="231">
        <v>31600</v>
      </c>
      <c r="AW439" s="232">
        <v>35200</v>
      </c>
      <c r="AX439" s="233">
        <v>22100</v>
      </c>
      <c r="AY439" s="234">
        <v>22100</v>
      </c>
      <c r="AZ439" s="160" t="s">
        <v>182</v>
      </c>
      <c r="BA439" s="235"/>
      <c r="BB439" s="160" t="s">
        <v>182</v>
      </c>
      <c r="BC439" s="1556">
        <v>4700</v>
      </c>
      <c r="BD439" s="160" t="s">
        <v>182</v>
      </c>
      <c r="BE439" s="187">
        <v>21130</v>
      </c>
      <c r="BF439" s="176" t="s">
        <v>182</v>
      </c>
      <c r="BG439" s="176">
        <v>210</v>
      </c>
      <c r="BH439" s="177" t="s">
        <v>184</v>
      </c>
      <c r="BI439" s="160" t="s">
        <v>188</v>
      </c>
      <c r="BJ439" s="253"/>
      <c r="BK439" s="160" t="s">
        <v>188</v>
      </c>
      <c r="BL439" s="193" t="s">
        <v>317</v>
      </c>
      <c r="BM439" s="194" t="s">
        <v>317</v>
      </c>
      <c r="BN439" s="194" t="s">
        <v>317</v>
      </c>
      <c r="BO439" s="195" t="s">
        <v>317</v>
      </c>
      <c r="BP439" s="160" t="s">
        <v>188</v>
      </c>
      <c r="BQ439" s="187"/>
      <c r="BR439" s="185"/>
      <c r="BS439" s="185"/>
      <c r="BT439" s="254"/>
      <c r="BU439" s="160" t="s">
        <v>188</v>
      </c>
      <c r="BV439" s="187"/>
      <c r="BW439" s="185"/>
      <c r="BX439" s="185"/>
      <c r="BY439" s="185"/>
      <c r="BZ439" s="254"/>
      <c r="CA439" s="160" t="s">
        <v>188</v>
      </c>
      <c r="CB439" s="187"/>
      <c r="CC439" s="185"/>
      <c r="CD439" s="185"/>
      <c r="CE439" s="185"/>
      <c r="CF439" s="254"/>
      <c r="CH439" s="253" t="s">
        <v>324</v>
      </c>
    </row>
    <row r="440" spans="1:86">
      <c r="A440" s="1563"/>
      <c r="B440" s="168"/>
      <c r="C440" s="241"/>
      <c r="D440" s="177" t="s">
        <v>318</v>
      </c>
      <c r="F440" s="242">
        <v>225630</v>
      </c>
      <c r="G440" s="243">
        <v>282080</v>
      </c>
      <c r="H440" s="242">
        <v>178780</v>
      </c>
      <c r="I440" s="243">
        <v>235230</v>
      </c>
      <c r="J440" s="179" t="s">
        <v>182</v>
      </c>
      <c r="K440" s="244">
        <v>2220</v>
      </c>
      <c r="L440" s="245">
        <v>2710</v>
      </c>
      <c r="M440" s="246" t="s">
        <v>795</v>
      </c>
      <c r="N440" s="244">
        <v>1760</v>
      </c>
      <c r="O440" s="245">
        <v>2240</v>
      </c>
      <c r="P440" s="246" t="s">
        <v>795</v>
      </c>
      <c r="Q440" s="160" t="s">
        <v>182</v>
      </c>
      <c r="R440" s="187">
        <v>6880</v>
      </c>
      <c r="S440" s="185">
        <v>60</v>
      </c>
      <c r="T440" s="247" t="s">
        <v>184</v>
      </c>
      <c r="V440" s="1578"/>
      <c r="W440" s="1579"/>
      <c r="X440" s="176"/>
      <c r="Y440" s="1579"/>
      <c r="Z440" s="1579"/>
      <c r="AA440" s="176"/>
      <c r="AB440" s="177"/>
      <c r="AD440" s="1547"/>
      <c r="AE440" s="248">
        <v>52560</v>
      </c>
      <c r="AF440" s="176"/>
      <c r="AG440" s="176"/>
      <c r="AH440" s="177"/>
      <c r="AJ440" s="187"/>
      <c r="AK440" s="185"/>
      <c r="AL440" s="176"/>
      <c r="AM440" s="176"/>
      <c r="AN440" s="177"/>
      <c r="AP440" s="1551"/>
      <c r="AQ440" s="1554"/>
      <c r="AR440" s="1551"/>
      <c r="AS440" s="1554"/>
      <c r="AT440" s="1544"/>
      <c r="AU440" s="172" t="s">
        <v>699</v>
      </c>
      <c r="AV440" s="249">
        <v>17400</v>
      </c>
      <c r="AW440" s="250">
        <v>19400</v>
      </c>
      <c r="AX440" s="251">
        <v>12200</v>
      </c>
      <c r="AY440" s="252">
        <v>12200</v>
      </c>
      <c r="BA440" s="235"/>
      <c r="BC440" s="1557"/>
      <c r="BE440" s="187"/>
      <c r="BF440" s="176"/>
      <c r="BG440" s="176"/>
      <c r="BH440" s="177"/>
      <c r="BJ440" s="253"/>
      <c r="BL440" s="193"/>
      <c r="BM440" s="194"/>
      <c r="BN440" s="194"/>
      <c r="BO440" s="195"/>
      <c r="BQ440" s="187">
        <v>12720</v>
      </c>
      <c r="BR440" s="185" t="s">
        <v>199</v>
      </c>
      <c r="BS440" s="185">
        <v>120</v>
      </c>
      <c r="BT440" s="254" t="s">
        <v>184</v>
      </c>
      <c r="BV440" s="187">
        <v>41300</v>
      </c>
      <c r="BW440" s="185" t="s">
        <v>189</v>
      </c>
      <c r="BX440" s="185">
        <v>410</v>
      </c>
      <c r="BY440" s="185" t="s">
        <v>184</v>
      </c>
      <c r="BZ440" s="254" t="s">
        <v>190</v>
      </c>
      <c r="CB440" s="187">
        <v>25160</v>
      </c>
      <c r="CC440" s="185" t="s">
        <v>189</v>
      </c>
      <c r="CD440" s="185">
        <v>250</v>
      </c>
      <c r="CE440" s="185" t="s">
        <v>184</v>
      </c>
      <c r="CF440" s="254" t="s">
        <v>190</v>
      </c>
      <c r="CH440" s="253"/>
    </row>
    <row r="441" spans="1:86">
      <c r="A441" s="1563"/>
      <c r="B441" s="168"/>
      <c r="C441" s="241" t="s">
        <v>319</v>
      </c>
      <c r="D441" s="177" t="s">
        <v>320</v>
      </c>
      <c r="F441" s="242">
        <v>282080</v>
      </c>
      <c r="G441" s="243">
        <v>350910</v>
      </c>
      <c r="H441" s="242">
        <v>235230</v>
      </c>
      <c r="I441" s="243">
        <v>304060</v>
      </c>
      <c r="J441" s="179" t="s">
        <v>182</v>
      </c>
      <c r="K441" s="244">
        <v>2710</v>
      </c>
      <c r="L441" s="245">
        <v>3390</v>
      </c>
      <c r="M441" s="246" t="s">
        <v>795</v>
      </c>
      <c r="N441" s="244">
        <v>2240</v>
      </c>
      <c r="O441" s="245">
        <v>2920</v>
      </c>
      <c r="P441" s="246" t="s">
        <v>795</v>
      </c>
      <c r="R441" s="182"/>
      <c r="S441" s="176"/>
      <c r="T441" s="177"/>
      <c r="V441" s="1578"/>
      <c r="W441" s="1579"/>
      <c r="X441" s="176"/>
      <c r="Y441" s="1579"/>
      <c r="Z441" s="1579"/>
      <c r="AA441" s="176"/>
      <c r="AB441" s="177"/>
      <c r="AC441" s="160" t="s">
        <v>182</v>
      </c>
      <c r="AD441" s="1548">
        <v>52560</v>
      </c>
      <c r="AE441" s="255"/>
      <c r="AF441" s="176"/>
      <c r="AG441" s="176"/>
      <c r="AH441" s="177"/>
      <c r="AJ441" s="187">
        <v>28290</v>
      </c>
      <c r="AK441" s="185" t="s">
        <v>321</v>
      </c>
      <c r="AL441" s="176"/>
      <c r="AM441" s="176"/>
      <c r="AN441" s="177"/>
      <c r="AP441" s="1551"/>
      <c r="AQ441" s="1554"/>
      <c r="AR441" s="1551"/>
      <c r="AS441" s="1554"/>
      <c r="AT441" s="1544"/>
      <c r="AU441" s="172" t="s">
        <v>700</v>
      </c>
      <c r="AV441" s="249">
        <v>15200</v>
      </c>
      <c r="AW441" s="250">
        <v>16900</v>
      </c>
      <c r="AX441" s="251">
        <v>10600</v>
      </c>
      <c r="AY441" s="252">
        <v>10600</v>
      </c>
      <c r="BA441" s="235"/>
      <c r="BC441" s="358"/>
      <c r="BE441" s="187"/>
      <c r="BF441" s="176"/>
      <c r="BG441" s="176"/>
      <c r="BH441" s="177"/>
      <c r="BJ441" s="253"/>
      <c r="BL441" s="193">
        <v>0.01</v>
      </c>
      <c r="BM441" s="194">
        <v>0.02</v>
      </c>
      <c r="BN441" s="194">
        <v>0.04</v>
      </c>
      <c r="BO441" s="195">
        <v>0.05</v>
      </c>
      <c r="BQ441" s="187"/>
      <c r="BR441" s="185"/>
      <c r="BS441" s="185"/>
      <c r="BT441" s="254"/>
      <c r="BV441" s="187"/>
      <c r="BW441" s="185"/>
      <c r="BX441" s="185"/>
      <c r="BY441" s="185"/>
      <c r="BZ441" s="254"/>
      <c r="CB441" s="187"/>
      <c r="CC441" s="185"/>
      <c r="CD441" s="185"/>
      <c r="CE441" s="185"/>
      <c r="CF441" s="254"/>
      <c r="CH441" s="253">
        <v>0.61</v>
      </c>
    </row>
    <row r="442" spans="1:86">
      <c r="A442" s="1563"/>
      <c r="B442" s="168"/>
      <c r="C442" s="241"/>
      <c r="D442" s="177" t="s">
        <v>322</v>
      </c>
      <c r="F442" s="256">
        <v>350910</v>
      </c>
      <c r="G442" s="257"/>
      <c r="H442" s="256">
        <v>304060</v>
      </c>
      <c r="I442" s="257"/>
      <c r="J442" s="179" t="s">
        <v>182</v>
      </c>
      <c r="K442" s="258">
        <v>3390</v>
      </c>
      <c r="L442" s="259"/>
      <c r="M442" s="260" t="s">
        <v>795</v>
      </c>
      <c r="N442" s="258">
        <v>2920</v>
      </c>
      <c r="O442" s="259"/>
      <c r="P442" s="260" t="s">
        <v>795</v>
      </c>
      <c r="R442" s="182"/>
      <c r="S442" s="176"/>
      <c r="T442" s="177"/>
      <c r="V442" s="1578"/>
      <c r="W442" s="1579"/>
      <c r="X442" s="176"/>
      <c r="Y442" s="1579"/>
      <c r="Z442" s="1579"/>
      <c r="AA442" s="176"/>
      <c r="AB442" s="177"/>
      <c r="AD442" s="1549"/>
      <c r="AE442" s="261"/>
      <c r="AF442" s="271"/>
      <c r="AG442" s="271"/>
      <c r="AH442" s="184"/>
      <c r="AJ442" s="187"/>
      <c r="AK442" s="185"/>
      <c r="AL442" s="176"/>
      <c r="AM442" s="176"/>
      <c r="AN442" s="177"/>
      <c r="AP442" s="1552"/>
      <c r="AQ442" s="1555"/>
      <c r="AR442" s="1552"/>
      <c r="AS442" s="1555"/>
      <c r="AT442" s="1544"/>
      <c r="AU442" s="262" t="s">
        <v>701</v>
      </c>
      <c r="AV442" s="263">
        <v>13600</v>
      </c>
      <c r="AW442" s="264">
        <v>15100</v>
      </c>
      <c r="AX442" s="265">
        <v>9500</v>
      </c>
      <c r="AY442" s="266">
        <v>9500</v>
      </c>
      <c r="BA442" s="235"/>
      <c r="BC442" s="359"/>
      <c r="BE442" s="187"/>
      <c r="BF442" s="176"/>
      <c r="BG442" s="176"/>
      <c r="BH442" s="177"/>
      <c r="BJ442" s="253"/>
      <c r="BL442" s="193"/>
      <c r="BM442" s="194"/>
      <c r="BN442" s="194"/>
      <c r="BO442" s="195"/>
      <c r="BQ442" s="187"/>
      <c r="BR442" s="185"/>
      <c r="BS442" s="185"/>
      <c r="BT442" s="254"/>
      <c r="BV442" s="187"/>
      <c r="BW442" s="185"/>
      <c r="BX442" s="185"/>
      <c r="BY442" s="185"/>
      <c r="BZ442" s="254"/>
      <c r="CB442" s="187"/>
      <c r="CC442" s="185"/>
      <c r="CD442" s="185"/>
      <c r="CE442" s="185"/>
      <c r="CF442" s="254"/>
      <c r="CH442" s="253"/>
    </row>
    <row r="443" spans="1:86" ht="63">
      <c r="A443" s="1563"/>
      <c r="B443" s="215" t="s">
        <v>323</v>
      </c>
      <c r="C443" s="216" t="s">
        <v>313</v>
      </c>
      <c r="D443" s="217" t="s">
        <v>314</v>
      </c>
      <c r="F443" s="218">
        <v>118690</v>
      </c>
      <c r="G443" s="219">
        <v>125570</v>
      </c>
      <c r="H443" s="218">
        <v>95270</v>
      </c>
      <c r="I443" s="219">
        <v>102150</v>
      </c>
      <c r="J443" s="179" t="s">
        <v>182</v>
      </c>
      <c r="K443" s="220">
        <v>1160</v>
      </c>
      <c r="L443" s="221">
        <v>1220</v>
      </c>
      <c r="M443" s="222" t="s">
        <v>795</v>
      </c>
      <c r="N443" s="220">
        <v>930</v>
      </c>
      <c r="O443" s="221">
        <v>990</v>
      </c>
      <c r="P443" s="222" t="s">
        <v>795</v>
      </c>
      <c r="Q443" s="160" t="s">
        <v>182</v>
      </c>
      <c r="R443" s="223">
        <v>6880</v>
      </c>
      <c r="S443" s="224">
        <v>60</v>
      </c>
      <c r="T443" s="225" t="s">
        <v>184</v>
      </c>
      <c r="V443" s="1578"/>
      <c r="W443" s="1579"/>
      <c r="X443" s="176"/>
      <c r="Y443" s="1579"/>
      <c r="Z443" s="1579"/>
      <c r="AA443" s="176"/>
      <c r="AB443" s="177"/>
      <c r="AC443" s="160" t="s">
        <v>182</v>
      </c>
      <c r="AD443" s="1546">
        <v>30600</v>
      </c>
      <c r="AE443" s="227"/>
      <c r="AF443" s="176" t="s">
        <v>182</v>
      </c>
      <c r="AG443" s="176">
        <v>230</v>
      </c>
      <c r="AH443" s="177" t="s">
        <v>184</v>
      </c>
      <c r="AJ443" s="187" t="s">
        <v>194</v>
      </c>
      <c r="AK443" s="185"/>
      <c r="AL443" s="176" t="s">
        <v>182</v>
      </c>
      <c r="AM443" s="176">
        <v>160</v>
      </c>
      <c r="AN443" s="177" t="s">
        <v>316</v>
      </c>
      <c r="AO443" s="160" t="s">
        <v>182</v>
      </c>
      <c r="AP443" s="1550">
        <v>7900</v>
      </c>
      <c r="AQ443" s="1553">
        <v>8700</v>
      </c>
      <c r="AR443" s="1550">
        <v>5500</v>
      </c>
      <c r="AS443" s="1553">
        <v>5500</v>
      </c>
      <c r="AT443" s="1544" t="s">
        <v>664</v>
      </c>
      <c r="AU443" s="230" t="s">
        <v>697</v>
      </c>
      <c r="AV443" s="231">
        <v>15800</v>
      </c>
      <c r="AW443" s="232">
        <v>17600</v>
      </c>
      <c r="AX443" s="267">
        <v>11000</v>
      </c>
      <c r="AY443" s="252">
        <v>11000</v>
      </c>
      <c r="BA443" s="235"/>
      <c r="BB443" s="160" t="s">
        <v>182</v>
      </c>
      <c r="BC443" s="1556">
        <v>4700</v>
      </c>
      <c r="BD443" s="160" t="s">
        <v>182</v>
      </c>
      <c r="BE443" s="228">
        <v>10560</v>
      </c>
      <c r="BF443" s="226" t="s">
        <v>182</v>
      </c>
      <c r="BG443" s="226">
        <v>100</v>
      </c>
      <c r="BH443" s="217" t="s">
        <v>184</v>
      </c>
      <c r="BJ443" s="253"/>
      <c r="BK443" s="160" t="s">
        <v>188</v>
      </c>
      <c r="BL443" s="237" t="s">
        <v>317</v>
      </c>
      <c r="BM443" s="238" t="s">
        <v>317</v>
      </c>
      <c r="BN443" s="238" t="s">
        <v>317</v>
      </c>
      <c r="BO443" s="239" t="s">
        <v>317</v>
      </c>
      <c r="BP443" s="160" t="s">
        <v>188</v>
      </c>
      <c r="BQ443" s="228"/>
      <c r="BR443" s="229"/>
      <c r="BS443" s="229"/>
      <c r="BT443" s="240"/>
      <c r="BU443" s="160" t="s">
        <v>188</v>
      </c>
      <c r="BV443" s="228"/>
      <c r="BW443" s="229"/>
      <c r="BX443" s="229"/>
      <c r="BY443" s="229"/>
      <c r="BZ443" s="240"/>
      <c r="CA443" s="160" t="s">
        <v>188</v>
      </c>
      <c r="CB443" s="228"/>
      <c r="CC443" s="229"/>
      <c r="CD443" s="229"/>
      <c r="CE443" s="229"/>
      <c r="CF443" s="240"/>
      <c r="CH443" s="236" t="s">
        <v>324</v>
      </c>
    </row>
    <row r="444" spans="1:86">
      <c r="A444" s="1563"/>
      <c r="B444" s="168"/>
      <c r="C444" s="241"/>
      <c r="D444" s="177" t="s">
        <v>318</v>
      </c>
      <c r="F444" s="242">
        <v>125570</v>
      </c>
      <c r="G444" s="243">
        <v>182020</v>
      </c>
      <c r="H444" s="242">
        <v>102150</v>
      </c>
      <c r="I444" s="243">
        <v>158600</v>
      </c>
      <c r="J444" s="179" t="s">
        <v>182</v>
      </c>
      <c r="K444" s="244">
        <v>1220</v>
      </c>
      <c r="L444" s="245">
        <v>1710</v>
      </c>
      <c r="M444" s="246" t="s">
        <v>795</v>
      </c>
      <c r="N444" s="244">
        <v>990</v>
      </c>
      <c r="O444" s="245">
        <v>1470</v>
      </c>
      <c r="P444" s="246" t="s">
        <v>795</v>
      </c>
      <c r="Q444" s="160" t="s">
        <v>182</v>
      </c>
      <c r="R444" s="187">
        <v>6880</v>
      </c>
      <c r="S444" s="185">
        <v>60</v>
      </c>
      <c r="T444" s="247" t="s">
        <v>184</v>
      </c>
      <c r="V444" s="1578"/>
      <c r="W444" s="1579"/>
      <c r="X444" s="176"/>
      <c r="Y444" s="1579"/>
      <c r="Z444" s="1579"/>
      <c r="AA444" s="176"/>
      <c r="AB444" s="177"/>
      <c r="AD444" s="1547"/>
      <c r="AE444" s="248">
        <v>28870</v>
      </c>
      <c r="AF444" s="176"/>
      <c r="AG444" s="176"/>
      <c r="AH444" s="177"/>
      <c r="AJ444" s="187"/>
      <c r="AK444" s="185"/>
      <c r="AL444" s="176"/>
      <c r="AM444" s="176"/>
      <c r="AN444" s="177"/>
      <c r="AP444" s="1551"/>
      <c r="AQ444" s="1554"/>
      <c r="AR444" s="1551"/>
      <c r="AS444" s="1554"/>
      <c r="AT444" s="1544"/>
      <c r="AU444" s="172" t="s">
        <v>699</v>
      </c>
      <c r="AV444" s="249">
        <v>8700</v>
      </c>
      <c r="AW444" s="250">
        <v>9700</v>
      </c>
      <c r="AX444" s="267">
        <v>6100</v>
      </c>
      <c r="AY444" s="252">
        <v>6100</v>
      </c>
      <c r="BA444" s="235"/>
      <c r="BC444" s="1557"/>
      <c r="BE444" s="187"/>
      <c r="BF444" s="176"/>
      <c r="BG444" s="176"/>
      <c r="BH444" s="177"/>
      <c r="BJ444" s="253"/>
      <c r="BL444" s="193"/>
      <c r="BM444" s="194"/>
      <c r="BN444" s="194"/>
      <c r="BO444" s="195"/>
      <c r="BQ444" s="187">
        <v>6360</v>
      </c>
      <c r="BR444" s="185" t="s">
        <v>199</v>
      </c>
      <c r="BS444" s="185">
        <v>60</v>
      </c>
      <c r="BT444" s="254" t="s">
        <v>184</v>
      </c>
      <c r="BV444" s="187">
        <v>20650</v>
      </c>
      <c r="BW444" s="185" t="s">
        <v>189</v>
      </c>
      <c r="BX444" s="185">
        <v>200</v>
      </c>
      <c r="BY444" s="185" t="s">
        <v>184</v>
      </c>
      <c r="BZ444" s="254" t="s">
        <v>190</v>
      </c>
      <c r="CB444" s="187">
        <v>12580</v>
      </c>
      <c r="CC444" s="185" t="s">
        <v>189</v>
      </c>
      <c r="CD444" s="185">
        <v>120</v>
      </c>
      <c r="CE444" s="185" t="s">
        <v>184</v>
      </c>
      <c r="CF444" s="254" t="s">
        <v>190</v>
      </c>
      <c r="CH444" s="253"/>
    </row>
    <row r="445" spans="1:86">
      <c r="A445" s="1563"/>
      <c r="B445" s="168"/>
      <c r="C445" s="241" t="s">
        <v>319</v>
      </c>
      <c r="D445" s="177" t="s">
        <v>320</v>
      </c>
      <c r="F445" s="242">
        <v>182020</v>
      </c>
      <c r="G445" s="243">
        <v>250850</v>
      </c>
      <c r="H445" s="242">
        <v>158600</v>
      </c>
      <c r="I445" s="243">
        <v>227430</v>
      </c>
      <c r="J445" s="179" t="s">
        <v>182</v>
      </c>
      <c r="K445" s="244">
        <v>1710</v>
      </c>
      <c r="L445" s="245">
        <v>2390</v>
      </c>
      <c r="M445" s="246" t="s">
        <v>795</v>
      </c>
      <c r="N445" s="244">
        <v>1470</v>
      </c>
      <c r="O445" s="245">
        <v>2150</v>
      </c>
      <c r="P445" s="246" t="s">
        <v>795</v>
      </c>
      <c r="R445" s="182"/>
      <c r="S445" s="176"/>
      <c r="T445" s="177"/>
      <c r="V445" s="1578"/>
      <c r="W445" s="1579"/>
      <c r="X445" s="176"/>
      <c r="Y445" s="1579"/>
      <c r="Z445" s="1579"/>
      <c r="AA445" s="176"/>
      <c r="AB445" s="177"/>
      <c r="AC445" s="160" t="s">
        <v>182</v>
      </c>
      <c r="AD445" s="1548">
        <v>28870</v>
      </c>
      <c r="AE445" s="255"/>
      <c r="AF445" s="176"/>
      <c r="AG445" s="176"/>
      <c r="AH445" s="177"/>
      <c r="AJ445" s="187">
        <v>16970</v>
      </c>
      <c r="AK445" s="185" t="s">
        <v>321</v>
      </c>
      <c r="AL445" s="176"/>
      <c r="AM445" s="176"/>
      <c r="AN445" s="177"/>
      <c r="AP445" s="1551"/>
      <c r="AQ445" s="1554"/>
      <c r="AR445" s="1551"/>
      <c r="AS445" s="1554"/>
      <c r="AT445" s="1544"/>
      <c r="AU445" s="172" t="s">
        <v>700</v>
      </c>
      <c r="AV445" s="249">
        <v>7600</v>
      </c>
      <c r="AW445" s="250">
        <v>8400</v>
      </c>
      <c r="AX445" s="267">
        <v>5300</v>
      </c>
      <c r="AY445" s="252">
        <v>5300</v>
      </c>
      <c r="BA445" s="268"/>
      <c r="BC445" s="359"/>
      <c r="BE445" s="187"/>
      <c r="BF445" s="176"/>
      <c r="BG445" s="176"/>
      <c r="BH445" s="177"/>
      <c r="BJ445" s="253"/>
      <c r="BL445" s="193">
        <v>0.01</v>
      </c>
      <c r="BM445" s="194">
        <v>0.03</v>
      </c>
      <c r="BN445" s="194">
        <v>0.04</v>
      </c>
      <c r="BO445" s="195">
        <v>0.05</v>
      </c>
      <c r="BQ445" s="187"/>
      <c r="BR445" s="185"/>
      <c r="BS445" s="185"/>
      <c r="BT445" s="254"/>
      <c r="BV445" s="187"/>
      <c r="BW445" s="185"/>
      <c r="BX445" s="185"/>
      <c r="BY445" s="185"/>
      <c r="BZ445" s="254"/>
      <c r="CB445" s="187"/>
      <c r="CC445" s="185"/>
      <c r="CD445" s="185"/>
      <c r="CE445" s="185"/>
      <c r="CF445" s="254"/>
      <c r="CH445" s="253">
        <v>0.79</v>
      </c>
    </row>
    <row r="446" spans="1:86">
      <c r="A446" s="1563"/>
      <c r="B446" s="269"/>
      <c r="C446" s="270"/>
      <c r="D446" s="184" t="s">
        <v>322</v>
      </c>
      <c r="F446" s="256">
        <v>250850</v>
      </c>
      <c r="G446" s="257"/>
      <c r="H446" s="256">
        <v>227430</v>
      </c>
      <c r="I446" s="257"/>
      <c r="J446" s="179" t="s">
        <v>182</v>
      </c>
      <c r="K446" s="258">
        <v>2390</v>
      </c>
      <c r="L446" s="259"/>
      <c r="M446" s="260" t="s">
        <v>795</v>
      </c>
      <c r="N446" s="258">
        <v>2150</v>
      </c>
      <c r="O446" s="259"/>
      <c r="P446" s="260" t="s">
        <v>795</v>
      </c>
      <c r="R446" s="183"/>
      <c r="S446" s="271"/>
      <c r="T446" s="184"/>
      <c r="V446" s="1578"/>
      <c r="W446" s="1579"/>
      <c r="X446" s="176"/>
      <c r="Y446" s="1579"/>
      <c r="Z446" s="1579"/>
      <c r="AA446" s="176"/>
      <c r="AB446" s="177"/>
      <c r="AD446" s="1549"/>
      <c r="AE446" s="261"/>
      <c r="AF446" s="176"/>
      <c r="AG446" s="176"/>
      <c r="AH446" s="177"/>
      <c r="AJ446" s="187"/>
      <c r="AK446" s="185"/>
      <c r="AL446" s="176"/>
      <c r="AM446" s="176"/>
      <c r="AN446" s="177"/>
      <c r="AP446" s="1552"/>
      <c r="AQ446" s="1555"/>
      <c r="AR446" s="1552"/>
      <c r="AS446" s="1555"/>
      <c r="AT446" s="1544"/>
      <c r="AU446" s="262" t="s">
        <v>701</v>
      </c>
      <c r="AV446" s="263">
        <v>6800</v>
      </c>
      <c r="AW446" s="264">
        <v>7500</v>
      </c>
      <c r="AX446" s="265">
        <v>4700</v>
      </c>
      <c r="AY446" s="266">
        <v>4700</v>
      </c>
      <c r="BA446" s="268"/>
      <c r="BC446" s="359"/>
      <c r="BE446" s="186"/>
      <c r="BF446" s="271"/>
      <c r="BG446" s="271"/>
      <c r="BH446" s="184"/>
      <c r="BJ446" s="253"/>
      <c r="BL446" s="272"/>
      <c r="BM446" s="273"/>
      <c r="BN446" s="273"/>
      <c r="BO446" s="274"/>
      <c r="BQ446" s="186"/>
      <c r="BR446" s="196"/>
      <c r="BS446" s="196"/>
      <c r="BT446" s="197"/>
      <c r="BV446" s="186"/>
      <c r="BW446" s="196"/>
      <c r="BX446" s="196"/>
      <c r="BY446" s="196"/>
      <c r="BZ446" s="197"/>
      <c r="CB446" s="186"/>
      <c r="CC446" s="196"/>
      <c r="CD446" s="196"/>
      <c r="CE446" s="196"/>
      <c r="CF446" s="197"/>
      <c r="CH446" s="198"/>
    </row>
    <row r="447" spans="1:86" ht="63">
      <c r="A447" s="1563"/>
      <c r="B447" s="168" t="s">
        <v>325</v>
      </c>
      <c r="C447" s="241" t="s">
        <v>313</v>
      </c>
      <c r="D447" s="177" t="s">
        <v>314</v>
      </c>
      <c r="F447" s="218">
        <v>85240</v>
      </c>
      <c r="G447" s="219">
        <v>92120</v>
      </c>
      <c r="H447" s="218">
        <v>69620</v>
      </c>
      <c r="I447" s="219">
        <v>76500</v>
      </c>
      <c r="J447" s="179" t="s">
        <v>182</v>
      </c>
      <c r="K447" s="220">
        <v>830</v>
      </c>
      <c r="L447" s="221">
        <v>890</v>
      </c>
      <c r="M447" s="222" t="s">
        <v>795</v>
      </c>
      <c r="N447" s="220">
        <v>670</v>
      </c>
      <c r="O447" s="221">
        <v>730</v>
      </c>
      <c r="P447" s="222" t="s">
        <v>795</v>
      </c>
      <c r="Q447" s="160" t="s">
        <v>182</v>
      </c>
      <c r="R447" s="275">
        <v>6880</v>
      </c>
      <c r="S447" s="276">
        <v>60</v>
      </c>
      <c r="T447" s="247" t="s">
        <v>184</v>
      </c>
      <c r="V447" s="1578"/>
      <c r="W447" s="1579"/>
      <c r="X447" s="176"/>
      <c r="Y447" s="1579"/>
      <c r="Z447" s="1579"/>
      <c r="AA447" s="176"/>
      <c r="AB447" s="177"/>
      <c r="AC447" s="160" t="s">
        <v>182</v>
      </c>
      <c r="AD447" s="1546">
        <v>22700</v>
      </c>
      <c r="AE447" s="227"/>
      <c r="AF447" s="226" t="s">
        <v>182</v>
      </c>
      <c r="AG447" s="226">
        <v>150</v>
      </c>
      <c r="AH447" s="217" t="s">
        <v>184</v>
      </c>
      <c r="AJ447" s="187" t="s">
        <v>196</v>
      </c>
      <c r="AK447" s="185"/>
      <c r="AL447" s="176" t="s">
        <v>182</v>
      </c>
      <c r="AM447" s="176">
        <v>120</v>
      </c>
      <c r="AN447" s="177" t="s">
        <v>316</v>
      </c>
      <c r="AO447" s="160" t="s">
        <v>182</v>
      </c>
      <c r="AP447" s="1550">
        <v>5500</v>
      </c>
      <c r="AQ447" s="1553">
        <v>6000</v>
      </c>
      <c r="AR447" s="1550">
        <v>3800</v>
      </c>
      <c r="AS447" s="1553">
        <v>3800</v>
      </c>
      <c r="AT447" s="1544" t="s">
        <v>664</v>
      </c>
      <c r="AU447" s="230" t="s">
        <v>697</v>
      </c>
      <c r="AV447" s="231">
        <v>10900</v>
      </c>
      <c r="AW447" s="232">
        <v>12200</v>
      </c>
      <c r="AX447" s="267">
        <v>7600</v>
      </c>
      <c r="AY447" s="252">
        <v>7600</v>
      </c>
      <c r="BA447" s="268"/>
      <c r="BB447" s="160" t="s">
        <v>182</v>
      </c>
      <c r="BC447" s="1556">
        <v>4700</v>
      </c>
      <c r="BD447" s="160" t="s">
        <v>182</v>
      </c>
      <c r="BE447" s="187">
        <v>7040</v>
      </c>
      <c r="BF447" s="176" t="s">
        <v>182</v>
      </c>
      <c r="BG447" s="176">
        <v>70</v>
      </c>
      <c r="BH447" s="177" t="s">
        <v>184</v>
      </c>
      <c r="BJ447" s="253"/>
      <c r="BK447" s="160" t="s">
        <v>188</v>
      </c>
      <c r="BL447" s="193" t="s">
        <v>317</v>
      </c>
      <c r="BM447" s="194" t="s">
        <v>317</v>
      </c>
      <c r="BN447" s="194" t="s">
        <v>317</v>
      </c>
      <c r="BO447" s="195" t="s">
        <v>317</v>
      </c>
      <c r="BP447" s="160" t="s">
        <v>188</v>
      </c>
      <c r="BQ447" s="187"/>
      <c r="BR447" s="185"/>
      <c r="BS447" s="185"/>
      <c r="BT447" s="254"/>
      <c r="BU447" s="160" t="s">
        <v>188</v>
      </c>
      <c r="BV447" s="187"/>
      <c r="BW447" s="185"/>
      <c r="BX447" s="185"/>
      <c r="BY447" s="185"/>
      <c r="BZ447" s="254"/>
      <c r="CA447" s="160" t="s">
        <v>188</v>
      </c>
      <c r="CB447" s="187"/>
      <c r="CC447" s="185"/>
      <c r="CD447" s="185"/>
      <c r="CE447" s="185"/>
      <c r="CF447" s="254"/>
      <c r="CH447" s="253" t="s">
        <v>324</v>
      </c>
    </row>
    <row r="448" spans="1:86">
      <c r="A448" s="1563"/>
      <c r="B448" s="168"/>
      <c r="C448" s="241"/>
      <c r="D448" s="177" t="s">
        <v>318</v>
      </c>
      <c r="F448" s="242">
        <v>92120</v>
      </c>
      <c r="G448" s="243">
        <v>148570</v>
      </c>
      <c r="H448" s="242">
        <v>76500</v>
      </c>
      <c r="I448" s="243">
        <v>132950</v>
      </c>
      <c r="J448" s="179" t="s">
        <v>182</v>
      </c>
      <c r="K448" s="244">
        <v>890</v>
      </c>
      <c r="L448" s="245">
        <v>1370</v>
      </c>
      <c r="M448" s="246" t="s">
        <v>795</v>
      </c>
      <c r="N448" s="244">
        <v>730</v>
      </c>
      <c r="O448" s="245">
        <v>1220</v>
      </c>
      <c r="P448" s="246" t="s">
        <v>795</v>
      </c>
      <c r="Q448" s="160" t="s">
        <v>182</v>
      </c>
      <c r="R448" s="187">
        <v>6880</v>
      </c>
      <c r="S448" s="185">
        <v>60</v>
      </c>
      <c r="T448" s="247" t="s">
        <v>184</v>
      </c>
      <c r="V448" s="1578"/>
      <c r="W448" s="1579"/>
      <c r="X448" s="176"/>
      <c r="Y448" s="1579"/>
      <c r="Z448" s="1579"/>
      <c r="AA448" s="176"/>
      <c r="AB448" s="177"/>
      <c r="AD448" s="1547"/>
      <c r="AE448" s="248">
        <v>20970</v>
      </c>
      <c r="AF448" s="176"/>
      <c r="AG448" s="176"/>
      <c r="AH448" s="177"/>
      <c r="AJ448" s="187"/>
      <c r="AK448" s="185"/>
      <c r="AL448" s="176"/>
      <c r="AM448" s="176"/>
      <c r="AN448" s="177"/>
      <c r="AP448" s="1551"/>
      <c r="AQ448" s="1554"/>
      <c r="AR448" s="1551"/>
      <c r="AS448" s="1554"/>
      <c r="AT448" s="1544"/>
      <c r="AU448" s="172" t="s">
        <v>699</v>
      </c>
      <c r="AV448" s="249">
        <v>6000</v>
      </c>
      <c r="AW448" s="250">
        <v>6700</v>
      </c>
      <c r="AX448" s="267">
        <v>4200</v>
      </c>
      <c r="AY448" s="252">
        <v>4200</v>
      </c>
      <c r="BA448" s="1545" t="s">
        <v>702</v>
      </c>
      <c r="BC448" s="1557"/>
      <c r="BE448" s="187"/>
      <c r="BF448" s="176"/>
      <c r="BG448" s="176"/>
      <c r="BH448" s="177"/>
      <c r="BJ448" s="253"/>
      <c r="BL448" s="193"/>
      <c r="BM448" s="194"/>
      <c r="BN448" s="194"/>
      <c r="BO448" s="195"/>
      <c r="BQ448" s="187">
        <v>4240</v>
      </c>
      <c r="BR448" s="185" t="s">
        <v>199</v>
      </c>
      <c r="BS448" s="185">
        <v>40</v>
      </c>
      <c r="BT448" s="254" t="s">
        <v>184</v>
      </c>
      <c r="BV448" s="187">
        <v>13760</v>
      </c>
      <c r="BW448" s="185" t="s">
        <v>189</v>
      </c>
      <c r="BX448" s="185">
        <v>130</v>
      </c>
      <c r="BY448" s="185" t="s">
        <v>184</v>
      </c>
      <c r="BZ448" s="254" t="s">
        <v>190</v>
      </c>
      <c r="CB448" s="187">
        <v>8380</v>
      </c>
      <c r="CC448" s="185" t="s">
        <v>189</v>
      </c>
      <c r="CD448" s="185">
        <v>80</v>
      </c>
      <c r="CE448" s="185" t="s">
        <v>184</v>
      </c>
      <c r="CF448" s="254" t="s">
        <v>190</v>
      </c>
      <c r="CH448" s="253"/>
    </row>
    <row r="449" spans="1:86">
      <c r="A449" s="1563"/>
      <c r="B449" s="168"/>
      <c r="C449" s="241" t="s">
        <v>319</v>
      </c>
      <c r="D449" s="177" t="s">
        <v>320</v>
      </c>
      <c r="F449" s="242">
        <v>148570</v>
      </c>
      <c r="G449" s="243">
        <v>217400</v>
      </c>
      <c r="H449" s="242">
        <v>132950</v>
      </c>
      <c r="I449" s="243">
        <v>201780</v>
      </c>
      <c r="J449" s="179" t="s">
        <v>182</v>
      </c>
      <c r="K449" s="244">
        <v>1370</v>
      </c>
      <c r="L449" s="245">
        <v>2050</v>
      </c>
      <c r="M449" s="246" t="s">
        <v>795</v>
      </c>
      <c r="N449" s="244">
        <v>1220</v>
      </c>
      <c r="O449" s="245">
        <v>1900</v>
      </c>
      <c r="P449" s="246" t="s">
        <v>795</v>
      </c>
      <c r="R449" s="182"/>
      <c r="S449" s="176"/>
      <c r="T449" s="177"/>
      <c r="V449" s="1578"/>
      <c r="W449" s="1579"/>
      <c r="X449" s="176"/>
      <c r="Y449" s="1579"/>
      <c r="Z449" s="1579"/>
      <c r="AA449" s="176"/>
      <c r="AB449" s="177"/>
      <c r="AC449" s="160" t="s">
        <v>182</v>
      </c>
      <c r="AD449" s="1548">
        <v>20970</v>
      </c>
      <c r="AE449" s="255"/>
      <c r="AF449" s="176"/>
      <c r="AG449" s="176">
        <v>0</v>
      </c>
      <c r="AH449" s="177"/>
      <c r="AJ449" s="187">
        <v>12120</v>
      </c>
      <c r="AK449" s="185" t="s">
        <v>321</v>
      </c>
      <c r="AL449" s="176"/>
      <c r="AM449" s="176"/>
      <c r="AN449" s="177"/>
      <c r="AP449" s="1551"/>
      <c r="AQ449" s="1554"/>
      <c r="AR449" s="1551"/>
      <c r="AS449" s="1554"/>
      <c r="AT449" s="1544"/>
      <c r="AU449" s="172" t="s">
        <v>700</v>
      </c>
      <c r="AV449" s="249">
        <v>5200</v>
      </c>
      <c r="AW449" s="250">
        <v>5800</v>
      </c>
      <c r="AX449" s="267">
        <v>3600</v>
      </c>
      <c r="AY449" s="252">
        <v>3600</v>
      </c>
      <c r="BA449" s="1545"/>
      <c r="BC449" s="359"/>
      <c r="BE449" s="187"/>
      <c r="BF449" s="176"/>
      <c r="BG449" s="176"/>
      <c r="BH449" s="177"/>
      <c r="BJ449" s="253"/>
      <c r="BL449" s="193">
        <v>0.01</v>
      </c>
      <c r="BM449" s="194">
        <v>0.03</v>
      </c>
      <c r="BN449" s="194">
        <v>0.04</v>
      </c>
      <c r="BO449" s="195">
        <v>0.05</v>
      </c>
      <c r="BQ449" s="187"/>
      <c r="BR449" s="185"/>
      <c r="BS449" s="185"/>
      <c r="BT449" s="254"/>
      <c r="BV449" s="187"/>
      <c r="BW449" s="185"/>
      <c r="BX449" s="185"/>
      <c r="BY449" s="185"/>
      <c r="BZ449" s="254"/>
      <c r="CB449" s="187"/>
      <c r="CC449" s="185"/>
      <c r="CD449" s="185"/>
      <c r="CE449" s="185"/>
      <c r="CF449" s="254"/>
      <c r="CH449" s="253">
        <v>0.87</v>
      </c>
    </row>
    <row r="450" spans="1:86">
      <c r="A450" s="1563"/>
      <c r="B450" s="168"/>
      <c r="C450" s="241"/>
      <c r="D450" s="177" t="s">
        <v>322</v>
      </c>
      <c r="F450" s="256">
        <v>217400</v>
      </c>
      <c r="G450" s="257"/>
      <c r="H450" s="256">
        <v>201780</v>
      </c>
      <c r="I450" s="257"/>
      <c r="J450" s="179" t="s">
        <v>182</v>
      </c>
      <c r="K450" s="258">
        <v>2050</v>
      </c>
      <c r="L450" s="259"/>
      <c r="M450" s="260" t="s">
        <v>795</v>
      </c>
      <c r="N450" s="258">
        <v>1900</v>
      </c>
      <c r="O450" s="259"/>
      <c r="P450" s="260" t="s">
        <v>795</v>
      </c>
      <c r="R450" s="182"/>
      <c r="S450" s="176"/>
      <c r="T450" s="177"/>
      <c r="V450" s="1578"/>
      <c r="W450" s="1579"/>
      <c r="X450" s="176"/>
      <c r="Y450" s="1579"/>
      <c r="Z450" s="1579"/>
      <c r="AA450" s="176"/>
      <c r="AB450" s="177"/>
      <c r="AD450" s="1549"/>
      <c r="AE450" s="261"/>
      <c r="AF450" s="271"/>
      <c r="AG450" s="271"/>
      <c r="AH450" s="184"/>
      <c r="AJ450" s="187"/>
      <c r="AK450" s="185"/>
      <c r="AL450" s="176"/>
      <c r="AM450" s="176"/>
      <c r="AN450" s="177"/>
      <c r="AP450" s="1552"/>
      <c r="AQ450" s="1555"/>
      <c r="AR450" s="1552"/>
      <c r="AS450" s="1555"/>
      <c r="AT450" s="1544"/>
      <c r="AU450" s="262" t="s">
        <v>701</v>
      </c>
      <c r="AV450" s="263">
        <v>4700</v>
      </c>
      <c r="AW450" s="264">
        <v>5200</v>
      </c>
      <c r="AX450" s="265">
        <v>3300</v>
      </c>
      <c r="AY450" s="266">
        <v>3300</v>
      </c>
      <c r="BA450" s="1545"/>
      <c r="BC450" s="359"/>
      <c r="BE450" s="187"/>
      <c r="BF450" s="176"/>
      <c r="BG450" s="176"/>
      <c r="BH450" s="177"/>
      <c r="BJ450" s="253"/>
      <c r="BL450" s="193"/>
      <c r="BM450" s="194"/>
      <c r="BN450" s="194"/>
      <c r="BO450" s="195"/>
      <c r="BQ450" s="187"/>
      <c r="BR450" s="185"/>
      <c r="BS450" s="185"/>
      <c r="BT450" s="254"/>
      <c r="BV450" s="187"/>
      <c r="BW450" s="185"/>
      <c r="BX450" s="185"/>
      <c r="BY450" s="185"/>
      <c r="BZ450" s="254"/>
      <c r="CB450" s="187"/>
      <c r="CC450" s="185"/>
      <c r="CD450" s="185"/>
      <c r="CE450" s="185"/>
      <c r="CF450" s="254"/>
      <c r="CH450" s="253"/>
    </row>
    <row r="451" spans="1:86" ht="63">
      <c r="A451" s="1563"/>
      <c r="B451" s="215" t="s">
        <v>326</v>
      </c>
      <c r="C451" s="216" t="s">
        <v>313</v>
      </c>
      <c r="D451" s="217" t="s">
        <v>314</v>
      </c>
      <c r="F451" s="218">
        <v>68650</v>
      </c>
      <c r="G451" s="219">
        <v>75530</v>
      </c>
      <c r="H451" s="218">
        <v>56940</v>
      </c>
      <c r="I451" s="219">
        <v>63820</v>
      </c>
      <c r="J451" s="179" t="s">
        <v>182</v>
      </c>
      <c r="K451" s="220">
        <v>660</v>
      </c>
      <c r="L451" s="221">
        <v>720</v>
      </c>
      <c r="M451" s="222" t="s">
        <v>795</v>
      </c>
      <c r="N451" s="220">
        <v>550</v>
      </c>
      <c r="O451" s="221">
        <v>610</v>
      </c>
      <c r="P451" s="222" t="s">
        <v>795</v>
      </c>
      <c r="Q451" s="160" t="s">
        <v>182</v>
      </c>
      <c r="R451" s="223">
        <v>6880</v>
      </c>
      <c r="S451" s="224">
        <v>60</v>
      </c>
      <c r="T451" s="225" t="s">
        <v>184</v>
      </c>
      <c r="V451" s="1578"/>
      <c r="W451" s="1579"/>
      <c r="X451" s="176"/>
      <c r="Y451" s="1579"/>
      <c r="Z451" s="1579"/>
      <c r="AA451" s="176"/>
      <c r="AB451" s="177"/>
      <c r="AC451" s="160" t="s">
        <v>182</v>
      </c>
      <c r="AD451" s="1546">
        <v>18750</v>
      </c>
      <c r="AE451" s="227"/>
      <c r="AF451" s="176" t="s">
        <v>182</v>
      </c>
      <c r="AG451" s="176">
        <v>110</v>
      </c>
      <c r="AH451" s="177" t="s">
        <v>184</v>
      </c>
      <c r="AJ451" s="187" t="s">
        <v>198</v>
      </c>
      <c r="AK451" s="185"/>
      <c r="AL451" s="176" t="s">
        <v>182</v>
      </c>
      <c r="AM451" s="176">
        <v>90</v>
      </c>
      <c r="AN451" s="177" t="s">
        <v>316</v>
      </c>
      <c r="AO451" s="160" t="s">
        <v>182</v>
      </c>
      <c r="AP451" s="1550">
        <v>4800</v>
      </c>
      <c r="AQ451" s="1553">
        <v>5300</v>
      </c>
      <c r="AR451" s="1550">
        <v>3300</v>
      </c>
      <c r="AS451" s="1553">
        <v>3300</v>
      </c>
      <c r="AT451" s="1544" t="s">
        <v>664</v>
      </c>
      <c r="AU451" s="230" t="s">
        <v>697</v>
      </c>
      <c r="AV451" s="231">
        <v>9800</v>
      </c>
      <c r="AW451" s="232">
        <v>10900</v>
      </c>
      <c r="AX451" s="267">
        <v>6800</v>
      </c>
      <c r="AY451" s="252">
        <v>6800</v>
      </c>
      <c r="BA451" s="235" t="s">
        <v>662</v>
      </c>
      <c r="BB451" s="160" t="s">
        <v>182</v>
      </c>
      <c r="BC451" s="1556">
        <v>4700</v>
      </c>
      <c r="BD451" s="160" t="s">
        <v>182</v>
      </c>
      <c r="BE451" s="228">
        <v>5280</v>
      </c>
      <c r="BF451" s="226" t="s">
        <v>182</v>
      </c>
      <c r="BG451" s="226">
        <v>50</v>
      </c>
      <c r="BH451" s="217" t="s">
        <v>184</v>
      </c>
      <c r="BJ451" s="253"/>
      <c r="BK451" s="160" t="s">
        <v>188</v>
      </c>
      <c r="BL451" s="237" t="s">
        <v>317</v>
      </c>
      <c r="BM451" s="238" t="s">
        <v>317</v>
      </c>
      <c r="BN451" s="238" t="s">
        <v>317</v>
      </c>
      <c r="BO451" s="239" t="s">
        <v>317</v>
      </c>
      <c r="BP451" s="160" t="s">
        <v>188</v>
      </c>
      <c r="BQ451" s="228"/>
      <c r="BR451" s="229"/>
      <c r="BS451" s="229"/>
      <c r="BT451" s="240"/>
      <c r="BU451" s="160" t="s">
        <v>188</v>
      </c>
      <c r="BV451" s="228"/>
      <c r="BW451" s="229"/>
      <c r="BX451" s="229"/>
      <c r="BY451" s="229"/>
      <c r="BZ451" s="240"/>
      <c r="CA451" s="160" t="s">
        <v>188</v>
      </c>
      <c r="CB451" s="228"/>
      <c r="CC451" s="229"/>
      <c r="CD451" s="229"/>
      <c r="CE451" s="229"/>
      <c r="CF451" s="240"/>
      <c r="CH451" s="236" t="s">
        <v>324</v>
      </c>
    </row>
    <row r="452" spans="1:86">
      <c r="A452" s="1563"/>
      <c r="B452" s="168"/>
      <c r="C452" s="241"/>
      <c r="D452" s="177" t="s">
        <v>318</v>
      </c>
      <c r="F452" s="242">
        <v>75530</v>
      </c>
      <c r="G452" s="243">
        <v>131980</v>
      </c>
      <c r="H452" s="242">
        <v>63820</v>
      </c>
      <c r="I452" s="243">
        <v>120270</v>
      </c>
      <c r="J452" s="179" t="s">
        <v>182</v>
      </c>
      <c r="K452" s="244">
        <v>720</v>
      </c>
      <c r="L452" s="245">
        <v>1210</v>
      </c>
      <c r="M452" s="246" t="s">
        <v>795</v>
      </c>
      <c r="N452" s="244">
        <v>610</v>
      </c>
      <c r="O452" s="245">
        <v>1090</v>
      </c>
      <c r="P452" s="246" t="s">
        <v>795</v>
      </c>
      <c r="Q452" s="160" t="s">
        <v>182</v>
      </c>
      <c r="R452" s="187">
        <v>6880</v>
      </c>
      <c r="S452" s="185">
        <v>60</v>
      </c>
      <c r="T452" s="247" t="s">
        <v>184</v>
      </c>
      <c r="V452" s="182"/>
      <c r="W452" s="185"/>
      <c r="X452" s="176"/>
      <c r="Y452" s="185"/>
      <c r="Z452" s="176"/>
      <c r="AA452" s="176"/>
      <c r="AB452" s="177"/>
      <c r="AD452" s="1547"/>
      <c r="AE452" s="248">
        <v>17020</v>
      </c>
      <c r="AF452" s="176"/>
      <c r="AG452" s="176"/>
      <c r="AH452" s="177"/>
      <c r="AJ452" s="187"/>
      <c r="AK452" s="185"/>
      <c r="AL452" s="176"/>
      <c r="AM452" s="176"/>
      <c r="AN452" s="177"/>
      <c r="AP452" s="1551"/>
      <c r="AQ452" s="1554"/>
      <c r="AR452" s="1551"/>
      <c r="AS452" s="1554"/>
      <c r="AT452" s="1544"/>
      <c r="AU452" s="172" t="s">
        <v>699</v>
      </c>
      <c r="AV452" s="249">
        <v>5400</v>
      </c>
      <c r="AW452" s="250">
        <v>6000</v>
      </c>
      <c r="AX452" s="267">
        <v>3700</v>
      </c>
      <c r="AY452" s="252">
        <v>3700</v>
      </c>
      <c r="BA452" s="235">
        <v>27330</v>
      </c>
      <c r="BC452" s="1557"/>
      <c r="BE452" s="187"/>
      <c r="BF452" s="176"/>
      <c r="BG452" s="176"/>
      <c r="BH452" s="177"/>
      <c r="BJ452" s="253"/>
      <c r="BL452" s="193"/>
      <c r="BM452" s="194"/>
      <c r="BN452" s="194"/>
      <c r="BO452" s="195"/>
      <c r="BQ452" s="187">
        <v>3180</v>
      </c>
      <c r="BR452" s="185" t="s">
        <v>199</v>
      </c>
      <c r="BS452" s="185">
        <v>30</v>
      </c>
      <c r="BT452" s="254" t="s">
        <v>184</v>
      </c>
      <c r="BV452" s="187">
        <v>10320</v>
      </c>
      <c r="BW452" s="185" t="s">
        <v>189</v>
      </c>
      <c r="BX452" s="185">
        <v>100</v>
      </c>
      <c r="BY452" s="185" t="s">
        <v>184</v>
      </c>
      <c r="BZ452" s="254" t="s">
        <v>190</v>
      </c>
      <c r="CB452" s="187">
        <v>6290</v>
      </c>
      <c r="CC452" s="185" t="s">
        <v>189</v>
      </c>
      <c r="CD452" s="185">
        <v>60</v>
      </c>
      <c r="CE452" s="185" t="s">
        <v>184</v>
      </c>
      <c r="CF452" s="254" t="s">
        <v>190</v>
      </c>
      <c r="CH452" s="253"/>
    </row>
    <row r="453" spans="1:86">
      <c r="A453" s="1563"/>
      <c r="B453" s="168"/>
      <c r="C453" s="241" t="s">
        <v>319</v>
      </c>
      <c r="D453" s="177" t="s">
        <v>320</v>
      </c>
      <c r="F453" s="242">
        <v>131980</v>
      </c>
      <c r="G453" s="243">
        <v>200810</v>
      </c>
      <c r="H453" s="242">
        <v>120270</v>
      </c>
      <c r="I453" s="243">
        <v>189100</v>
      </c>
      <c r="J453" s="179" t="s">
        <v>182</v>
      </c>
      <c r="K453" s="244">
        <v>1210</v>
      </c>
      <c r="L453" s="245">
        <v>1890</v>
      </c>
      <c r="M453" s="246" t="s">
        <v>795</v>
      </c>
      <c r="N453" s="244">
        <v>1090</v>
      </c>
      <c r="O453" s="245">
        <v>1770</v>
      </c>
      <c r="P453" s="246" t="s">
        <v>795</v>
      </c>
      <c r="R453" s="182"/>
      <c r="S453" s="176"/>
      <c r="T453" s="177"/>
      <c r="V453" s="182"/>
      <c r="W453" s="185"/>
      <c r="X453" s="176"/>
      <c r="Y453" s="185"/>
      <c r="Z453" s="176"/>
      <c r="AA453" s="176"/>
      <c r="AB453" s="177"/>
      <c r="AC453" s="160" t="s">
        <v>182</v>
      </c>
      <c r="AD453" s="1548">
        <v>17020</v>
      </c>
      <c r="AE453" s="255"/>
      <c r="AF453" s="176"/>
      <c r="AG453" s="176">
        <v>0</v>
      </c>
      <c r="AH453" s="177"/>
      <c r="AJ453" s="187">
        <v>9430</v>
      </c>
      <c r="AK453" s="185" t="s">
        <v>321</v>
      </c>
      <c r="AL453" s="176"/>
      <c r="AM453" s="176"/>
      <c r="AN453" s="177"/>
      <c r="AP453" s="1551"/>
      <c r="AQ453" s="1554"/>
      <c r="AR453" s="1551"/>
      <c r="AS453" s="1554"/>
      <c r="AT453" s="1544"/>
      <c r="AU453" s="172" t="s">
        <v>700</v>
      </c>
      <c r="AV453" s="249">
        <v>4700</v>
      </c>
      <c r="AW453" s="250">
        <v>5200</v>
      </c>
      <c r="AX453" s="267">
        <v>3300</v>
      </c>
      <c r="AY453" s="252">
        <v>3300</v>
      </c>
      <c r="BA453" s="277"/>
      <c r="BC453" s="359"/>
      <c r="BE453" s="187"/>
      <c r="BF453" s="176"/>
      <c r="BG453" s="176"/>
      <c r="BH453" s="177"/>
      <c r="BJ453" s="253"/>
      <c r="BL453" s="193">
        <v>0.02</v>
      </c>
      <c r="BM453" s="194">
        <v>0.03</v>
      </c>
      <c r="BN453" s="194">
        <v>0.04</v>
      </c>
      <c r="BO453" s="195">
        <v>0.06</v>
      </c>
      <c r="BQ453" s="187"/>
      <c r="BR453" s="185"/>
      <c r="BS453" s="185"/>
      <c r="BT453" s="254"/>
      <c r="BV453" s="187"/>
      <c r="BW453" s="185"/>
      <c r="BX453" s="185"/>
      <c r="BY453" s="185"/>
      <c r="BZ453" s="254"/>
      <c r="CB453" s="187"/>
      <c r="CC453" s="185"/>
      <c r="CD453" s="185"/>
      <c r="CE453" s="185"/>
      <c r="CF453" s="254"/>
      <c r="CH453" s="253">
        <v>0.96</v>
      </c>
    </row>
    <row r="454" spans="1:86">
      <c r="A454" s="1563"/>
      <c r="B454" s="269"/>
      <c r="C454" s="270"/>
      <c r="D454" s="184" t="s">
        <v>322</v>
      </c>
      <c r="F454" s="256">
        <v>200810</v>
      </c>
      <c r="G454" s="257"/>
      <c r="H454" s="256">
        <v>189100</v>
      </c>
      <c r="I454" s="257"/>
      <c r="J454" s="179" t="s">
        <v>182</v>
      </c>
      <c r="K454" s="258">
        <v>1890</v>
      </c>
      <c r="L454" s="259"/>
      <c r="M454" s="260" t="s">
        <v>795</v>
      </c>
      <c r="N454" s="258">
        <v>1770</v>
      </c>
      <c r="O454" s="259"/>
      <c r="P454" s="260" t="s">
        <v>795</v>
      </c>
      <c r="R454" s="183"/>
      <c r="S454" s="271"/>
      <c r="T454" s="184"/>
      <c r="V454" s="278"/>
      <c r="W454" s="279" t="s">
        <v>703</v>
      </c>
      <c r="X454" s="176"/>
      <c r="Y454" s="279" t="s">
        <v>703</v>
      </c>
      <c r="Z454" s="279"/>
      <c r="AA454" s="176"/>
      <c r="AB454" s="177"/>
      <c r="AD454" s="1549"/>
      <c r="AE454" s="261"/>
      <c r="AF454" s="176"/>
      <c r="AG454" s="176"/>
      <c r="AH454" s="177"/>
      <c r="AJ454" s="187"/>
      <c r="AK454" s="185"/>
      <c r="AL454" s="176"/>
      <c r="AM454" s="176"/>
      <c r="AN454" s="177"/>
      <c r="AP454" s="1552"/>
      <c r="AQ454" s="1555"/>
      <c r="AR454" s="1552"/>
      <c r="AS454" s="1555"/>
      <c r="AT454" s="1544"/>
      <c r="AU454" s="262" t="s">
        <v>701</v>
      </c>
      <c r="AV454" s="263">
        <v>4200</v>
      </c>
      <c r="AW454" s="264">
        <v>4600</v>
      </c>
      <c r="AX454" s="265">
        <v>2900</v>
      </c>
      <c r="AY454" s="266">
        <v>2900</v>
      </c>
      <c r="BA454" s="235" t="s">
        <v>665</v>
      </c>
      <c r="BC454" s="359"/>
      <c r="BE454" s="186"/>
      <c r="BF454" s="271"/>
      <c r="BG454" s="271"/>
      <c r="BH454" s="184"/>
      <c r="BJ454" s="253"/>
      <c r="BL454" s="272"/>
      <c r="BM454" s="273"/>
      <c r="BN454" s="273"/>
      <c r="BO454" s="274"/>
      <c r="BQ454" s="186"/>
      <c r="BR454" s="196"/>
      <c r="BS454" s="196"/>
      <c r="BT454" s="197"/>
      <c r="BV454" s="186"/>
      <c r="BW454" s="196"/>
      <c r="BX454" s="196"/>
      <c r="BY454" s="196"/>
      <c r="BZ454" s="197"/>
      <c r="CB454" s="186"/>
      <c r="CC454" s="196"/>
      <c r="CD454" s="196"/>
      <c r="CE454" s="196"/>
      <c r="CF454" s="197"/>
      <c r="CH454" s="198"/>
    </row>
    <row r="455" spans="1:86" ht="63">
      <c r="A455" s="1563"/>
      <c r="B455" s="168" t="s">
        <v>327</v>
      </c>
      <c r="C455" s="241" t="s">
        <v>313</v>
      </c>
      <c r="D455" s="177" t="s">
        <v>314</v>
      </c>
      <c r="F455" s="218">
        <v>63790</v>
      </c>
      <c r="G455" s="219">
        <v>70670</v>
      </c>
      <c r="H455" s="218">
        <v>54420</v>
      </c>
      <c r="I455" s="219">
        <v>61300</v>
      </c>
      <c r="J455" s="179" t="s">
        <v>182</v>
      </c>
      <c r="K455" s="220">
        <v>610</v>
      </c>
      <c r="L455" s="221">
        <v>670</v>
      </c>
      <c r="M455" s="222" t="s">
        <v>795</v>
      </c>
      <c r="N455" s="220">
        <v>520</v>
      </c>
      <c r="O455" s="221">
        <v>580</v>
      </c>
      <c r="P455" s="222" t="s">
        <v>795</v>
      </c>
      <c r="Q455" s="160" t="s">
        <v>182</v>
      </c>
      <c r="R455" s="275">
        <v>6880</v>
      </c>
      <c r="S455" s="276">
        <v>60</v>
      </c>
      <c r="T455" s="247" t="s">
        <v>184</v>
      </c>
      <c r="V455" s="182"/>
      <c r="W455" s="185">
        <v>236800</v>
      </c>
      <c r="X455" s="176"/>
      <c r="Y455" s="185">
        <v>2360</v>
      </c>
      <c r="Z455" s="176" t="s">
        <v>184</v>
      </c>
      <c r="AA455" s="176"/>
      <c r="AB455" s="177"/>
      <c r="AC455" s="160" t="s">
        <v>182</v>
      </c>
      <c r="AD455" s="1546">
        <v>16380</v>
      </c>
      <c r="AE455" s="227"/>
      <c r="AF455" s="226" t="s">
        <v>182</v>
      </c>
      <c r="AG455" s="226">
        <v>90</v>
      </c>
      <c r="AH455" s="217" t="s">
        <v>184</v>
      </c>
      <c r="AJ455" s="187" t="s">
        <v>201</v>
      </c>
      <c r="AK455" s="185"/>
      <c r="AL455" s="176" t="s">
        <v>182</v>
      </c>
      <c r="AM455" s="176">
        <v>70</v>
      </c>
      <c r="AN455" s="177" t="s">
        <v>316</v>
      </c>
      <c r="AO455" s="160" t="s">
        <v>182</v>
      </c>
      <c r="AP455" s="1550">
        <v>4300</v>
      </c>
      <c r="AQ455" s="1553">
        <v>4800</v>
      </c>
      <c r="AR455" s="1550">
        <v>3000</v>
      </c>
      <c r="AS455" s="1553">
        <v>3000</v>
      </c>
      <c r="AT455" s="1544" t="s">
        <v>664</v>
      </c>
      <c r="AU455" s="230" t="s">
        <v>697</v>
      </c>
      <c r="AV455" s="231">
        <v>8800</v>
      </c>
      <c r="AW455" s="232">
        <v>9800</v>
      </c>
      <c r="AX455" s="267">
        <v>6100</v>
      </c>
      <c r="AY455" s="252">
        <v>6100</v>
      </c>
      <c r="BA455" s="235">
        <v>16800</v>
      </c>
      <c r="BB455" s="160" t="s">
        <v>182</v>
      </c>
      <c r="BC455" s="1556">
        <v>4700</v>
      </c>
      <c r="BD455" s="160" t="s">
        <v>182</v>
      </c>
      <c r="BE455" s="187">
        <v>4220</v>
      </c>
      <c r="BF455" s="176" t="s">
        <v>182</v>
      </c>
      <c r="BG455" s="176">
        <v>40</v>
      </c>
      <c r="BH455" s="177" t="s">
        <v>184</v>
      </c>
      <c r="BJ455" s="253"/>
      <c r="BK455" s="160" t="s">
        <v>188</v>
      </c>
      <c r="BL455" s="193" t="s">
        <v>317</v>
      </c>
      <c r="BM455" s="194" t="s">
        <v>317</v>
      </c>
      <c r="BN455" s="194" t="s">
        <v>317</v>
      </c>
      <c r="BO455" s="195" t="s">
        <v>317</v>
      </c>
      <c r="BP455" s="160" t="s">
        <v>188</v>
      </c>
      <c r="BQ455" s="187"/>
      <c r="BR455" s="185"/>
      <c r="BS455" s="185"/>
      <c r="BT455" s="254"/>
      <c r="BU455" s="160" t="s">
        <v>188</v>
      </c>
      <c r="BV455" s="187"/>
      <c r="BW455" s="185"/>
      <c r="BX455" s="185"/>
      <c r="BY455" s="185"/>
      <c r="BZ455" s="254"/>
      <c r="CA455" s="160" t="s">
        <v>188</v>
      </c>
      <c r="CB455" s="187"/>
      <c r="CC455" s="185"/>
      <c r="CD455" s="185"/>
      <c r="CE455" s="185"/>
      <c r="CF455" s="254"/>
      <c r="CH455" s="253" t="s">
        <v>324</v>
      </c>
    </row>
    <row r="456" spans="1:86">
      <c r="A456" s="1563"/>
      <c r="B456" s="168"/>
      <c r="C456" s="241"/>
      <c r="D456" s="177" t="s">
        <v>318</v>
      </c>
      <c r="F456" s="242">
        <v>70670</v>
      </c>
      <c r="G456" s="243">
        <v>127120</v>
      </c>
      <c r="H456" s="242">
        <v>61300</v>
      </c>
      <c r="I456" s="243">
        <v>117750</v>
      </c>
      <c r="J456" s="179" t="s">
        <v>182</v>
      </c>
      <c r="K456" s="244">
        <v>670</v>
      </c>
      <c r="L456" s="245">
        <v>1160</v>
      </c>
      <c r="M456" s="246" t="s">
        <v>795</v>
      </c>
      <c r="N456" s="244">
        <v>580</v>
      </c>
      <c r="O456" s="245">
        <v>1060</v>
      </c>
      <c r="P456" s="246" t="s">
        <v>795</v>
      </c>
      <c r="Q456" s="160" t="s">
        <v>182</v>
      </c>
      <c r="R456" s="187">
        <v>6880</v>
      </c>
      <c r="S456" s="185">
        <v>60</v>
      </c>
      <c r="T456" s="247" t="s">
        <v>184</v>
      </c>
      <c r="V456" s="182"/>
      <c r="W456" s="185"/>
      <c r="X456" s="176"/>
      <c r="Y456" s="185"/>
      <c r="Z456" s="176"/>
      <c r="AA456" s="176"/>
      <c r="AB456" s="177"/>
      <c r="AD456" s="1547"/>
      <c r="AE456" s="248">
        <v>14660</v>
      </c>
      <c r="AF456" s="176"/>
      <c r="AG456" s="176"/>
      <c r="AH456" s="177"/>
      <c r="AJ456" s="187"/>
      <c r="AK456" s="185"/>
      <c r="AL456" s="176"/>
      <c r="AM456" s="176"/>
      <c r="AN456" s="177"/>
      <c r="AP456" s="1551"/>
      <c r="AQ456" s="1554"/>
      <c r="AR456" s="1551"/>
      <c r="AS456" s="1554"/>
      <c r="AT456" s="1544"/>
      <c r="AU456" s="172" t="s">
        <v>699</v>
      </c>
      <c r="AV456" s="249">
        <v>4800</v>
      </c>
      <c r="AW456" s="250">
        <v>5400</v>
      </c>
      <c r="AX456" s="267">
        <v>3400</v>
      </c>
      <c r="AY456" s="252">
        <v>3400</v>
      </c>
      <c r="BA456" s="277"/>
      <c r="BC456" s="1557"/>
      <c r="BE456" s="187"/>
      <c r="BF456" s="176"/>
      <c r="BG456" s="176"/>
      <c r="BH456" s="177"/>
      <c r="BJ456" s="253"/>
      <c r="BL456" s="193"/>
      <c r="BM456" s="194"/>
      <c r="BN456" s="194"/>
      <c r="BO456" s="195"/>
      <c r="BQ456" s="187">
        <v>2540</v>
      </c>
      <c r="BR456" s="185" t="s">
        <v>199</v>
      </c>
      <c r="BS456" s="185">
        <v>20</v>
      </c>
      <c r="BT456" s="254" t="s">
        <v>184</v>
      </c>
      <c r="BV456" s="187">
        <v>8260</v>
      </c>
      <c r="BW456" s="185" t="s">
        <v>189</v>
      </c>
      <c r="BX456" s="185">
        <v>80</v>
      </c>
      <c r="BY456" s="185" t="s">
        <v>184</v>
      </c>
      <c r="BZ456" s="254" t="s">
        <v>190</v>
      </c>
      <c r="CB456" s="187">
        <v>5030</v>
      </c>
      <c r="CC456" s="185" t="s">
        <v>189</v>
      </c>
      <c r="CD456" s="185">
        <v>50</v>
      </c>
      <c r="CE456" s="185" t="s">
        <v>184</v>
      </c>
      <c r="CF456" s="254" t="s">
        <v>190</v>
      </c>
      <c r="CH456" s="253"/>
    </row>
    <row r="457" spans="1:86">
      <c r="A457" s="1563"/>
      <c r="B457" s="168"/>
      <c r="C457" s="241" t="s">
        <v>319</v>
      </c>
      <c r="D457" s="177" t="s">
        <v>320</v>
      </c>
      <c r="F457" s="242">
        <v>127120</v>
      </c>
      <c r="G457" s="243">
        <v>195950</v>
      </c>
      <c r="H457" s="242">
        <v>117750</v>
      </c>
      <c r="I457" s="243">
        <v>186580</v>
      </c>
      <c r="J457" s="179" t="s">
        <v>182</v>
      </c>
      <c r="K457" s="244">
        <v>1160</v>
      </c>
      <c r="L457" s="245">
        <v>1840</v>
      </c>
      <c r="M457" s="246" t="s">
        <v>795</v>
      </c>
      <c r="N457" s="244">
        <v>1060</v>
      </c>
      <c r="O457" s="245">
        <v>1740</v>
      </c>
      <c r="P457" s="246" t="s">
        <v>795</v>
      </c>
      <c r="R457" s="182"/>
      <c r="S457" s="176"/>
      <c r="T457" s="177"/>
      <c r="V457" s="278"/>
      <c r="W457" s="279" t="s">
        <v>704</v>
      </c>
      <c r="X457" s="176"/>
      <c r="Y457" s="279" t="s">
        <v>704</v>
      </c>
      <c r="Z457" s="279"/>
      <c r="AA457" s="176"/>
      <c r="AB457" s="177"/>
      <c r="AC457" s="160" t="s">
        <v>182</v>
      </c>
      <c r="AD457" s="1548">
        <v>14660</v>
      </c>
      <c r="AE457" s="255"/>
      <c r="AF457" s="176"/>
      <c r="AG457" s="176">
        <v>0</v>
      </c>
      <c r="AH457" s="177"/>
      <c r="AJ457" s="187">
        <v>7070</v>
      </c>
      <c r="AK457" s="185" t="s">
        <v>321</v>
      </c>
      <c r="AL457" s="176"/>
      <c r="AM457" s="176"/>
      <c r="AN457" s="177"/>
      <c r="AP457" s="1551"/>
      <c r="AQ457" s="1554"/>
      <c r="AR457" s="1551"/>
      <c r="AS457" s="1554"/>
      <c r="AT457" s="1544"/>
      <c r="AU457" s="172" t="s">
        <v>700</v>
      </c>
      <c r="AV457" s="249">
        <v>4200</v>
      </c>
      <c r="AW457" s="250">
        <v>4700</v>
      </c>
      <c r="AX457" s="267">
        <v>2900</v>
      </c>
      <c r="AY457" s="252">
        <v>2900</v>
      </c>
      <c r="BA457" s="235" t="s">
        <v>666</v>
      </c>
      <c r="BC457" s="358"/>
      <c r="BE457" s="187"/>
      <c r="BF457" s="176"/>
      <c r="BG457" s="176"/>
      <c r="BH457" s="177"/>
      <c r="BJ457" s="253"/>
      <c r="BL457" s="193">
        <v>0.02</v>
      </c>
      <c r="BM457" s="194">
        <v>0.03</v>
      </c>
      <c r="BN457" s="194">
        <v>0.05</v>
      </c>
      <c r="BO457" s="195">
        <v>0.06</v>
      </c>
      <c r="BQ457" s="187"/>
      <c r="BR457" s="185"/>
      <c r="BS457" s="185"/>
      <c r="BT457" s="254"/>
      <c r="BV457" s="187"/>
      <c r="BW457" s="185"/>
      <c r="BX457" s="185"/>
      <c r="BY457" s="185"/>
      <c r="BZ457" s="254"/>
      <c r="CB457" s="187"/>
      <c r="CC457" s="185"/>
      <c r="CD457" s="185"/>
      <c r="CE457" s="185"/>
      <c r="CF457" s="254"/>
      <c r="CH457" s="253">
        <v>0.92</v>
      </c>
    </row>
    <row r="458" spans="1:86">
      <c r="A458" s="1563"/>
      <c r="B458" s="168"/>
      <c r="C458" s="241"/>
      <c r="D458" s="177" t="s">
        <v>322</v>
      </c>
      <c r="F458" s="256">
        <v>195950</v>
      </c>
      <c r="G458" s="257"/>
      <c r="H458" s="256">
        <v>186580</v>
      </c>
      <c r="I458" s="257"/>
      <c r="J458" s="179" t="s">
        <v>182</v>
      </c>
      <c r="K458" s="258">
        <v>1840</v>
      </c>
      <c r="L458" s="259"/>
      <c r="M458" s="260" t="s">
        <v>795</v>
      </c>
      <c r="N458" s="258">
        <v>1740</v>
      </c>
      <c r="O458" s="259"/>
      <c r="P458" s="260" t="s">
        <v>795</v>
      </c>
      <c r="R458" s="182"/>
      <c r="S458" s="176"/>
      <c r="T458" s="177"/>
      <c r="V458" s="182"/>
      <c r="W458" s="185">
        <v>253400</v>
      </c>
      <c r="X458" s="176"/>
      <c r="Y458" s="185">
        <v>2530</v>
      </c>
      <c r="Z458" s="176" t="s">
        <v>184</v>
      </c>
      <c r="AA458" s="176"/>
      <c r="AB458" s="177"/>
      <c r="AD458" s="1549"/>
      <c r="AE458" s="261"/>
      <c r="AF458" s="271"/>
      <c r="AG458" s="271"/>
      <c r="AH458" s="184"/>
      <c r="AJ458" s="187"/>
      <c r="AK458" s="185"/>
      <c r="AL458" s="176"/>
      <c r="AM458" s="176"/>
      <c r="AN458" s="177"/>
      <c r="AP458" s="1552"/>
      <c r="AQ458" s="1555"/>
      <c r="AR458" s="1552"/>
      <c r="AS458" s="1555"/>
      <c r="AT458" s="1544"/>
      <c r="AU458" s="262" t="s">
        <v>701</v>
      </c>
      <c r="AV458" s="263">
        <v>3800</v>
      </c>
      <c r="AW458" s="264">
        <v>4200</v>
      </c>
      <c r="AX458" s="265">
        <v>2600</v>
      </c>
      <c r="AY458" s="266">
        <v>2600</v>
      </c>
      <c r="BA458" s="235">
        <v>12280</v>
      </c>
      <c r="BC458" s="359"/>
      <c r="BE458" s="187"/>
      <c r="BF458" s="176"/>
      <c r="BG458" s="176"/>
      <c r="BH458" s="177"/>
      <c r="BJ458" s="253"/>
      <c r="BL458" s="193"/>
      <c r="BM458" s="194"/>
      <c r="BN458" s="194"/>
      <c r="BO458" s="195"/>
      <c r="BQ458" s="187"/>
      <c r="BR458" s="185"/>
      <c r="BS458" s="185"/>
      <c r="BT458" s="254"/>
      <c r="BV458" s="187"/>
      <c r="BW458" s="185"/>
      <c r="BX458" s="185"/>
      <c r="BY458" s="185"/>
      <c r="BZ458" s="254"/>
      <c r="CB458" s="187"/>
      <c r="CC458" s="185"/>
      <c r="CD458" s="185"/>
      <c r="CE458" s="185"/>
      <c r="CF458" s="254"/>
      <c r="CH458" s="253"/>
    </row>
    <row r="459" spans="1:86" ht="63">
      <c r="A459" s="1563"/>
      <c r="B459" s="215" t="s">
        <v>328</v>
      </c>
      <c r="C459" s="216" t="s">
        <v>313</v>
      </c>
      <c r="D459" s="217" t="s">
        <v>314</v>
      </c>
      <c r="F459" s="218">
        <v>55790</v>
      </c>
      <c r="G459" s="219">
        <v>62670</v>
      </c>
      <c r="H459" s="218">
        <v>47980</v>
      </c>
      <c r="I459" s="219">
        <v>54860</v>
      </c>
      <c r="J459" s="179" t="s">
        <v>182</v>
      </c>
      <c r="K459" s="220">
        <v>530</v>
      </c>
      <c r="L459" s="221">
        <v>590</v>
      </c>
      <c r="M459" s="222" t="s">
        <v>795</v>
      </c>
      <c r="N459" s="220">
        <v>460</v>
      </c>
      <c r="O459" s="221">
        <v>520</v>
      </c>
      <c r="P459" s="222" t="s">
        <v>795</v>
      </c>
      <c r="Q459" s="160" t="s">
        <v>182</v>
      </c>
      <c r="R459" s="223">
        <v>6880</v>
      </c>
      <c r="S459" s="224">
        <v>60</v>
      </c>
      <c r="T459" s="225" t="s">
        <v>184</v>
      </c>
      <c r="V459" s="182"/>
      <c r="W459" s="185"/>
      <c r="X459" s="176"/>
      <c r="Y459" s="185"/>
      <c r="Z459" s="176"/>
      <c r="AA459" s="176"/>
      <c r="AB459" s="177"/>
      <c r="AC459" s="160" t="s">
        <v>182</v>
      </c>
      <c r="AD459" s="1546">
        <v>14800</v>
      </c>
      <c r="AE459" s="227"/>
      <c r="AF459" s="176" t="s">
        <v>182</v>
      </c>
      <c r="AG459" s="176">
        <v>70</v>
      </c>
      <c r="AH459" s="177" t="s">
        <v>184</v>
      </c>
      <c r="AJ459" s="187" t="s">
        <v>203</v>
      </c>
      <c r="AK459" s="185"/>
      <c r="AL459" s="176" t="s">
        <v>182</v>
      </c>
      <c r="AM459" s="176">
        <v>50</v>
      </c>
      <c r="AN459" s="177" t="s">
        <v>316</v>
      </c>
      <c r="AO459" s="160" t="s">
        <v>182</v>
      </c>
      <c r="AP459" s="1550">
        <v>3600</v>
      </c>
      <c r="AQ459" s="1553">
        <v>4000</v>
      </c>
      <c r="AR459" s="1550">
        <v>2500</v>
      </c>
      <c r="AS459" s="1553">
        <v>2500</v>
      </c>
      <c r="AT459" s="1544" t="s">
        <v>664</v>
      </c>
      <c r="AU459" s="230" t="s">
        <v>697</v>
      </c>
      <c r="AV459" s="231">
        <v>7200</v>
      </c>
      <c r="AW459" s="232">
        <v>8100</v>
      </c>
      <c r="AX459" s="267">
        <v>5100</v>
      </c>
      <c r="AY459" s="252">
        <v>5100</v>
      </c>
      <c r="BA459" s="277"/>
      <c r="BB459" s="160" t="s">
        <v>182</v>
      </c>
      <c r="BC459" s="1556">
        <v>4700</v>
      </c>
      <c r="BD459" s="160" t="s">
        <v>182</v>
      </c>
      <c r="BE459" s="228">
        <v>3520</v>
      </c>
      <c r="BF459" s="226" t="s">
        <v>182</v>
      </c>
      <c r="BG459" s="226">
        <v>30</v>
      </c>
      <c r="BH459" s="217" t="s">
        <v>184</v>
      </c>
      <c r="BJ459" s="253"/>
      <c r="BK459" s="160" t="s">
        <v>188</v>
      </c>
      <c r="BL459" s="237" t="s">
        <v>317</v>
      </c>
      <c r="BM459" s="238" t="s">
        <v>317</v>
      </c>
      <c r="BN459" s="238" t="s">
        <v>317</v>
      </c>
      <c r="BO459" s="239" t="s">
        <v>317</v>
      </c>
      <c r="BP459" s="160" t="s">
        <v>188</v>
      </c>
      <c r="BQ459" s="228"/>
      <c r="BR459" s="229"/>
      <c r="BS459" s="229"/>
      <c r="BT459" s="240"/>
      <c r="BU459" s="160" t="s">
        <v>188</v>
      </c>
      <c r="BV459" s="228"/>
      <c r="BW459" s="229"/>
      <c r="BX459" s="229"/>
      <c r="BY459" s="229"/>
      <c r="BZ459" s="240"/>
      <c r="CA459" s="160" t="s">
        <v>188</v>
      </c>
      <c r="CB459" s="228"/>
      <c r="CC459" s="229"/>
      <c r="CD459" s="229"/>
      <c r="CE459" s="229"/>
      <c r="CF459" s="240"/>
      <c r="CH459" s="236" t="s">
        <v>324</v>
      </c>
    </row>
    <row r="460" spans="1:86">
      <c r="A460" s="1563"/>
      <c r="B460" s="168"/>
      <c r="C460" s="241"/>
      <c r="D460" s="177" t="s">
        <v>318</v>
      </c>
      <c r="F460" s="242">
        <v>62670</v>
      </c>
      <c r="G460" s="243">
        <v>119120</v>
      </c>
      <c r="H460" s="242">
        <v>54860</v>
      </c>
      <c r="I460" s="243">
        <v>111310</v>
      </c>
      <c r="J460" s="179" t="s">
        <v>182</v>
      </c>
      <c r="K460" s="244">
        <v>590</v>
      </c>
      <c r="L460" s="245">
        <v>1080</v>
      </c>
      <c r="M460" s="246" t="s">
        <v>795</v>
      </c>
      <c r="N460" s="244">
        <v>520</v>
      </c>
      <c r="O460" s="245">
        <v>1000</v>
      </c>
      <c r="P460" s="246" t="s">
        <v>795</v>
      </c>
      <c r="Q460" s="160" t="s">
        <v>182</v>
      </c>
      <c r="R460" s="187">
        <v>6880</v>
      </c>
      <c r="S460" s="185">
        <v>60</v>
      </c>
      <c r="T460" s="247" t="s">
        <v>184</v>
      </c>
      <c r="V460" s="278"/>
      <c r="W460" s="279" t="s">
        <v>705</v>
      </c>
      <c r="X460" s="176"/>
      <c r="Y460" s="279" t="s">
        <v>705</v>
      </c>
      <c r="Z460" s="279"/>
      <c r="AA460" s="176"/>
      <c r="AB460" s="177"/>
      <c r="AD460" s="1547"/>
      <c r="AE460" s="248">
        <v>13080</v>
      </c>
      <c r="AF460" s="176"/>
      <c r="AG460" s="176"/>
      <c r="AH460" s="177"/>
      <c r="AJ460" s="187"/>
      <c r="AK460" s="185"/>
      <c r="AL460" s="176"/>
      <c r="AM460" s="176"/>
      <c r="AN460" s="177"/>
      <c r="AP460" s="1551"/>
      <c r="AQ460" s="1554"/>
      <c r="AR460" s="1551"/>
      <c r="AS460" s="1554"/>
      <c r="AT460" s="1544"/>
      <c r="AU460" s="172" t="s">
        <v>699</v>
      </c>
      <c r="AV460" s="249">
        <v>4000</v>
      </c>
      <c r="AW460" s="250">
        <v>4400</v>
      </c>
      <c r="AX460" s="267">
        <v>2800</v>
      </c>
      <c r="AY460" s="252">
        <v>2800</v>
      </c>
      <c r="BA460" s="235" t="s">
        <v>667</v>
      </c>
      <c r="BC460" s="1557"/>
      <c r="BE460" s="187"/>
      <c r="BF460" s="176"/>
      <c r="BG460" s="176"/>
      <c r="BH460" s="177"/>
      <c r="BJ460" s="253"/>
      <c r="BL460" s="193"/>
      <c r="BM460" s="194"/>
      <c r="BN460" s="194"/>
      <c r="BO460" s="195"/>
      <c r="BQ460" s="187">
        <v>2120</v>
      </c>
      <c r="BR460" s="185" t="s">
        <v>199</v>
      </c>
      <c r="BS460" s="185">
        <v>20</v>
      </c>
      <c r="BT460" s="254" t="s">
        <v>184</v>
      </c>
      <c r="BV460" s="187">
        <v>6880</v>
      </c>
      <c r="BW460" s="185" t="s">
        <v>189</v>
      </c>
      <c r="BX460" s="185">
        <v>60</v>
      </c>
      <c r="BY460" s="185" t="s">
        <v>184</v>
      </c>
      <c r="BZ460" s="254" t="s">
        <v>190</v>
      </c>
      <c r="CB460" s="187">
        <v>4190</v>
      </c>
      <c r="CC460" s="185" t="s">
        <v>189</v>
      </c>
      <c r="CD460" s="185">
        <v>40</v>
      </c>
      <c r="CE460" s="185" t="s">
        <v>184</v>
      </c>
      <c r="CF460" s="254" t="s">
        <v>190</v>
      </c>
      <c r="CH460" s="253"/>
    </row>
    <row r="461" spans="1:86">
      <c r="A461" s="1563"/>
      <c r="B461" s="168"/>
      <c r="C461" s="241" t="s">
        <v>319</v>
      </c>
      <c r="D461" s="177" t="s">
        <v>320</v>
      </c>
      <c r="F461" s="242">
        <v>119120</v>
      </c>
      <c r="G461" s="243">
        <v>187950</v>
      </c>
      <c r="H461" s="242">
        <v>111310</v>
      </c>
      <c r="I461" s="243">
        <v>180140</v>
      </c>
      <c r="J461" s="179" t="s">
        <v>182</v>
      </c>
      <c r="K461" s="244">
        <v>1080</v>
      </c>
      <c r="L461" s="245">
        <v>1760</v>
      </c>
      <c r="M461" s="246" t="s">
        <v>795</v>
      </c>
      <c r="N461" s="244">
        <v>1000</v>
      </c>
      <c r="O461" s="245">
        <v>1680</v>
      </c>
      <c r="P461" s="246" t="s">
        <v>795</v>
      </c>
      <c r="R461" s="182"/>
      <c r="S461" s="176"/>
      <c r="T461" s="177"/>
      <c r="V461" s="182"/>
      <c r="W461" s="185">
        <v>286600</v>
      </c>
      <c r="X461" s="176"/>
      <c r="Y461" s="185">
        <v>2860</v>
      </c>
      <c r="Z461" s="176" t="s">
        <v>184</v>
      </c>
      <c r="AA461" s="176"/>
      <c r="AB461" s="177"/>
      <c r="AC461" s="160" t="s">
        <v>182</v>
      </c>
      <c r="AD461" s="1548">
        <v>13080</v>
      </c>
      <c r="AE461" s="255"/>
      <c r="AF461" s="176"/>
      <c r="AG461" s="176">
        <v>0</v>
      </c>
      <c r="AH461" s="177"/>
      <c r="AJ461" s="187">
        <v>5650</v>
      </c>
      <c r="AK461" s="185" t="s">
        <v>321</v>
      </c>
      <c r="AL461" s="176"/>
      <c r="AM461" s="176"/>
      <c r="AN461" s="177"/>
      <c r="AP461" s="1551"/>
      <c r="AQ461" s="1554"/>
      <c r="AR461" s="1551"/>
      <c r="AS461" s="1554"/>
      <c r="AT461" s="1544"/>
      <c r="AU461" s="172" t="s">
        <v>700</v>
      </c>
      <c r="AV461" s="249">
        <v>3500</v>
      </c>
      <c r="AW461" s="250">
        <v>3800</v>
      </c>
      <c r="AX461" s="267">
        <v>2400</v>
      </c>
      <c r="AY461" s="252">
        <v>2400</v>
      </c>
      <c r="BA461" s="235">
        <v>9770</v>
      </c>
      <c r="BC461" s="359"/>
      <c r="BE461" s="187"/>
      <c r="BF461" s="176"/>
      <c r="BG461" s="176"/>
      <c r="BH461" s="177"/>
      <c r="BJ461" s="253"/>
      <c r="BL461" s="193">
        <v>0.02</v>
      </c>
      <c r="BM461" s="194">
        <v>0.03</v>
      </c>
      <c r="BN461" s="194">
        <v>0.05</v>
      </c>
      <c r="BO461" s="195">
        <v>0.06</v>
      </c>
      <c r="BQ461" s="187"/>
      <c r="BR461" s="185"/>
      <c r="BS461" s="185"/>
      <c r="BT461" s="254"/>
      <c r="BV461" s="187"/>
      <c r="BW461" s="185"/>
      <c r="BX461" s="185"/>
      <c r="BY461" s="185"/>
      <c r="BZ461" s="254"/>
      <c r="CB461" s="187"/>
      <c r="CC461" s="185"/>
      <c r="CD461" s="185"/>
      <c r="CE461" s="185"/>
      <c r="CF461" s="254"/>
      <c r="CH461" s="253">
        <v>0.9</v>
      </c>
    </row>
    <row r="462" spans="1:86">
      <c r="A462" s="1563"/>
      <c r="B462" s="269"/>
      <c r="C462" s="270"/>
      <c r="D462" s="184" t="s">
        <v>322</v>
      </c>
      <c r="F462" s="256">
        <v>187950</v>
      </c>
      <c r="G462" s="257"/>
      <c r="H462" s="256">
        <v>180140</v>
      </c>
      <c r="I462" s="257"/>
      <c r="J462" s="179" t="s">
        <v>182</v>
      </c>
      <c r="K462" s="258">
        <v>1760</v>
      </c>
      <c r="L462" s="259"/>
      <c r="M462" s="260" t="s">
        <v>795</v>
      </c>
      <c r="N462" s="258">
        <v>1680</v>
      </c>
      <c r="O462" s="259"/>
      <c r="P462" s="260" t="s">
        <v>795</v>
      </c>
      <c r="R462" s="183"/>
      <c r="S462" s="271"/>
      <c r="T462" s="184"/>
      <c r="V462" s="182"/>
      <c r="W462" s="185"/>
      <c r="X462" s="176"/>
      <c r="Y462" s="185"/>
      <c r="Z462" s="176"/>
      <c r="AA462" s="176"/>
      <c r="AB462" s="177"/>
      <c r="AD462" s="1549"/>
      <c r="AE462" s="261"/>
      <c r="AF462" s="176"/>
      <c r="AG462" s="176"/>
      <c r="AH462" s="177"/>
      <c r="AJ462" s="187"/>
      <c r="AK462" s="185"/>
      <c r="AL462" s="176"/>
      <c r="AM462" s="176"/>
      <c r="AN462" s="177"/>
      <c r="AP462" s="1552"/>
      <c r="AQ462" s="1555"/>
      <c r="AR462" s="1552"/>
      <c r="AS462" s="1555"/>
      <c r="AT462" s="1544"/>
      <c r="AU462" s="262" t="s">
        <v>701</v>
      </c>
      <c r="AV462" s="263">
        <v>3100</v>
      </c>
      <c r="AW462" s="264">
        <v>3400</v>
      </c>
      <c r="AX462" s="265">
        <v>2100</v>
      </c>
      <c r="AY462" s="266">
        <v>2100</v>
      </c>
      <c r="BA462" s="277"/>
      <c r="BC462" s="359"/>
      <c r="BE462" s="186"/>
      <c r="BF462" s="271"/>
      <c r="BG462" s="271"/>
      <c r="BH462" s="184"/>
      <c r="BJ462" s="253"/>
      <c r="BL462" s="272"/>
      <c r="BM462" s="273"/>
      <c r="BN462" s="273"/>
      <c r="BO462" s="274"/>
      <c r="BQ462" s="186"/>
      <c r="BR462" s="196"/>
      <c r="BS462" s="196"/>
      <c r="BT462" s="197"/>
      <c r="BV462" s="186"/>
      <c r="BW462" s="196"/>
      <c r="BX462" s="196"/>
      <c r="BY462" s="196"/>
      <c r="BZ462" s="197"/>
      <c r="CB462" s="186"/>
      <c r="CC462" s="196"/>
      <c r="CD462" s="196"/>
      <c r="CE462" s="196"/>
      <c r="CF462" s="197"/>
      <c r="CH462" s="198"/>
    </row>
    <row r="463" spans="1:86" ht="63">
      <c r="A463" s="1563"/>
      <c r="B463" s="168" t="s">
        <v>329</v>
      </c>
      <c r="C463" s="241" t="s">
        <v>313</v>
      </c>
      <c r="D463" s="177" t="s">
        <v>314</v>
      </c>
      <c r="F463" s="218">
        <v>50160</v>
      </c>
      <c r="G463" s="219">
        <v>57040</v>
      </c>
      <c r="H463" s="218">
        <v>43460</v>
      </c>
      <c r="I463" s="219">
        <v>50340</v>
      </c>
      <c r="J463" s="179" t="s">
        <v>182</v>
      </c>
      <c r="K463" s="220">
        <v>480</v>
      </c>
      <c r="L463" s="221">
        <v>540</v>
      </c>
      <c r="M463" s="222" t="s">
        <v>795</v>
      </c>
      <c r="N463" s="220">
        <v>410</v>
      </c>
      <c r="O463" s="221">
        <v>470</v>
      </c>
      <c r="P463" s="222" t="s">
        <v>795</v>
      </c>
      <c r="Q463" s="160" t="s">
        <v>182</v>
      </c>
      <c r="R463" s="275">
        <v>6880</v>
      </c>
      <c r="S463" s="276">
        <v>60</v>
      </c>
      <c r="T463" s="247" t="s">
        <v>184</v>
      </c>
      <c r="V463" s="278"/>
      <c r="W463" s="279" t="s">
        <v>706</v>
      </c>
      <c r="X463" s="176"/>
      <c r="Y463" s="279" t="s">
        <v>706</v>
      </c>
      <c r="Z463" s="279"/>
      <c r="AA463" s="176"/>
      <c r="AB463" s="177"/>
      <c r="AC463" s="160" t="s">
        <v>182</v>
      </c>
      <c r="AD463" s="1546">
        <v>13680</v>
      </c>
      <c r="AE463" s="227"/>
      <c r="AF463" s="226" t="s">
        <v>182</v>
      </c>
      <c r="AG463" s="226">
        <v>60</v>
      </c>
      <c r="AH463" s="217" t="s">
        <v>184</v>
      </c>
      <c r="AJ463" s="187" t="s">
        <v>205</v>
      </c>
      <c r="AK463" s="185"/>
      <c r="AL463" s="176" t="s">
        <v>182</v>
      </c>
      <c r="AM463" s="176">
        <v>40</v>
      </c>
      <c r="AN463" s="177" t="s">
        <v>316</v>
      </c>
      <c r="AO463" s="160" t="s">
        <v>182</v>
      </c>
      <c r="AP463" s="1550">
        <v>3100</v>
      </c>
      <c r="AQ463" s="1553">
        <v>3400</v>
      </c>
      <c r="AR463" s="1550">
        <v>2100</v>
      </c>
      <c r="AS463" s="1553">
        <v>2100</v>
      </c>
      <c r="AT463" s="1544" t="s">
        <v>664</v>
      </c>
      <c r="AU463" s="230" t="s">
        <v>697</v>
      </c>
      <c r="AV463" s="231">
        <v>6300</v>
      </c>
      <c r="AW463" s="232">
        <v>7100</v>
      </c>
      <c r="AX463" s="267">
        <v>4400</v>
      </c>
      <c r="AY463" s="252">
        <v>4400</v>
      </c>
      <c r="BA463" s="235" t="s">
        <v>668</v>
      </c>
      <c r="BB463" s="160" t="s">
        <v>182</v>
      </c>
      <c r="BC463" s="1556">
        <v>4700</v>
      </c>
      <c r="BD463" s="160" t="s">
        <v>182</v>
      </c>
      <c r="BE463" s="187">
        <v>3010</v>
      </c>
      <c r="BF463" s="176" t="s">
        <v>182</v>
      </c>
      <c r="BG463" s="176">
        <v>30</v>
      </c>
      <c r="BH463" s="177" t="s">
        <v>184</v>
      </c>
      <c r="BJ463" s="253"/>
      <c r="BK463" s="160" t="s">
        <v>188</v>
      </c>
      <c r="BL463" s="193" t="s">
        <v>317</v>
      </c>
      <c r="BM463" s="194" t="s">
        <v>317</v>
      </c>
      <c r="BN463" s="194" t="s">
        <v>317</v>
      </c>
      <c r="BO463" s="195" t="s">
        <v>317</v>
      </c>
      <c r="BP463" s="160" t="s">
        <v>188</v>
      </c>
      <c r="BQ463" s="187"/>
      <c r="BR463" s="185"/>
      <c r="BS463" s="185"/>
      <c r="BT463" s="254"/>
      <c r="BU463" s="160" t="s">
        <v>188</v>
      </c>
      <c r="BV463" s="187"/>
      <c r="BW463" s="185"/>
      <c r="BX463" s="185"/>
      <c r="BY463" s="185"/>
      <c r="BZ463" s="254"/>
      <c r="CA463" s="160" t="s">
        <v>188</v>
      </c>
      <c r="CB463" s="187"/>
      <c r="CC463" s="185"/>
      <c r="CD463" s="185"/>
      <c r="CE463" s="185"/>
      <c r="CF463" s="254"/>
      <c r="CH463" s="253" t="s">
        <v>324</v>
      </c>
    </row>
    <row r="464" spans="1:86">
      <c r="A464" s="1563"/>
      <c r="B464" s="168"/>
      <c r="C464" s="241"/>
      <c r="D464" s="177" t="s">
        <v>318</v>
      </c>
      <c r="F464" s="242">
        <v>57040</v>
      </c>
      <c r="G464" s="243">
        <v>113490</v>
      </c>
      <c r="H464" s="242">
        <v>50340</v>
      </c>
      <c r="I464" s="243">
        <v>106790</v>
      </c>
      <c r="J464" s="179" t="s">
        <v>182</v>
      </c>
      <c r="K464" s="244">
        <v>540</v>
      </c>
      <c r="L464" s="245">
        <v>1020</v>
      </c>
      <c r="M464" s="246" t="s">
        <v>795</v>
      </c>
      <c r="N464" s="244">
        <v>470</v>
      </c>
      <c r="O464" s="245">
        <v>950</v>
      </c>
      <c r="P464" s="246" t="s">
        <v>795</v>
      </c>
      <c r="Q464" s="160" t="s">
        <v>182</v>
      </c>
      <c r="R464" s="187">
        <v>6880</v>
      </c>
      <c r="S464" s="185">
        <v>60</v>
      </c>
      <c r="T464" s="247" t="s">
        <v>184</v>
      </c>
      <c r="V464" s="182"/>
      <c r="W464" s="185">
        <v>319900</v>
      </c>
      <c r="X464" s="176"/>
      <c r="Y464" s="185">
        <v>3190</v>
      </c>
      <c r="Z464" s="176" t="s">
        <v>184</v>
      </c>
      <c r="AA464" s="176"/>
      <c r="AB464" s="177"/>
      <c r="AD464" s="1547"/>
      <c r="AE464" s="248">
        <v>11950</v>
      </c>
      <c r="AF464" s="176"/>
      <c r="AG464" s="176"/>
      <c r="AH464" s="177"/>
      <c r="AJ464" s="187"/>
      <c r="AK464" s="185"/>
      <c r="AL464" s="176"/>
      <c r="AM464" s="176"/>
      <c r="AN464" s="177"/>
      <c r="AP464" s="1551"/>
      <c r="AQ464" s="1554"/>
      <c r="AR464" s="1551"/>
      <c r="AS464" s="1554"/>
      <c r="AT464" s="1544"/>
      <c r="AU464" s="172" t="s">
        <v>699</v>
      </c>
      <c r="AV464" s="249">
        <v>3500</v>
      </c>
      <c r="AW464" s="250">
        <v>3900</v>
      </c>
      <c r="AX464" s="267">
        <v>2400</v>
      </c>
      <c r="AY464" s="252">
        <v>2400</v>
      </c>
      <c r="BA464" s="235">
        <v>7500</v>
      </c>
      <c r="BC464" s="1557"/>
      <c r="BE464" s="187"/>
      <c r="BF464" s="176"/>
      <c r="BG464" s="176"/>
      <c r="BH464" s="177"/>
      <c r="BJ464" s="253"/>
      <c r="BL464" s="193"/>
      <c r="BM464" s="194"/>
      <c r="BN464" s="194"/>
      <c r="BO464" s="195"/>
      <c r="BQ464" s="187">
        <v>1810</v>
      </c>
      <c r="BR464" s="185" t="s">
        <v>199</v>
      </c>
      <c r="BS464" s="185">
        <v>10</v>
      </c>
      <c r="BT464" s="254" t="s">
        <v>184</v>
      </c>
      <c r="BV464" s="187">
        <v>5900</v>
      </c>
      <c r="BW464" s="185" t="s">
        <v>189</v>
      </c>
      <c r="BX464" s="185">
        <v>50</v>
      </c>
      <c r="BY464" s="185" t="s">
        <v>184</v>
      </c>
      <c r="BZ464" s="254" t="s">
        <v>190</v>
      </c>
      <c r="CB464" s="187">
        <v>3590</v>
      </c>
      <c r="CC464" s="185" t="s">
        <v>189</v>
      </c>
      <c r="CD464" s="185">
        <v>30</v>
      </c>
      <c r="CE464" s="185" t="s">
        <v>184</v>
      </c>
      <c r="CF464" s="254" t="s">
        <v>190</v>
      </c>
      <c r="CH464" s="253"/>
    </row>
    <row r="465" spans="1:86">
      <c r="A465" s="1563"/>
      <c r="B465" s="168"/>
      <c r="C465" s="241" t="s">
        <v>319</v>
      </c>
      <c r="D465" s="177" t="s">
        <v>320</v>
      </c>
      <c r="F465" s="242">
        <v>113490</v>
      </c>
      <c r="G465" s="243">
        <v>182320</v>
      </c>
      <c r="H465" s="242">
        <v>106790</v>
      </c>
      <c r="I465" s="243">
        <v>175620</v>
      </c>
      <c r="J465" s="179" t="s">
        <v>182</v>
      </c>
      <c r="K465" s="244">
        <v>1020</v>
      </c>
      <c r="L465" s="245">
        <v>1700</v>
      </c>
      <c r="M465" s="246" t="s">
        <v>795</v>
      </c>
      <c r="N465" s="244">
        <v>950</v>
      </c>
      <c r="O465" s="245">
        <v>1630</v>
      </c>
      <c r="P465" s="246" t="s">
        <v>795</v>
      </c>
      <c r="R465" s="182"/>
      <c r="S465" s="176"/>
      <c r="T465" s="177"/>
      <c r="V465" s="182"/>
      <c r="W465" s="185"/>
      <c r="X465" s="176"/>
      <c r="Y465" s="185"/>
      <c r="Z465" s="176"/>
      <c r="AA465" s="176"/>
      <c r="AB465" s="177"/>
      <c r="AC465" s="160" t="s">
        <v>182</v>
      </c>
      <c r="AD465" s="1548">
        <v>11950</v>
      </c>
      <c r="AE465" s="255"/>
      <c r="AF465" s="176"/>
      <c r="AG465" s="176">
        <v>0</v>
      </c>
      <c r="AH465" s="177"/>
      <c r="AJ465" s="187">
        <v>4710</v>
      </c>
      <c r="AK465" s="185" t="s">
        <v>321</v>
      </c>
      <c r="AL465" s="176"/>
      <c r="AM465" s="176"/>
      <c r="AN465" s="177"/>
      <c r="AP465" s="1551"/>
      <c r="AQ465" s="1554"/>
      <c r="AR465" s="1551"/>
      <c r="AS465" s="1554"/>
      <c r="AT465" s="1544"/>
      <c r="AU465" s="172" t="s">
        <v>700</v>
      </c>
      <c r="AV465" s="249">
        <v>3000</v>
      </c>
      <c r="AW465" s="250">
        <v>3400</v>
      </c>
      <c r="AX465" s="267">
        <v>2100</v>
      </c>
      <c r="AY465" s="252">
        <v>2100</v>
      </c>
      <c r="BA465" s="277"/>
      <c r="BC465" s="359"/>
      <c r="BE465" s="187"/>
      <c r="BF465" s="176"/>
      <c r="BG465" s="176"/>
      <c r="BH465" s="177"/>
      <c r="BJ465" s="253"/>
      <c r="BL465" s="193">
        <v>0.02</v>
      </c>
      <c r="BM465" s="194">
        <v>0.03</v>
      </c>
      <c r="BN465" s="194">
        <v>0.05</v>
      </c>
      <c r="BO465" s="195">
        <v>0.06</v>
      </c>
      <c r="BQ465" s="187"/>
      <c r="BR465" s="185"/>
      <c r="BS465" s="185"/>
      <c r="BT465" s="254"/>
      <c r="BV465" s="187"/>
      <c r="BW465" s="185"/>
      <c r="BX465" s="185"/>
      <c r="BY465" s="185"/>
      <c r="BZ465" s="254"/>
      <c r="CB465" s="187"/>
      <c r="CC465" s="185"/>
      <c r="CD465" s="185"/>
      <c r="CE465" s="185"/>
      <c r="CF465" s="254"/>
      <c r="CH465" s="253">
        <v>0.92</v>
      </c>
    </row>
    <row r="466" spans="1:86">
      <c r="A466" s="1563"/>
      <c r="B466" s="168"/>
      <c r="C466" s="241"/>
      <c r="D466" s="177" t="s">
        <v>322</v>
      </c>
      <c r="F466" s="256">
        <v>182320</v>
      </c>
      <c r="G466" s="257"/>
      <c r="H466" s="256">
        <v>175620</v>
      </c>
      <c r="I466" s="257"/>
      <c r="J466" s="179" t="s">
        <v>182</v>
      </c>
      <c r="K466" s="258">
        <v>1700</v>
      </c>
      <c r="L466" s="259"/>
      <c r="M466" s="260" t="s">
        <v>795</v>
      </c>
      <c r="N466" s="258">
        <v>1630</v>
      </c>
      <c r="O466" s="259"/>
      <c r="P466" s="260" t="s">
        <v>795</v>
      </c>
      <c r="R466" s="182"/>
      <c r="S466" s="176"/>
      <c r="T466" s="177"/>
      <c r="V466" s="278"/>
      <c r="W466" s="279" t="s">
        <v>707</v>
      </c>
      <c r="X466" s="176"/>
      <c r="Y466" s="279" t="s">
        <v>707</v>
      </c>
      <c r="Z466" s="279"/>
      <c r="AA466" s="176"/>
      <c r="AB466" s="177"/>
      <c r="AD466" s="1549"/>
      <c r="AE466" s="261"/>
      <c r="AF466" s="271"/>
      <c r="AG466" s="271"/>
      <c r="AH466" s="184"/>
      <c r="AJ466" s="187"/>
      <c r="AK466" s="185"/>
      <c r="AL466" s="176"/>
      <c r="AM466" s="176"/>
      <c r="AN466" s="177"/>
      <c r="AP466" s="1552"/>
      <c r="AQ466" s="1555"/>
      <c r="AR466" s="1552"/>
      <c r="AS466" s="1555"/>
      <c r="AT466" s="1544"/>
      <c r="AU466" s="262" t="s">
        <v>701</v>
      </c>
      <c r="AV466" s="263">
        <v>2700</v>
      </c>
      <c r="AW466" s="264">
        <v>3000</v>
      </c>
      <c r="AX466" s="265">
        <v>1900</v>
      </c>
      <c r="AY466" s="266">
        <v>1900</v>
      </c>
      <c r="BA466" s="235" t="s">
        <v>669</v>
      </c>
      <c r="BC466" s="359"/>
      <c r="BE466" s="187"/>
      <c r="BF466" s="176"/>
      <c r="BG466" s="176"/>
      <c r="BH466" s="177"/>
      <c r="BJ466" s="253"/>
      <c r="BL466" s="193"/>
      <c r="BM466" s="194"/>
      <c r="BN466" s="194"/>
      <c r="BO466" s="195"/>
      <c r="BQ466" s="187"/>
      <c r="BR466" s="185"/>
      <c r="BS466" s="185"/>
      <c r="BT466" s="254"/>
      <c r="BV466" s="187"/>
      <c r="BW466" s="185"/>
      <c r="BX466" s="185"/>
      <c r="BY466" s="185"/>
      <c r="BZ466" s="254"/>
      <c r="CB466" s="187"/>
      <c r="CC466" s="185"/>
      <c r="CD466" s="185"/>
      <c r="CE466" s="185"/>
      <c r="CF466" s="254"/>
      <c r="CH466" s="253"/>
    </row>
    <row r="467" spans="1:86" ht="63">
      <c r="A467" s="1563"/>
      <c r="B467" s="215" t="s">
        <v>330</v>
      </c>
      <c r="C467" s="216" t="s">
        <v>313</v>
      </c>
      <c r="D467" s="217" t="s">
        <v>314</v>
      </c>
      <c r="F467" s="218">
        <v>45980</v>
      </c>
      <c r="G467" s="219">
        <v>52860</v>
      </c>
      <c r="H467" s="218">
        <v>40120</v>
      </c>
      <c r="I467" s="219">
        <v>47000</v>
      </c>
      <c r="J467" s="179" t="s">
        <v>182</v>
      </c>
      <c r="K467" s="220">
        <v>440</v>
      </c>
      <c r="L467" s="221">
        <v>500</v>
      </c>
      <c r="M467" s="222" t="s">
        <v>795</v>
      </c>
      <c r="N467" s="220">
        <v>380</v>
      </c>
      <c r="O467" s="221">
        <v>440</v>
      </c>
      <c r="P467" s="222" t="s">
        <v>795</v>
      </c>
      <c r="Q467" s="160" t="s">
        <v>182</v>
      </c>
      <c r="R467" s="223">
        <v>6880</v>
      </c>
      <c r="S467" s="224">
        <v>60</v>
      </c>
      <c r="T467" s="225" t="s">
        <v>184</v>
      </c>
      <c r="V467" s="182"/>
      <c r="W467" s="185">
        <v>353100</v>
      </c>
      <c r="X467" s="176"/>
      <c r="Y467" s="185">
        <v>3530</v>
      </c>
      <c r="Z467" s="176" t="s">
        <v>184</v>
      </c>
      <c r="AA467" s="176"/>
      <c r="AB467" s="177"/>
      <c r="AC467" s="160" t="s">
        <v>182</v>
      </c>
      <c r="AD467" s="1546">
        <v>12830</v>
      </c>
      <c r="AE467" s="227"/>
      <c r="AF467" s="176" t="s">
        <v>182</v>
      </c>
      <c r="AG467" s="176">
        <v>50</v>
      </c>
      <c r="AH467" s="177" t="s">
        <v>184</v>
      </c>
      <c r="AJ467" s="187" t="s">
        <v>207</v>
      </c>
      <c r="AK467" s="185"/>
      <c r="AL467" s="176" t="s">
        <v>182</v>
      </c>
      <c r="AM467" s="176">
        <v>40</v>
      </c>
      <c r="AN467" s="177" t="s">
        <v>316</v>
      </c>
      <c r="AO467" s="160" t="s">
        <v>182</v>
      </c>
      <c r="AP467" s="1550">
        <v>3500</v>
      </c>
      <c r="AQ467" s="1553">
        <v>3900</v>
      </c>
      <c r="AR467" s="1550">
        <v>2500</v>
      </c>
      <c r="AS467" s="1553">
        <v>2500</v>
      </c>
      <c r="AT467" s="1544" t="s">
        <v>664</v>
      </c>
      <c r="AU467" s="230" t="s">
        <v>697</v>
      </c>
      <c r="AV467" s="231">
        <v>7100</v>
      </c>
      <c r="AW467" s="232">
        <v>7900</v>
      </c>
      <c r="AX467" s="267">
        <v>4900</v>
      </c>
      <c r="AY467" s="252">
        <v>4900</v>
      </c>
      <c r="BA467" s="235">
        <v>6130</v>
      </c>
      <c r="BB467" s="160" t="s">
        <v>182</v>
      </c>
      <c r="BC467" s="1556">
        <v>4700</v>
      </c>
      <c r="BD467" s="160" t="s">
        <v>182</v>
      </c>
      <c r="BE467" s="228">
        <v>2640</v>
      </c>
      <c r="BF467" s="226" t="s">
        <v>182</v>
      </c>
      <c r="BG467" s="226">
        <v>20</v>
      </c>
      <c r="BH467" s="217" t="s">
        <v>184</v>
      </c>
      <c r="BJ467" s="253"/>
      <c r="BK467" s="160" t="s">
        <v>188</v>
      </c>
      <c r="BL467" s="237" t="s">
        <v>317</v>
      </c>
      <c r="BM467" s="238" t="s">
        <v>317</v>
      </c>
      <c r="BN467" s="238" t="s">
        <v>317</v>
      </c>
      <c r="BO467" s="239" t="s">
        <v>317</v>
      </c>
      <c r="BP467" s="160" t="s">
        <v>188</v>
      </c>
      <c r="BQ467" s="228"/>
      <c r="BR467" s="229"/>
      <c r="BS467" s="229"/>
      <c r="BT467" s="240"/>
      <c r="BU467" s="160" t="s">
        <v>188</v>
      </c>
      <c r="BV467" s="228"/>
      <c r="BW467" s="229"/>
      <c r="BX467" s="229"/>
      <c r="BY467" s="229"/>
      <c r="BZ467" s="240"/>
      <c r="CA467" s="160" t="s">
        <v>188</v>
      </c>
      <c r="CB467" s="228"/>
      <c r="CC467" s="229"/>
      <c r="CD467" s="229"/>
      <c r="CE467" s="229"/>
      <c r="CF467" s="240"/>
      <c r="CH467" s="236" t="s">
        <v>324</v>
      </c>
    </row>
    <row r="468" spans="1:86">
      <c r="A468" s="1563"/>
      <c r="B468" s="168"/>
      <c r="C468" s="241"/>
      <c r="D468" s="177" t="s">
        <v>318</v>
      </c>
      <c r="F468" s="242">
        <v>52860</v>
      </c>
      <c r="G468" s="243">
        <v>109310</v>
      </c>
      <c r="H468" s="242">
        <v>47000</v>
      </c>
      <c r="I468" s="243">
        <v>103450</v>
      </c>
      <c r="J468" s="179" t="s">
        <v>182</v>
      </c>
      <c r="K468" s="244">
        <v>500</v>
      </c>
      <c r="L468" s="245">
        <v>980</v>
      </c>
      <c r="M468" s="246" t="s">
        <v>795</v>
      </c>
      <c r="N468" s="244">
        <v>440</v>
      </c>
      <c r="O468" s="245">
        <v>920</v>
      </c>
      <c r="P468" s="246" t="s">
        <v>795</v>
      </c>
      <c r="Q468" s="160" t="s">
        <v>182</v>
      </c>
      <c r="R468" s="187">
        <v>6880</v>
      </c>
      <c r="S468" s="185">
        <v>60</v>
      </c>
      <c r="T468" s="247" t="s">
        <v>184</v>
      </c>
      <c r="V468" s="182"/>
      <c r="W468" s="185"/>
      <c r="X468" s="176"/>
      <c r="Y468" s="185"/>
      <c r="Z468" s="176"/>
      <c r="AA468" s="176"/>
      <c r="AB468" s="177"/>
      <c r="AD468" s="1547"/>
      <c r="AE468" s="248">
        <v>11100</v>
      </c>
      <c r="AF468" s="176"/>
      <c r="AG468" s="176"/>
      <c r="AH468" s="177"/>
      <c r="AJ468" s="187"/>
      <c r="AK468" s="185"/>
      <c r="AL468" s="176"/>
      <c r="AM468" s="176"/>
      <c r="AN468" s="177"/>
      <c r="AP468" s="1551"/>
      <c r="AQ468" s="1554"/>
      <c r="AR468" s="1551"/>
      <c r="AS468" s="1554"/>
      <c r="AT468" s="1544"/>
      <c r="AU468" s="172" t="s">
        <v>699</v>
      </c>
      <c r="AV468" s="249">
        <v>3900</v>
      </c>
      <c r="AW468" s="250">
        <v>4300</v>
      </c>
      <c r="AX468" s="267">
        <v>2700</v>
      </c>
      <c r="AY468" s="252">
        <v>2700</v>
      </c>
      <c r="BA468" s="277"/>
      <c r="BC468" s="1557"/>
      <c r="BE468" s="187"/>
      <c r="BF468" s="176"/>
      <c r="BG468" s="176"/>
      <c r="BH468" s="177"/>
      <c r="BJ468" s="253"/>
      <c r="BL468" s="193"/>
      <c r="BM468" s="194"/>
      <c r="BN468" s="194"/>
      <c r="BO468" s="195"/>
      <c r="BQ468" s="187">
        <v>1590</v>
      </c>
      <c r="BR468" s="185" t="s">
        <v>199</v>
      </c>
      <c r="BS468" s="185">
        <v>10</v>
      </c>
      <c r="BT468" s="254" t="s">
        <v>184</v>
      </c>
      <c r="BV468" s="187">
        <v>5160</v>
      </c>
      <c r="BW468" s="185" t="s">
        <v>189</v>
      </c>
      <c r="BX468" s="185">
        <v>50</v>
      </c>
      <c r="BY468" s="185" t="s">
        <v>184</v>
      </c>
      <c r="BZ468" s="254" t="s">
        <v>190</v>
      </c>
      <c r="CB468" s="187">
        <v>3140</v>
      </c>
      <c r="CC468" s="185" t="s">
        <v>189</v>
      </c>
      <c r="CD468" s="185">
        <v>30</v>
      </c>
      <c r="CE468" s="185" t="s">
        <v>184</v>
      </c>
      <c r="CF468" s="254" t="s">
        <v>190</v>
      </c>
      <c r="CH468" s="253"/>
    </row>
    <row r="469" spans="1:86">
      <c r="A469" s="1563"/>
      <c r="B469" s="168"/>
      <c r="C469" s="241" t="s">
        <v>319</v>
      </c>
      <c r="D469" s="177" t="s">
        <v>320</v>
      </c>
      <c r="F469" s="242">
        <v>109310</v>
      </c>
      <c r="G469" s="243">
        <v>178140</v>
      </c>
      <c r="H469" s="242">
        <v>103450</v>
      </c>
      <c r="I469" s="243">
        <v>172280</v>
      </c>
      <c r="J469" s="179" t="s">
        <v>182</v>
      </c>
      <c r="K469" s="244">
        <v>980</v>
      </c>
      <c r="L469" s="245">
        <v>1660</v>
      </c>
      <c r="M469" s="246" t="s">
        <v>795</v>
      </c>
      <c r="N469" s="244">
        <v>920</v>
      </c>
      <c r="O469" s="245">
        <v>1600</v>
      </c>
      <c r="P469" s="246" t="s">
        <v>795</v>
      </c>
      <c r="R469" s="182"/>
      <c r="S469" s="176"/>
      <c r="T469" s="177"/>
      <c r="V469" s="278"/>
      <c r="W469" s="279" t="s">
        <v>708</v>
      </c>
      <c r="X469" s="176"/>
      <c r="Y469" s="279" t="s">
        <v>708</v>
      </c>
      <c r="Z469" s="279"/>
      <c r="AA469" s="176"/>
      <c r="AB469" s="177"/>
      <c r="AC469" s="160" t="s">
        <v>182</v>
      </c>
      <c r="AD469" s="1548">
        <v>11100</v>
      </c>
      <c r="AE469" s="255"/>
      <c r="AF469" s="176"/>
      <c r="AG469" s="176">
        <v>0</v>
      </c>
      <c r="AH469" s="177"/>
      <c r="AJ469" s="187">
        <v>4040</v>
      </c>
      <c r="AK469" s="185" t="s">
        <v>321</v>
      </c>
      <c r="AL469" s="176"/>
      <c r="AM469" s="176"/>
      <c r="AN469" s="177"/>
      <c r="AP469" s="1551"/>
      <c r="AQ469" s="1554"/>
      <c r="AR469" s="1551"/>
      <c r="AS469" s="1554"/>
      <c r="AT469" s="1544"/>
      <c r="AU469" s="172" t="s">
        <v>700</v>
      </c>
      <c r="AV469" s="249">
        <v>3400</v>
      </c>
      <c r="AW469" s="250">
        <v>3800</v>
      </c>
      <c r="AX469" s="267">
        <v>2300</v>
      </c>
      <c r="AY469" s="252">
        <v>2300</v>
      </c>
      <c r="BA469" s="235" t="s">
        <v>670</v>
      </c>
      <c r="BC469" s="359"/>
      <c r="BE469" s="187"/>
      <c r="BF469" s="176"/>
      <c r="BG469" s="176"/>
      <c r="BH469" s="177"/>
      <c r="BJ469" s="253"/>
      <c r="BL469" s="193">
        <v>0.02</v>
      </c>
      <c r="BM469" s="194">
        <v>0.03</v>
      </c>
      <c r="BN469" s="194">
        <v>0.05</v>
      </c>
      <c r="BO469" s="195">
        <v>0.06</v>
      </c>
      <c r="BQ469" s="187"/>
      <c r="BR469" s="185"/>
      <c r="BS469" s="185"/>
      <c r="BT469" s="254"/>
      <c r="BV469" s="187"/>
      <c r="BW469" s="185"/>
      <c r="BX469" s="185"/>
      <c r="BY469" s="185"/>
      <c r="BZ469" s="254"/>
      <c r="CB469" s="187"/>
      <c r="CC469" s="185"/>
      <c r="CD469" s="185"/>
      <c r="CE469" s="185"/>
      <c r="CF469" s="254"/>
      <c r="CH469" s="253">
        <v>0.89</v>
      </c>
    </row>
    <row r="470" spans="1:86">
      <c r="A470" s="1563"/>
      <c r="B470" s="269"/>
      <c r="C470" s="270"/>
      <c r="D470" s="184" t="s">
        <v>322</v>
      </c>
      <c r="F470" s="256">
        <v>178140</v>
      </c>
      <c r="G470" s="257"/>
      <c r="H470" s="256">
        <v>172280</v>
      </c>
      <c r="I470" s="257"/>
      <c r="J470" s="179" t="s">
        <v>182</v>
      </c>
      <c r="K470" s="258">
        <v>1660</v>
      </c>
      <c r="L470" s="259"/>
      <c r="M470" s="260" t="s">
        <v>795</v>
      </c>
      <c r="N470" s="258">
        <v>1600</v>
      </c>
      <c r="O470" s="259"/>
      <c r="P470" s="260" t="s">
        <v>795</v>
      </c>
      <c r="R470" s="183"/>
      <c r="S470" s="271"/>
      <c r="T470" s="184"/>
      <c r="V470" s="182"/>
      <c r="W470" s="185">
        <v>386400</v>
      </c>
      <c r="X470" s="176"/>
      <c r="Y470" s="185">
        <v>3860</v>
      </c>
      <c r="Z470" s="176" t="s">
        <v>184</v>
      </c>
      <c r="AA470" s="176"/>
      <c r="AB470" s="177"/>
      <c r="AD470" s="1549"/>
      <c r="AE470" s="261"/>
      <c r="AF470" s="176"/>
      <c r="AG470" s="176"/>
      <c r="AH470" s="177"/>
      <c r="AJ470" s="187"/>
      <c r="AK470" s="185"/>
      <c r="AL470" s="176"/>
      <c r="AM470" s="176"/>
      <c r="AN470" s="177"/>
      <c r="AP470" s="1552"/>
      <c r="AQ470" s="1555"/>
      <c r="AR470" s="1552"/>
      <c r="AS470" s="1555"/>
      <c r="AT470" s="1544"/>
      <c r="AU470" s="262" t="s">
        <v>701</v>
      </c>
      <c r="AV470" s="263">
        <v>3000</v>
      </c>
      <c r="AW470" s="264">
        <v>3400</v>
      </c>
      <c r="AX470" s="265">
        <v>2100</v>
      </c>
      <c r="AY470" s="266">
        <v>2100</v>
      </c>
      <c r="BA470" s="235">
        <v>5220</v>
      </c>
      <c r="BC470" s="359"/>
      <c r="BE470" s="186"/>
      <c r="BF470" s="271"/>
      <c r="BG470" s="271"/>
      <c r="BH470" s="184"/>
      <c r="BJ470" s="253"/>
      <c r="BL470" s="272"/>
      <c r="BM470" s="273"/>
      <c r="BN470" s="273"/>
      <c r="BO470" s="274"/>
      <c r="BQ470" s="186"/>
      <c r="BR470" s="196"/>
      <c r="BS470" s="196"/>
      <c r="BT470" s="197"/>
      <c r="BV470" s="186"/>
      <c r="BW470" s="196"/>
      <c r="BX470" s="196"/>
      <c r="BY470" s="196"/>
      <c r="BZ470" s="197"/>
      <c r="CB470" s="186"/>
      <c r="CC470" s="196"/>
      <c r="CD470" s="196"/>
      <c r="CE470" s="196"/>
      <c r="CF470" s="197"/>
      <c r="CH470" s="198"/>
    </row>
    <row r="471" spans="1:86" ht="63">
      <c r="A471" s="1563"/>
      <c r="B471" s="168" t="s">
        <v>331</v>
      </c>
      <c r="C471" s="241" t="s">
        <v>313</v>
      </c>
      <c r="D471" s="177" t="s">
        <v>314</v>
      </c>
      <c r="F471" s="218">
        <v>42690</v>
      </c>
      <c r="G471" s="219">
        <v>49570</v>
      </c>
      <c r="H471" s="218">
        <v>37480</v>
      </c>
      <c r="I471" s="219">
        <v>44360</v>
      </c>
      <c r="J471" s="179" t="s">
        <v>182</v>
      </c>
      <c r="K471" s="220">
        <v>400</v>
      </c>
      <c r="L471" s="221">
        <v>460</v>
      </c>
      <c r="M471" s="222" t="s">
        <v>795</v>
      </c>
      <c r="N471" s="220">
        <v>350</v>
      </c>
      <c r="O471" s="221">
        <v>410</v>
      </c>
      <c r="P471" s="222" t="s">
        <v>795</v>
      </c>
      <c r="Q471" s="160" t="s">
        <v>182</v>
      </c>
      <c r="R471" s="275">
        <v>6880</v>
      </c>
      <c r="S471" s="276">
        <v>60</v>
      </c>
      <c r="T471" s="247" t="s">
        <v>184</v>
      </c>
      <c r="V471" s="182"/>
      <c r="W471" s="185"/>
      <c r="X471" s="176"/>
      <c r="Y471" s="185"/>
      <c r="Z471" s="176"/>
      <c r="AA471" s="176"/>
      <c r="AB471" s="177"/>
      <c r="AC471" s="160" t="s">
        <v>182</v>
      </c>
      <c r="AD471" s="1546">
        <v>12170</v>
      </c>
      <c r="AE471" s="227"/>
      <c r="AF471" s="226" t="s">
        <v>182</v>
      </c>
      <c r="AG471" s="226">
        <v>50</v>
      </c>
      <c r="AH471" s="217" t="s">
        <v>184</v>
      </c>
      <c r="AJ471" s="187" t="s">
        <v>209</v>
      </c>
      <c r="AK471" s="185"/>
      <c r="AL471" s="176" t="s">
        <v>182</v>
      </c>
      <c r="AM471" s="176">
        <v>30</v>
      </c>
      <c r="AN471" s="177" t="s">
        <v>316</v>
      </c>
      <c r="AO471" s="160" t="s">
        <v>182</v>
      </c>
      <c r="AP471" s="1550">
        <v>3100</v>
      </c>
      <c r="AQ471" s="1553">
        <v>3400</v>
      </c>
      <c r="AR471" s="1550">
        <v>2200</v>
      </c>
      <c r="AS471" s="1553">
        <v>2200</v>
      </c>
      <c r="AT471" s="1544" t="s">
        <v>664</v>
      </c>
      <c r="AU471" s="230" t="s">
        <v>697</v>
      </c>
      <c r="AV471" s="231">
        <v>6300</v>
      </c>
      <c r="AW471" s="232">
        <v>7100</v>
      </c>
      <c r="AX471" s="267">
        <v>4400</v>
      </c>
      <c r="AY471" s="252">
        <v>4400</v>
      </c>
      <c r="BA471" s="277"/>
      <c r="BB471" s="160" t="s">
        <v>182</v>
      </c>
      <c r="BC471" s="1556">
        <v>4700</v>
      </c>
      <c r="BD471" s="160" t="s">
        <v>182</v>
      </c>
      <c r="BE471" s="187">
        <v>2350</v>
      </c>
      <c r="BF471" s="176" t="s">
        <v>182</v>
      </c>
      <c r="BG471" s="176">
        <v>20</v>
      </c>
      <c r="BH471" s="177" t="s">
        <v>184</v>
      </c>
      <c r="BJ471" s="253"/>
      <c r="BK471" s="160" t="s">
        <v>188</v>
      </c>
      <c r="BL471" s="193" t="s">
        <v>317</v>
      </c>
      <c r="BM471" s="194" t="s">
        <v>317</v>
      </c>
      <c r="BN471" s="194" t="s">
        <v>317</v>
      </c>
      <c r="BO471" s="195" t="s">
        <v>317</v>
      </c>
      <c r="BP471" s="160" t="s">
        <v>188</v>
      </c>
      <c r="BQ471" s="187"/>
      <c r="BR471" s="185"/>
      <c r="BS471" s="185"/>
      <c r="BT471" s="254"/>
      <c r="BU471" s="160" t="s">
        <v>188</v>
      </c>
      <c r="BV471" s="187"/>
      <c r="BW471" s="185"/>
      <c r="BX471" s="185"/>
      <c r="BY471" s="185"/>
      <c r="BZ471" s="254"/>
      <c r="CA471" s="160" t="s">
        <v>188</v>
      </c>
      <c r="CB471" s="187"/>
      <c r="CC471" s="185"/>
      <c r="CD471" s="185"/>
      <c r="CE471" s="185"/>
      <c r="CF471" s="254"/>
      <c r="CH471" s="253" t="s">
        <v>324</v>
      </c>
    </row>
    <row r="472" spans="1:86">
      <c r="A472" s="1563"/>
      <c r="B472" s="168"/>
      <c r="C472" s="241"/>
      <c r="D472" s="177" t="s">
        <v>318</v>
      </c>
      <c r="F472" s="242">
        <v>49570</v>
      </c>
      <c r="G472" s="243">
        <v>106020</v>
      </c>
      <c r="H472" s="242">
        <v>44360</v>
      </c>
      <c r="I472" s="243">
        <v>100810</v>
      </c>
      <c r="J472" s="179" t="s">
        <v>182</v>
      </c>
      <c r="K472" s="244">
        <v>460</v>
      </c>
      <c r="L472" s="245">
        <v>950</v>
      </c>
      <c r="M472" s="246" t="s">
        <v>795</v>
      </c>
      <c r="N472" s="244">
        <v>410</v>
      </c>
      <c r="O472" s="245">
        <v>890</v>
      </c>
      <c r="P472" s="246" t="s">
        <v>795</v>
      </c>
      <c r="Q472" s="160" t="s">
        <v>182</v>
      </c>
      <c r="R472" s="187">
        <v>6880</v>
      </c>
      <c r="S472" s="185">
        <v>60</v>
      </c>
      <c r="T472" s="247" t="s">
        <v>184</v>
      </c>
      <c r="V472" s="278"/>
      <c r="W472" s="279" t="s">
        <v>709</v>
      </c>
      <c r="X472" s="176"/>
      <c r="Y472" s="279" t="s">
        <v>709</v>
      </c>
      <c r="Z472" s="279"/>
      <c r="AA472" s="176" t="s">
        <v>332</v>
      </c>
      <c r="AB472" s="177" t="s">
        <v>333</v>
      </c>
      <c r="AD472" s="1547"/>
      <c r="AE472" s="248">
        <v>10440</v>
      </c>
      <c r="AF472" s="176"/>
      <c r="AG472" s="176"/>
      <c r="AH472" s="177"/>
      <c r="AJ472" s="187"/>
      <c r="AK472" s="185"/>
      <c r="AL472" s="176"/>
      <c r="AM472" s="176"/>
      <c r="AN472" s="177"/>
      <c r="AP472" s="1551"/>
      <c r="AQ472" s="1554"/>
      <c r="AR472" s="1551"/>
      <c r="AS472" s="1554"/>
      <c r="AT472" s="1544"/>
      <c r="AU472" s="172" t="s">
        <v>699</v>
      </c>
      <c r="AV472" s="249">
        <v>3500</v>
      </c>
      <c r="AW472" s="250">
        <v>3900</v>
      </c>
      <c r="AX472" s="267">
        <v>2400</v>
      </c>
      <c r="AY472" s="252">
        <v>2400</v>
      </c>
      <c r="BA472" s="235" t="s">
        <v>671</v>
      </c>
      <c r="BC472" s="1557"/>
      <c r="BE472" s="187"/>
      <c r="BF472" s="176"/>
      <c r="BG472" s="176"/>
      <c r="BH472" s="177"/>
      <c r="BJ472" s="253"/>
      <c r="BL472" s="193"/>
      <c r="BM472" s="194"/>
      <c r="BN472" s="194"/>
      <c r="BO472" s="195"/>
      <c r="BQ472" s="187">
        <v>1410</v>
      </c>
      <c r="BR472" s="185" t="s">
        <v>199</v>
      </c>
      <c r="BS472" s="185">
        <v>10</v>
      </c>
      <c r="BT472" s="254" t="s">
        <v>184</v>
      </c>
      <c r="BV472" s="187">
        <v>4580</v>
      </c>
      <c r="BW472" s="185" t="s">
        <v>189</v>
      </c>
      <c r="BX472" s="185">
        <v>40</v>
      </c>
      <c r="BY472" s="185" t="s">
        <v>184</v>
      </c>
      <c r="BZ472" s="254" t="s">
        <v>190</v>
      </c>
      <c r="CB472" s="187">
        <v>2790</v>
      </c>
      <c r="CC472" s="185" t="s">
        <v>189</v>
      </c>
      <c r="CD472" s="185">
        <v>20</v>
      </c>
      <c r="CE472" s="185" t="s">
        <v>184</v>
      </c>
      <c r="CF472" s="254" t="s">
        <v>190</v>
      </c>
      <c r="CH472" s="253"/>
    </row>
    <row r="473" spans="1:86">
      <c r="A473" s="1563"/>
      <c r="B473" s="168"/>
      <c r="C473" s="241" t="s">
        <v>319</v>
      </c>
      <c r="D473" s="177" t="s">
        <v>320</v>
      </c>
      <c r="F473" s="242">
        <v>106020</v>
      </c>
      <c r="G473" s="243">
        <v>174850</v>
      </c>
      <c r="H473" s="242">
        <v>100810</v>
      </c>
      <c r="I473" s="243">
        <v>169640</v>
      </c>
      <c r="J473" s="179" t="s">
        <v>182</v>
      </c>
      <c r="K473" s="244">
        <v>950</v>
      </c>
      <c r="L473" s="245">
        <v>1630</v>
      </c>
      <c r="M473" s="246" t="s">
        <v>795</v>
      </c>
      <c r="N473" s="244">
        <v>890</v>
      </c>
      <c r="O473" s="245">
        <v>1570</v>
      </c>
      <c r="P473" s="246" t="s">
        <v>795</v>
      </c>
      <c r="R473" s="182"/>
      <c r="S473" s="176"/>
      <c r="T473" s="177"/>
      <c r="V473" s="182"/>
      <c r="W473" s="185">
        <v>419600</v>
      </c>
      <c r="X473" s="176"/>
      <c r="Y473" s="185">
        <v>4190</v>
      </c>
      <c r="Z473" s="176" t="s">
        <v>184</v>
      </c>
      <c r="AA473" s="176"/>
      <c r="AB473" s="177" t="s">
        <v>334</v>
      </c>
      <c r="AC473" s="160" t="s">
        <v>182</v>
      </c>
      <c r="AD473" s="1548">
        <v>10440</v>
      </c>
      <c r="AE473" s="255"/>
      <c r="AF473" s="176"/>
      <c r="AG473" s="176">
        <v>0</v>
      </c>
      <c r="AH473" s="177"/>
      <c r="AJ473" s="187">
        <v>3530</v>
      </c>
      <c r="AK473" s="185" t="s">
        <v>321</v>
      </c>
      <c r="AL473" s="176"/>
      <c r="AM473" s="176"/>
      <c r="AN473" s="177"/>
      <c r="AP473" s="1551"/>
      <c r="AQ473" s="1554"/>
      <c r="AR473" s="1551"/>
      <c r="AS473" s="1554"/>
      <c r="AT473" s="1544"/>
      <c r="AU473" s="172" t="s">
        <v>700</v>
      </c>
      <c r="AV473" s="249">
        <v>3000</v>
      </c>
      <c r="AW473" s="250">
        <v>3400</v>
      </c>
      <c r="AX473" s="267">
        <v>2100</v>
      </c>
      <c r="AY473" s="252">
        <v>2100</v>
      </c>
      <c r="BA473" s="235">
        <v>4660</v>
      </c>
      <c r="BC473" s="358"/>
      <c r="BE473" s="187"/>
      <c r="BF473" s="176"/>
      <c r="BG473" s="176"/>
      <c r="BH473" s="177"/>
      <c r="BJ473" s="253" t="s">
        <v>335</v>
      </c>
      <c r="BL473" s="193">
        <v>0.02</v>
      </c>
      <c r="BM473" s="194">
        <v>0.03</v>
      </c>
      <c r="BN473" s="194">
        <v>0.05</v>
      </c>
      <c r="BO473" s="195">
        <v>0.06</v>
      </c>
      <c r="BQ473" s="187"/>
      <c r="BR473" s="185"/>
      <c r="BS473" s="185"/>
      <c r="BT473" s="254"/>
      <c r="BV473" s="187"/>
      <c r="BW473" s="185"/>
      <c r="BX473" s="185"/>
      <c r="BY473" s="185"/>
      <c r="BZ473" s="254"/>
      <c r="CB473" s="187"/>
      <c r="CC473" s="185"/>
      <c r="CD473" s="185"/>
      <c r="CE473" s="185"/>
      <c r="CF473" s="254"/>
      <c r="CH473" s="253">
        <v>0.91</v>
      </c>
    </row>
    <row r="474" spans="1:86">
      <c r="A474" s="1563"/>
      <c r="B474" s="168"/>
      <c r="C474" s="241"/>
      <c r="D474" s="177" t="s">
        <v>322</v>
      </c>
      <c r="F474" s="256">
        <v>174850</v>
      </c>
      <c r="G474" s="257"/>
      <c r="H474" s="256">
        <v>169640</v>
      </c>
      <c r="I474" s="257"/>
      <c r="J474" s="179" t="s">
        <v>182</v>
      </c>
      <c r="K474" s="258">
        <v>1630</v>
      </c>
      <c r="L474" s="259"/>
      <c r="M474" s="260" t="s">
        <v>795</v>
      </c>
      <c r="N474" s="258">
        <v>1570</v>
      </c>
      <c r="O474" s="259"/>
      <c r="P474" s="260" t="s">
        <v>795</v>
      </c>
      <c r="R474" s="182"/>
      <c r="S474" s="176"/>
      <c r="T474" s="177"/>
      <c r="V474" s="182"/>
      <c r="W474" s="185"/>
      <c r="X474" s="176"/>
      <c r="Y474" s="185"/>
      <c r="Z474" s="176"/>
      <c r="AA474" s="176"/>
      <c r="AB474" s="177"/>
      <c r="AD474" s="1549"/>
      <c r="AE474" s="261"/>
      <c r="AF474" s="271"/>
      <c r="AG474" s="271"/>
      <c r="AH474" s="184"/>
      <c r="AJ474" s="187"/>
      <c r="AK474" s="185"/>
      <c r="AL474" s="176"/>
      <c r="AM474" s="176"/>
      <c r="AN474" s="177"/>
      <c r="AP474" s="1552"/>
      <c r="AQ474" s="1555"/>
      <c r="AR474" s="1552"/>
      <c r="AS474" s="1555"/>
      <c r="AT474" s="1544"/>
      <c r="AU474" s="262" t="s">
        <v>701</v>
      </c>
      <c r="AV474" s="263">
        <v>2700</v>
      </c>
      <c r="AW474" s="264">
        <v>3000</v>
      </c>
      <c r="AX474" s="265">
        <v>1900</v>
      </c>
      <c r="AY474" s="266">
        <v>1900</v>
      </c>
      <c r="BA474" s="277"/>
      <c r="BC474" s="359"/>
      <c r="BE474" s="187"/>
      <c r="BF474" s="176"/>
      <c r="BG474" s="176"/>
      <c r="BH474" s="177"/>
      <c r="BJ474" s="253"/>
      <c r="BL474" s="193"/>
      <c r="BM474" s="194"/>
      <c r="BN474" s="194"/>
      <c r="BO474" s="195"/>
      <c r="BQ474" s="187"/>
      <c r="BR474" s="185"/>
      <c r="BS474" s="185"/>
      <c r="BT474" s="254"/>
      <c r="BV474" s="187"/>
      <c r="BW474" s="185"/>
      <c r="BX474" s="185"/>
      <c r="BY474" s="185"/>
      <c r="BZ474" s="254"/>
      <c r="CB474" s="187"/>
      <c r="CC474" s="185"/>
      <c r="CD474" s="185"/>
      <c r="CE474" s="185"/>
      <c r="CF474" s="254"/>
      <c r="CH474" s="253"/>
    </row>
    <row r="475" spans="1:86" ht="63">
      <c r="A475" s="1563"/>
      <c r="B475" s="215" t="s">
        <v>336</v>
      </c>
      <c r="C475" s="216" t="s">
        <v>313</v>
      </c>
      <c r="D475" s="217" t="s">
        <v>314</v>
      </c>
      <c r="F475" s="218">
        <v>37100</v>
      </c>
      <c r="G475" s="219">
        <v>43980</v>
      </c>
      <c r="H475" s="218">
        <v>32420</v>
      </c>
      <c r="I475" s="219">
        <v>39300</v>
      </c>
      <c r="J475" s="179" t="s">
        <v>182</v>
      </c>
      <c r="K475" s="220">
        <v>350</v>
      </c>
      <c r="L475" s="221">
        <v>410</v>
      </c>
      <c r="M475" s="222" t="s">
        <v>795</v>
      </c>
      <c r="N475" s="220">
        <v>300</v>
      </c>
      <c r="O475" s="221">
        <v>360</v>
      </c>
      <c r="P475" s="222" t="s">
        <v>795</v>
      </c>
      <c r="Q475" s="160" t="s">
        <v>182</v>
      </c>
      <c r="R475" s="223">
        <v>6880</v>
      </c>
      <c r="S475" s="224">
        <v>60</v>
      </c>
      <c r="T475" s="225" t="s">
        <v>184</v>
      </c>
      <c r="V475" s="278"/>
      <c r="W475" s="279" t="s">
        <v>710</v>
      </c>
      <c r="X475" s="176"/>
      <c r="Y475" s="279" t="s">
        <v>710</v>
      </c>
      <c r="Z475" s="279"/>
      <c r="AA475" s="176"/>
      <c r="AB475" s="177"/>
      <c r="AD475" s="281"/>
      <c r="AE475" s="281"/>
      <c r="AF475" s="176"/>
      <c r="AG475" s="176"/>
      <c r="AH475" s="177"/>
      <c r="AJ475" s="187" t="s">
        <v>211</v>
      </c>
      <c r="AK475" s="185"/>
      <c r="AL475" s="176" t="s">
        <v>182</v>
      </c>
      <c r="AM475" s="176">
        <v>30</v>
      </c>
      <c r="AN475" s="177" t="s">
        <v>316</v>
      </c>
      <c r="AO475" s="160" t="s">
        <v>182</v>
      </c>
      <c r="AP475" s="1550">
        <v>2800</v>
      </c>
      <c r="AQ475" s="1553">
        <v>3100</v>
      </c>
      <c r="AR475" s="1550">
        <v>2000</v>
      </c>
      <c r="AS475" s="1553">
        <v>2000</v>
      </c>
      <c r="AT475" s="1544" t="s">
        <v>664</v>
      </c>
      <c r="AU475" s="230" t="s">
        <v>697</v>
      </c>
      <c r="AV475" s="231">
        <v>5500</v>
      </c>
      <c r="AW475" s="232">
        <v>6200</v>
      </c>
      <c r="AX475" s="267">
        <v>3900</v>
      </c>
      <c r="AY475" s="252">
        <v>3900</v>
      </c>
      <c r="BA475" s="235" t="s">
        <v>672</v>
      </c>
      <c r="BB475" s="160" t="s">
        <v>182</v>
      </c>
      <c r="BC475" s="1556">
        <v>4700</v>
      </c>
      <c r="BD475" s="160" t="s">
        <v>182</v>
      </c>
      <c r="BE475" s="228">
        <v>2110</v>
      </c>
      <c r="BF475" s="226" t="s">
        <v>182</v>
      </c>
      <c r="BG475" s="226">
        <v>20</v>
      </c>
      <c r="BH475" s="217" t="s">
        <v>184</v>
      </c>
      <c r="BJ475" s="253">
        <v>0.1</v>
      </c>
      <c r="BK475" s="160" t="s">
        <v>188</v>
      </c>
      <c r="BL475" s="237" t="s">
        <v>317</v>
      </c>
      <c r="BM475" s="238" t="s">
        <v>317</v>
      </c>
      <c r="BN475" s="238" t="s">
        <v>317</v>
      </c>
      <c r="BO475" s="239" t="s">
        <v>317</v>
      </c>
      <c r="BP475" s="160" t="s">
        <v>188</v>
      </c>
      <c r="BQ475" s="228"/>
      <c r="BR475" s="229"/>
      <c r="BS475" s="229"/>
      <c r="BT475" s="240"/>
      <c r="BU475" s="160" t="s">
        <v>188</v>
      </c>
      <c r="BV475" s="228"/>
      <c r="BW475" s="229"/>
      <c r="BX475" s="229"/>
      <c r="BY475" s="229"/>
      <c r="BZ475" s="240"/>
      <c r="CA475" s="160" t="s">
        <v>188</v>
      </c>
      <c r="CB475" s="228"/>
      <c r="CC475" s="229"/>
      <c r="CD475" s="229"/>
      <c r="CE475" s="229"/>
      <c r="CF475" s="240"/>
      <c r="CH475" s="236" t="s">
        <v>324</v>
      </c>
    </row>
    <row r="476" spans="1:86">
      <c r="A476" s="1563"/>
      <c r="B476" s="168"/>
      <c r="C476" s="241"/>
      <c r="D476" s="177" t="s">
        <v>318</v>
      </c>
      <c r="F476" s="242">
        <v>43980</v>
      </c>
      <c r="G476" s="243">
        <v>100430</v>
      </c>
      <c r="H476" s="242">
        <v>39300</v>
      </c>
      <c r="I476" s="243">
        <v>95750</v>
      </c>
      <c r="J476" s="179" t="s">
        <v>182</v>
      </c>
      <c r="K476" s="244">
        <v>410</v>
      </c>
      <c r="L476" s="245">
        <v>890</v>
      </c>
      <c r="M476" s="246" t="s">
        <v>795</v>
      </c>
      <c r="N476" s="244">
        <v>360</v>
      </c>
      <c r="O476" s="245">
        <v>840</v>
      </c>
      <c r="P476" s="246" t="s">
        <v>795</v>
      </c>
      <c r="Q476" s="160" t="s">
        <v>182</v>
      </c>
      <c r="R476" s="187">
        <v>6880</v>
      </c>
      <c r="S476" s="185">
        <v>60</v>
      </c>
      <c r="T476" s="247" t="s">
        <v>184</v>
      </c>
      <c r="V476" s="182"/>
      <c r="W476" s="185">
        <v>452900</v>
      </c>
      <c r="X476" s="176"/>
      <c r="Y476" s="185">
        <v>4520</v>
      </c>
      <c r="Z476" s="176" t="s">
        <v>184</v>
      </c>
      <c r="AA476" s="176"/>
      <c r="AB476" s="177"/>
      <c r="AD476" s="281"/>
      <c r="AE476" s="281"/>
      <c r="AF476" s="176"/>
      <c r="AG476" s="176"/>
      <c r="AH476" s="177"/>
      <c r="AJ476" s="187"/>
      <c r="AK476" s="185"/>
      <c r="AL476" s="176"/>
      <c r="AM476" s="176"/>
      <c r="AN476" s="177"/>
      <c r="AP476" s="1551"/>
      <c r="AQ476" s="1554"/>
      <c r="AR476" s="1551"/>
      <c r="AS476" s="1554"/>
      <c r="AT476" s="1544"/>
      <c r="AU476" s="172" t="s">
        <v>699</v>
      </c>
      <c r="AV476" s="249">
        <v>3000</v>
      </c>
      <c r="AW476" s="250">
        <v>3400</v>
      </c>
      <c r="AX476" s="267">
        <v>2100</v>
      </c>
      <c r="AY476" s="252">
        <v>2100</v>
      </c>
      <c r="BA476" s="235">
        <v>4250</v>
      </c>
      <c r="BC476" s="1557"/>
      <c r="BE476" s="187"/>
      <c r="BF476" s="176"/>
      <c r="BG476" s="176"/>
      <c r="BH476" s="177"/>
      <c r="BJ476" s="253"/>
      <c r="BL476" s="193"/>
      <c r="BM476" s="194"/>
      <c r="BN476" s="194"/>
      <c r="BO476" s="195"/>
      <c r="BQ476" s="187">
        <v>1270</v>
      </c>
      <c r="BR476" s="185" t="s">
        <v>199</v>
      </c>
      <c r="BS476" s="185">
        <v>10</v>
      </c>
      <c r="BT476" s="254" t="s">
        <v>184</v>
      </c>
      <c r="BV476" s="187">
        <v>4130</v>
      </c>
      <c r="BW476" s="185" t="s">
        <v>189</v>
      </c>
      <c r="BX476" s="185">
        <v>40</v>
      </c>
      <c r="BY476" s="185" t="s">
        <v>184</v>
      </c>
      <c r="BZ476" s="254" t="s">
        <v>190</v>
      </c>
      <c r="CB476" s="187">
        <v>2510</v>
      </c>
      <c r="CC476" s="185" t="s">
        <v>189</v>
      </c>
      <c r="CD476" s="185">
        <v>20</v>
      </c>
      <c r="CE476" s="185" t="s">
        <v>184</v>
      </c>
      <c r="CF476" s="254" t="s">
        <v>190</v>
      </c>
      <c r="CH476" s="253"/>
    </row>
    <row r="477" spans="1:86">
      <c r="A477" s="1563"/>
      <c r="B477" s="168"/>
      <c r="C477" s="241" t="s">
        <v>319</v>
      </c>
      <c r="D477" s="177" t="s">
        <v>320</v>
      </c>
      <c r="F477" s="242">
        <v>100430</v>
      </c>
      <c r="G477" s="243">
        <v>169260</v>
      </c>
      <c r="H477" s="242">
        <v>95750</v>
      </c>
      <c r="I477" s="243">
        <v>164580</v>
      </c>
      <c r="J477" s="179" t="s">
        <v>182</v>
      </c>
      <c r="K477" s="244">
        <v>890</v>
      </c>
      <c r="L477" s="245">
        <v>1570</v>
      </c>
      <c r="M477" s="246" t="s">
        <v>795</v>
      </c>
      <c r="N477" s="244">
        <v>840</v>
      </c>
      <c r="O477" s="245">
        <v>1520</v>
      </c>
      <c r="P477" s="246" t="s">
        <v>795</v>
      </c>
      <c r="R477" s="182"/>
      <c r="S477" s="176"/>
      <c r="T477" s="177"/>
      <c r="V477" s="182"/>
      <c r="W477" s="185"/>
      <c r="X477" s="176"/>
      <c r="Y477" s="185"/>
      <c r="Z477" s="176"/>
      <c r="AA477" s="176"/>
      <c r="AB477" s="177"/>
      <c r="AD477" s="281"/>
      <c r="AE477" s="281"/>
      <c r="AF477" s="176"/>
      <c r="AG477" s="176"/>
      <c r="AH477" s="177"/>
      <c r="AJ477" s="187">
        <v>3140</v>
      </c>
      <c r="AK477" s="185" t="s">
        <v>321</v>
      </c>
      <c r="AL477" s="176"/>
      <c r="AM477" s="176"/>
      <c r="AN477" s="177"/>
      <c r="AP477" s="1551"/>
      <c r="AQ477" s="1554"/>
      <c r="AR477" s="1551"/>
      <c r="AS477" s="1554"/>
      <c r="AT477" s="1544"/>
      <c r="AU477" s="172" t="s">
        <v>700</v>
      </c>
      <c r="AV477" s="249">
        <v>2600</v>
      </c>
      <c r="AW477" s="250">
        <v>2900</v>
      </c>
      <c r="AX477" s="267">
        <v>1800</v>
      </c>
      <c r="AY477" s="252">
        <v>1800</v>
      </c>
      <c r="BA477" s="277"/>
      <c r="BC477" s="359"/>
      <c r="BE477" s="187"/>
      <c r="BF477" s="176"/>
      <c r="BG477" s="176"/>
      <c r="BH477" s="177"/>
      <c r="BJ477" s="253"/>
      <c r="BL477" s="193">
        <v>0.02</v>
      </c>
      <c r="BM477" s="194">
        <v>0.03</v>
      </c>
      <c r="BN477" s="194">
        <v>0.05</v>
      </c>
      <c r="BO477" s="195">
        <v>0.06</v>
      </c>
      <c r="BQ477" s="187"/>
      <c r="BR477" s="185"/>
      <c r="BS477" s="185"/>
      <c r="BT477" s="254"/>
      <c r="BV477" s="187"/>
      <c r="BW477" s="185"/>
      <c r="BX477" s="185"/>
      <c r="BY477" s="185"/>
      <c r="BZ477" s="254"/>
      <c r="CB477" s="187"/>
      <c r="CC477" s="185"/>
      <c r="CD477" s="185"/>
      <c r="CE477" s="185"/>
      <c r="CF477" s="254"/>
      <c r="CH477" s="253">
        <v>0.96</v>
      </c>
    </row>
    <row r="478" spans="1:86">
      <c r="A478" s="1563"/>
      <c r="B478" s="269"/>
      <c r="C478" s="270"/>
      <c r="D478" s="184" t="s">
        <v>322</v>
      </c>
      <c r="F478" s="256">
        <v>169260</v>
      </c>
      <c r="G478" s="257"/>
      <c r="H478" s="256">
        <v>164580</v>
      </c>
      <c r="I478" s="257"/>
      <c r="J478" s="179" t="s">
        <v>182</v>
      </c>
      <c r="K478" s="258">
        <v>1570</v>
      </c>
      <c r="L478" s="259"/>
      <c r="M478" s="260" t="s">
        <v>795</v>
      </c>
      <c r="N478" s="258">
        <v>1520</v>
      </c>
      <c r="O478" s="259"/>
      <c r="P478" s="260" t="s">
        <v>795</v>
      </c>
      <c r="R478" s="183"/>
      <c r="S478" s="271"/>
      <c r="T478" s="184"/>
      <c r="V478" s="278"/>
      <c r="W478" s="279" t="s">
        <v>711</v>
      </c>
      <c r="X478" s="176"/>
      <c r="Y478" s="279" t="s">
        <v>711</v>
      </c>
      <c r="Z478" s="279"/>
      <c r="AA478" s="176"/>
      <c r="AB478" s="177"/>
      <c r="AD478" s="281"/>
      <c r="AE478" s="281"/>
      <c r="AF478" s="176"/>
      <c r="AG478" s="176"/>
      <c r="AH478" s="177"/>
      <c r="AJ478" s="187"/>
      <c r="AK478" s="185"/>
      <c r="AL478" s="176"/>
      <c r="AM478" s="176"/>
      <c r="AN478" s="177"/>
      <c r="AP478" s="1552"/>
      <c r="AQ478" s="1555"/>
      <c r="AR478" s="1552"/>
      <c r="AS478" s="1555"/>
      <c r="AT478" s="1544"/>
      <c r="AU478" s="262" t="s">
        <v>701</v>
      </c>
      <c r="AV478" s="263">
        <v>2400</v>
      </c>
      <c r="AW478" s="264">
        <v>2600</v>
      </c>
      <c r="AX478" s="265">
        <v>1600</v>
      </c>
      <c r="AY478" s="266">
        <v>1600</v>
      </c>
      <c r="BA478" s="235" t="s">
        <v>673</v>
      </c>
      <c r="BC478" s="359"/>
      <c r="BE478" s="186"/>
      <c r="BF478" s="271"/>
      <c r="BG478" s="271"/>
      <c r="BH478" s="184"/>
      <c r="BJ478" s="253"/>
      <c r="BL478" s="272"/>
      <c r="BM478" s="273"/>
      <c r="BN478" s="273"/>
      <c r="BO478" s="274"/>
      <c r="BQ478" s="186"/>
      <c r="BR478" s="196"/>
      <c r="BS478" s="196"/>
      <c r="BT478" s="197"/>
      <c r="BV478" s="186"/>
      <c r="BW478" s="196"/>
      <c r="BX478" s="196"/>
      <c r="BY478" s="196"/>
      <c r="BZ478" s="197"/>
      <c r="CB478" s="186"/>
      <c r="CC478" s="196"/>
      <c r="CD478" s="196"/>
      <c r="CE478" s="196"/>
      <c r="CF478" s="197"/>
      <c r="CH478" s="198"/>
    </row>
    <row r="479" spans="1:86" ht="63">
      <c r="A479" s="1563"/>
      <c r="B479" s="168" t="s">
        <v>337</v>
      </c>
      <c r="C479" s="241" t="s">
        <v>313</v>
      </c>
      <c r="D479" s="177" t="s">
        <v>314</v>
      </c>
      <c r="F479" s="218">
        <v>35250</v>
      </c>
      <c r="G479" s="219">
        <v>42130</v>
      </c>
      <c r="H479" s="218">
        <v>30990</v>
      </c>
      <c r="I479" s="219">
        <v>37870</v>
      </c>
      <c r="J479" s="179" t="s">
        <v>182</v>
      </c>
      <c r="K479" s="220">
        <v>330</v>
      </c>
      <c r="L479" s="221">
        <v>390</v>
      </c>
      <c r="M479" s="222" t="s">
        <v>795</v>
      </c>
      <c r="N479" s="220">
        <v>290</v>
      </c>
      <c r="O479" s="221">
        <v>350</v>
      </c>
      <c r="P479" s="222" t="s">
        <v>795</v>
      </c>
      <c r="Q479" s="160" t="s">
        <v>182</v>
      </c>
      <c r="R479" s="275">
        <v>6880</v>
      </c>
      <c r="S479" s="276">
        <v>60</v>
      </c>
      <c r="T479" s="247" t="s">
        <v>184</v>
      </c>
      <c r="V479" s="182"/>
      <c r="W479" s="185">
        <v>486100</v>
      </c>
      <c r="X479" s="176"/>
      <c r="Y479" s="185">
        <v>4860</v>
      </c>
      <c r="Z479" s="176" t="s">
        <v>184</v>
      </c>
      <c r="AA479" s="176"/>
      <c r="AB479" s="177"/>
      <c r="AD479" s="281"/>
      <c r="AE479" s="281"/>
      <c r="AF479" s="176"/>
      <c r="AG479" s="176"/>
      <c r="AH479" s="177"/>
      <c r="AJ479" s="187" t="s">
        <v>213</v>
      </c>
      <c r="AK479" s="185"/>
      <c r="AL479" s="176" t="s">
        <v>182</v>
      </c>
      <c r="AM479" s="176">
        <v>20</v>
      </c>
      <c r="AN479" s="177" t="s">
        <v>316</v>
      </c>
      <c r="AO479" s="160" t="s">
        <v>182</v>
      </c>
      <c r="AP479" s="1550">
        <v>3100</v>
      </c>
      <c r="AQ479" s="1553">
        <v>3400</v>
      </c>
      <c r="AR479" s="1550">
        <v>2100</v>
      </c>
      <c r="AS479" s="1553">
        <v>2100</v>
      </c>
      <c r="AT479" s="1544" t="s">
        <v>664</v>
      </c>
      <c r="AU479" s="230" t="s">
        <v>697</v>
      </c>
      <c r="AV479" s="231">
        <v>6100</v>
      </c>
      <c r="AW479" s="232">
        <v>6800</v>
      </c>
      <c r="AX479" s="267">
        <v>4200</v>
      </c>
      <c r="AY479" s="252">
        <v>4200</v>
      </c>
      <c r="BA479" s="235">
        <v>3920</v>
      </c>
      <c r="BB479" s="160" t="s">
        <v>182</v>
      </c>
      <c r="BC479" s="1556">
        <v>4700</v>
      </c>
      <c r="BD479" s="160" t="s">
        <v>182</v>
      </c>
      <c r="BE479" s="187">
        <v>1920</v>
      </c>
      <c r="BF479" s="176" t="s">
        <v>182</v>
      </c>
      <c r="BG479" s="176">
        <v>10</v>
      </c>
      <c r="BH479" s="177" t="s">
        <v>184</v>
      </c>
      <c r="BJ479" s="253"/>
      <c r="BK479" s="160" t="s">
        <v>188</v>
      </c>
      <c r="BL479" s="193" t="s">
        <v>317</v>
      </c>
      <c r="BM479" s="194" t="s">
        <v>317</v>
      </c>
      <c r="BN479" s="194" t="s">
        <v>317</v>
      </c>
      <c r="BO479" s="195" t="s">
        <v>317</v>
      </c>
      <c r="BP479" s="160" t="s">
        <v>188</v>
      </c>
      <c r="BQ479" s="187"/>
      <c r="BR479" s="185"/>
      <c r="BS479" s="185"/>
      <c r="BT479" s="254"/>
      <c r="BU479" s="160" t="s">
        <v>188</v>
      </c>
      <c r="BV479" s="187"/>
      <c r="BW479" s="185"/>
      <c r="BX479" s="185"/>
      <c r="BY479" s="185"/>
      <c r="BZ479" s="254"/>
      <c r="CA479" s="160" t="s">
        <v>188</v>
      </c>
      <c r="CB479" s="187"/>
      <c r="CC479" s="185"/>
      <c r="CD479" s="185"/>
      <c r="CE479" s="185"/>
      <c r="CF479" s="254"/>
      <c r="CH479" s="253" t="s">
        <v>324</v>
      </c>
    </row>
    <row r="480" spans="1:86">
      <c r="A480" s="1563"/>
      <c r="B480" s="168"/>
      <c r="C480" s="241"/>
      <c r="D480" s="177" t="s">
        <v>318</v>
      </c>
      <c r="F480" s="242">
        <v>42130</v>
      </c>
      <c r="G480" s="243">
        <v>98580</v>
      </c>
      <c r="H480" s="242">
        <v>37870</v>
      </c>
      <c r="I480" s="243">
        <v>94320</v>
      </c>
      <c r="J480" s="179" t="s">
        <v>182</v>
      </c>
      <c r="K480" s="244">
        <v>390</v>
      </c>
      <c r="L480" s="245">
        <v>870</v>
      </c>
      <c r="M480" s="246" t="s">
        <v>795</v>
      </c>
      <c r="N480" s="244">
        <v>350</v>
      </c>
      <c r="O480" s="245">
        <v>830</v>
      </c>
      <c r="P480" s="246" t="s">
        <v>795</v>
      </c>
      <c r="Q480" s="160" t="s">
        <v>182</v>
      </c>
      <c r="R480" s="187">
        <v>6880</v>
      </c>
      <c r="S480" s="185">
        <v>60</v>
      </c>
      <c r="T480" s="247" t="s">
        <v>184</v>
      </c>
      <c r="V480" s="182"/>
      <c r="W480" s="185"/>
      <c r="X480" s="176"/>
      <c r="Y480" s="185"/>
      <c r="Z480" s="176"/>
      <c r="AA480" s="176"/>
      <c r="AB480" s="177"/>
      <c r="AD480" s="281"/>
      <c r="AE480" s="281"/>
      <c r="AF480" s="176"/>
      <c r="AG480" s="176"/>
      <c r="AH480" s="177"/>
      <c r="AJ480" s="187"/>
      <c r="AK480" s="185"/>
      <c r="AL480" s="176"/>
      <c r="AM480" s="176"/>
      <c r="AN480" s="177"/>
      <c r="AP480" s="1551"/>
      <c r="AQ480" s="1554"/>
      <c r="AR480" s="1551"/>
      <c r="AS480" s="1554"/>
      <c r="AT480" s="1544"/>
      <c r="AU480" s="172" t="s">
        <v>699</v>
      </c>
      <c r="AV480" s="249">
        <v>3300</v>
      </c>
      <c r="AW480" s="250">
        <v>3700</v>
      </c>
      <c r="AX480" s="267">
        <v>2300</v>
      </c>
      <c r="AY480" s="252">
        <v>2300</v>
      </c>
      <c r="BA480" s="277"/>
      <c r="BC480" s="1557"/>
      <c r="BE480" s="187"/>
      <c r="BF480" s="176"/>
      <c r="BG480" s="176"/>
      <c r="BH480" s="177"/>
      <c r="BJ480" s="253"/>
      <c r="BL480" s="193"/>
      <c r="BM480" s="194"/>
      <c r="BN480" s="194"/>
      <c r="BO480" s="195"/>
      <c r="BQ480" s="187">
        <v>1150</v>
      </c>
      <c r="BR480" s="185" t="s">
        <v>199</v>
      </c>
      <c r="BS480" s="185">
        <v>10</v>
      </c>
      <c r="BT480" s="254" t="s">
        <v>184</v>
      </c>
      <c r="BV480" s="187">
        <v>3750</v>
      </c>
      <c r="BW480" s="185" t="s">
        <v>189</v>
      </c>
      <c r="BX480" s="185">
        <v>30</v>
      </c>
      <c r="BY480" s="185" t="s">
        <v>184</v>
      </c>
      <c r="BZ480" s="254" t="s">
        <v>190</v>
      </c>
      <c r="CB480" s="187">
        <v>2280</v>
      </c>
      <c r="CC480" s="185" t="s">
        <v>189</v>
      </c>
      <c r="CD480" s="185">
        <v>20</v>
      </c>
      <c r="CE480" s="185" t="s">
        <v>184</v>
      </c>
      <c r="CF480" s="254" t="s">
        <v>190</v>
      </c>
      <c r="CH480" s="253"/>
    </row>
    <row r="481" spans="1:86">
      <c r="A481" s="1563"/>
      <c r="B481" s="168"/>
      <c r="C481" s="241" t="s">
        <v>319</v>
      </c>
      <c r="D481" s="177" t="s">
        <v>320</v>
      </c>
      <c r="F481" s="242">
        <v>98580</v>
      </c>
      <c r="G481" s="243">
        <v>167410</v>
      </c>
      <c r="H481" s="242">
        <v>94320</v>
      </c>
      <c r="I481" s="243">
        <v>163150</v>
      </c>
      <c r="J481" s="179" t="s">
        <v>182</v>
      </c>
      <c r="K481" s="244">
        <v>870</v>
      </c>
      <c r="L481" s="245">
        <v>1550</v>
      </c>
      <c r="M481" s="246" t="s">
        <v>795</v>
      </c>
      <c r="N481" s="244">
        <v>830</v>
      </c>
      <c r="O481" s="245">
        <v>1510</v>
      </c>
      <c r="P481" s="246" t="s">
        <v>795</v>
      </c>
      <c r="R481" s="182"/>
      <c r="S481" s="176"/>
      <c r="T481" s="177"/>
      <c r="V481" s="278"/>
      <c r="W481" s="279" t="s">
        <v>712</v>
      </c>
      <c r="X481" s="176"/>
      <c r="Y481" s="279" t="s">
        <v>712</v>
      </c>
      <c r="Z481" s="279"/>
      <c r="AA481" s="176"/>
      <c r="AB481" s="177"/>
      <c r="AD481" s="281"/>
      <c r="AE481" s="281"/>
      <c r="AF481" s="176"/>
      <c r="AG481" s="176"/>
      <c r="AH481" s="177"/>
      <c r="AJ481" s="187">
        <v>2820</v>
      </c>
      <c r="AK481" s="185" t="s">
        <v>321</v>
      </c>
      <c r="AL481" s="176"/>
      <c r="AM481" s="176"/>
      <c r="AN481" s="177"/>
      <c r="AP481" s="1551"/>
      <c r="AQ481" s="1554"/>
      <c r="AR481" s="1551"/>
      <c r="AS481" s="1554"/>
      <c r="AT481" s="1544"/>
      <c r="AU481" s="172" t="s">
        <v>700</v>
      </c>
      <c r="AV481" s="249">
        <v>2900</v>
      </c>
      <c r="AW481" s="250">
        <v>3200</v>
      </c>
      <c r="AX481" s="267">
        <v>2000</v>
      </c>
      <c r="AY481" s="252">
        <v>2000</v>
      </c>
      <c r="BA481" s="235" t="s">
        <v>674</v>
      </c>
      <c r="BC481" s="359"/>
      <c r="BE481" s="187"/>
      <c r="BF481" s="176"/>
      <c r="BG481" s="176"/>
      <c r="BH481" s="177"/>
      <c r="BJ481" s="253"/>
      <c r="BL481" s="193">
        <v>0.02</v>
      </c>
      <c r="BM481" s="194">
        <v>0.03</v>
      </c>
      <c r="BN481" s="194">
        <v>0.05</v>
      </c>
      <c r="BO481" s="195">
        <v>7.0000000000000007E-2</v>
      </c>
      <c r="BQ481" s="187"/>
      <c r="BR481" s="185"/>
      <c r="BS481" s="185"/>
      <c r="BT481" s="254"/>
      <c r="BV481" s="187"/>
      <c r="BW481" s="185"/>
      <c r="BX481" s="185"/>
      <c r="BY481" s="185"/>
      <c r="BZ481" s="254"/>
      <c r="CB481" s="187"/>
      <c r="CC481" s="185"/>
      <c r="CD481" s="185"/>
      <c r="CE481" s="185"/>
      <c r="CF481" s="254"/>
      <c r="CH481" s="253">
        <v>0.95</v>
      </c>
    </row>
    <row r="482" spans="1:86">
      <c r="A482" s="1563"/>
      <c r="B482" s="168"/>
      <c r="C482" s="241"/>
      <c r="D482" s="177" t="s">
        <v>322</v>
      </c>
      <c r="F482" s="256">
        <v>167410</v>
      </c>
      <c r="G482" s="257"/>
      <c r="H482" s="256">
        <v>163150</v>
      </c>
      <c r="I482" s="257"/>
      <c r="J482" s="179" t="s">
        <v>182</v>
      </c>
      <c r="K482" s="258">
        <v>1550</v>
      </c>
      <c r="L482" s="259"/>
      <c r="M482" s="260" t="s">
        <v>795</v>
      </c>
      <c r="N482" s="258">
        <v>1510</v>
      </c>
      <c r="O482" s="259"/>
      <c r="P482" s="260" t="s">
        <v>795</v>
      </c>
      <c r="R482" s="182"/>
      <c r="S482" s="176"/>
      <c r="T482" s="177"/>
      <c r="V482" s="182"/>
      <c r="W482" s="185">
        <v>519400</v>
      </c>
      <c r="X482" s="176"/>
      <c r="Y482" s="185">
        <v>5190</v>
      </c>
      <c r="Z482" s="176" t="s">
        <v>184</v>
      </c>
      <c r="AA482" s="176"/>
      <c r="AB482" s="177"/>
      <c r="AD482" s="281"/>
      <c r="AE482" s="281"/>
      <c r="AF482" s="176"/>
      <c r="AG482" s="176"/>
      <c r="AH482" s="177"/>
      <c r="AJ482" s="187"/>
      <c r="AK482" s="185"/>
      <c r="AL482" s="176"/>
      <c r="AM482" s="176"/>
      <c r="AN482" s="177"/>
      <c r="AP482" s="1552"/>
      <c r="AQ482" s="1555"/>
      <c r="AR482" s="1552"/>
      <c r="AS482" s="1555"/>
      <c r="AT482" s="1544"/>
      <c r="AU482" s="262" t="s">
        <v>701</v>
      </c>
      <c r="AV482" s="263">
        <v>2600</v>
      </c>
      <c r="AW482" s="264">
        <v>2900</v>
      </c>
      <c r="AX482" s="265">
        <v>1800</v>
      </c>
      <c r="AY482" s="266">
        <v>1800</v>
      </c>
      <c r="BA482" s="235">
        <v>3660</v>
      </c>
      <c r="BC482" s="359"/>
      <c r="BE482" s="187"/>
      <c r="BF482" s="176"/>
      <c r="BG482" s="176"/>
      <c r="BH482" s="177"/>
      <c r="BJ482" s="253"/>
      <c r="BL482" s="193"/>
      <c r="BM482" s="194"/>
      <c r="BN482" s="194"/>
      <c r="BO482" s="195"/>
      <c r="BQ482" s="187"/>
      <c r="BR482" s="185"/>
      <c r="BS482" s="185"/>
      <c r="BT482" s="254"/>
      <c r="BV482" s="187"/>
      <c r="BW482" s="185"/>
      <c r="BX482" s="185"/>
      <c r="BY482" s="185"/>
      <c r="BZ482" s="254"/>
      <c r="CB482" s="187"/>
      <c r="CC482" s="185"/>
      <c r="CD482" s="185"/>
      <c r="CE482" s="185"/>
      <c r="CF482" s="254"/>
      <c r="CH482" s="253"/>
    </row>
    <row r="483" spans="1:86" ht="63">
      <c r="A483" s="1563"/>
      <c r="B483" s="215" t="s">
        <v>338</v>
      </c>
      <c r="C483" s="216" t="s">
        <v>313</v>
      </c>
      <c r="D483" s="217" t="s">
        <v>314</v>
      </c>
      <c r="F483" s="218">
        <v>33680</v>
      </c>
      <c r="G483" s="219">
        <v>40560</v>
      </c>
      <c r="H483" s="218">
        <v>29770</v>
      </c>
      <c r="I483" s="219">
        <v>36650</v>
      </c>
      <c r="J483" s="179" t="s">
        <v>182</v>
      </c>
      <c r="K483" s="220">
        <v>310</v>
      </c>
      <c r="L483" s="221">
        <v>370</v>
      </c>
      <c r="M483" s="222" t="s">
        <v>795</v>
      </c>
      <c r="N483" s="220">
        <v>270</v>
      </c>
      <c r="O483" s="221">
        <v>330</v>
      </c>
      <c r="P483" s="222" t="s">
        <v>795</v>
      </c>
      <c r="Q483" s="160" t="s">
        <v>182</v>
      </c>
      <c r="R483" s="223">
        <v>6880</v>
      </c>
      <c r="S483" s="224">
        <v>60</v>
      </c>
      <c r="T483" s="225" t="s">
        <v>184</v>
      </c>
      <c r="V483" s="182"/>
      <c r="W483" s="185"/>
      <c r="X483" s="176"/>
      <c r="Y483" s="185"/>
      <c r="Z483" s="176"/>
      <c r="AA483" s="176"/>
      <c r="AB483" s="177"/>
      <c r="AD483" s="281"/>
      <c r="AE483" s="281"/>
      <c r="AF483" s="176"/>
      <c r="AG483" s="176"/>
      <c r="AH483" s="177"/>
      <c r="AJ483" s="187" t="s">
        <v>215</v>
      </c>
      <c r="AK483" s="185"/>
      <c r="AL483" s="176" t="s">
        <v>182</v>
      </c>
      <c r="AM483" s="176">
        <v>20</v>
      </c>
      <c r="AN483" s="177" t="s">
        <v>316</v>
      </c>
      <c r="AO483" s="160" t="s">
        <v>182</v>
      </c>
      <c r="AP483" s="1550">
        <v>2800</v>
      </c>
      <c r="AQ483" s="1553">
        <v>3100</v>
      </c>
      <c r="AR483" s="1550">
        <v>2000</v>
      </c>
      <c r="AS483" s="1553">
        <v>2000</v>
      </c>
      <c r="AT483" s="1544" t="s">
        <v>664</v>
      </c>
      <c r="AU483" s="230" t="s">
        <v>697</v>
      </c>
      <c r="AV483" s="231">
        <v>5500</v>
      </c>
      <c r="AW483" s="232">
        <v>6200</v>
      </c>
      <c r="AX483" s="267">
        <v>3900</v>
      </c>
      <c r="AY483" s="252">
        <v>3900</v>
      </c>
      <c r="BA483" s="277"/>
      <c r="BB483" s="160" t="s">
        <v>182</v>
      </c>
      <c r="BC483" s="1556">
        <v>4700</v>
      </c>
      <c r="BD483" s="160" t="s">
        <v>182</v>
      </c>
      <c r="BE483" s="228">
        <v>1760</v>
      </c>
      <c r="BF483" s="226" t="s">
        <v>182</v>
      </c>
      <c r="BG483" s="226">
        <v>10</v>
      </c>
      <c r="BH483" s="217" t="s">
        <v>184</v>
      </c>
      <c r="BJ483" s="253"/>
      <c r="BK483" s="160" t="s">
        <v>188</v>
      </c>
      <c r="BL483" s="237" t="s">
        <v>317</v>
      </c>
      <c r="BM483" s="238" t="s">
        <v>317</v>
      </c>
      <c r="BN483" s="238" t="s">
        <v>317</v>
      </c>
      <c r="BO483" s="239" t="s">
        <v>317</v>
      </c>
      <c r="BP483" s="160" t="s">
        <v>188</v>
      </c>
      <c r="BQ483" s="228"/>
      <c r="BR483" s="229"/>
      <c r="BS483" s="229"/>
      <c r="BT483" s="240"/>
      <c r="BU483" s="160" t="s">
        <v>188</v>
      </c>
      <c r="BV483" s="228"/>
      <c r="BW483" s="229"/>
      <c r="BX483" s="229"/>
      <c r="BY483" s="229"/>
      <c r="BZ483" s="240"/>
      <c r="CA483" s="160" t="s">
        <v>188</v>
      </c>
      <c r="CB483" s="228"/>
      <c r="CC483" s="229"/>
      <c r="CD483" s="229"/>
      <c r="CE483" s="229"/>
      <c r="CF483" s="240"/>
      <c r="CH483" s="236" t="s">
        <v>324</v>
      </c>
    </row>
    <row r="484" spans="1:86">
      <c r="A484" s="1563"/>
      <c r="B484" s="168"/>
      <c r="C484" s="241"/>
      <c r="D484" s="177" t="s">
        <v>318</v>
      </c>
      <c r="F484" s="242">
        <v>40560</v>
      </c>
      <c r="G484" s="243">
        <v>97010</v>
      </c>
      <c r="H484" s="242">
        <v>36650</v>
      </c>
      <c r="I484" s="243">
        <v>93100</v>
      </c>
      <c r="J484" s="179" t="s">
        <v>182</v>
      </c>
      <c r="K484" s="244">
        <v>370</v>
      </c>
      <c r="L484" s="245">
        <v>860</v>
      </c>
      <c r="M484" s="246" t="s">
        <v>795</v>
      </c>
      <c r="N484" s="244">
        <v>330</v>
      </c>
      <c r="O484" s="245">
        <v>820</v>
      </c>
      <c r="P484" s="246" t="s">
        <v>795</v>
      </c>
      <c r="Q484" s="160" t="s">
        <v>182</v>
      </c>
      <c r="R484" s="187">
        <v>6880</v>
      </c>
      <c r="S484" s="185">
        <v>60</v>
      </c>
      <c r="T484" s="247" t="s">
        <v>184</v>
      </c>
      <c r="V484" s="278"/>
      <c r="W484" s="279" t="s">
        <v>713</v>
      </c>
      <c r="X484" s="176"/>
      <c r="Y484" s="279" t="s">
        <v>713</v>
      </c>
      <c r="Z484" s="279"/>
      <c r="AA484" s="176"/>
      <c r="AB484" s="177"/>
      <c r="AD484" s="281"/>
      <c r="AE484" s="281"/>
      <c r="AF484" s="176"/>
      <c r="AG484" s="176"/>
      <c r="AH484" s="177"/>
      <c r="AJ484" s="187"/>
      <c r="AK484" s="185"/>
      <c r="AL484" s="176"/>
      <c r="AM484" s="176"/>
      <c r="AN484" s="177"/>
      <c r="AP484" s="1551"/>
      <c r="AQ484" s="1554"/>
      <c r="AR484" s="1551"/>
      <c r="AS484" s="1554"/>
      <c r="AT484" s="1544"/>
      <c r="AU484" s="172" t="s">
        <v>699</v>
      </c>
      <c r="AV484" s="249">
        <v>3000</v>
      </c>
      <c r="AW484" s="250">
        <v>3400</v>
      </c>
      <c r="AX484" s="267">
        <v>2100</v>
      </c>
      <c r="AY484" s="252">
        <v>2100</v>
      </c>
      <c r="BA484" s="235" t="s">
        <v>675</v>
      </c>
      <c r="BC484" s="1557"/>
      <c r="BE484" s="187"/>
      <c r="BF484" s="176"/>
      <c r="BG484" s="176"/>
      <c r="BH484" s="177"/>
      <c r="BJ484" s="253"/>
      <c r="BL484" s="193"/>
      <c r="BM484" s="194"/>
      <c r="BN484" s="194"/>
      <c r="BO484" s="195"/>
      <c r="BQ484" s="187">
        <v>1060</v>
      </c>
      <c r="BR484" s="185" t="s">
        <v>199</v>
      </c>
      <c r="BS484" s="185">
        <v>10</v>
      </c>
      <c r="BT484" s="254" t="s">
        <v>184</v>
      </c>
      <c r="BV484" s="187">
        <v>3440</v>
      </c>
      <c r="BW484" s="185" t="s">
        <v>189</v>
      </c>
      <c r="BX484" s="185">
        <v>30</v>
      </c>
      <c r="BY484" s="185" t="s">
        <v>184</v>
      </c>
      <c r="BZ484" s="254" t="s">
        <v>190</v>
      </c>
      <c r="CB484" s="187">
        <v>2090</v>
      </c>
      <c r="CC484" s="185" t="s">
        <v>189</v>
      </c>
      <c r="CD484" s="185">
        <v>20</v>
      </c>
      <c r="CE484" s="185" t="s">
        <v>184</v>
      </c>
      <c r="CF484" s="254" t="s">
        <v>190</v>
      </c>
      <c r="CH484" s="253"/>
    </row>
    <row r="485" spans="1:86">
      <c r="A485" s="1563"/>
      <c r="B485" s="168"/>
      <c r="C485" s="241" t="s">
        <v>319</v>
      </c>
      <c r="D485" s="177" t="s">
        <v>320</v>
      </c>
      <c r="F485" s="242">
        <v>97010</v>
      </c>
      <c r="G485" s="243">
        <v>165840</v>
      </c>
      <c r="H485" s="242">
        <v>93100</v>
      </c>
      <c r="I485" s="243">
        <v>161930</v>
      </c>
      <c r="J485" s="179" t="s">
        <v>182</v>
      </c>
      <c r="K485" s="244">
        <v>860</v>
      </c>
      <c r="L485" s="245">
        <v>1540</v>
      </c>
      <c r="M485" s="246" t="s">
        <v>795</v>
      </c>
      <c r="N485" s="244">
        <v>820</v>
      </c>
      <c r="O485" s="245">
        <v>1500</v>
      </c>
      <c r="P485" s="246" t="s">
        <v>795</v>
      </c>
      <c r="R485" s="182"/>
      <c r="S485" s="176"/>
      <c r="T485" s="177"/>
      <c r="V485" s="182"/>
      <c r="W485" s="185">
        <v>552600</v>
      </c>
      <c r="X485" s="176"/>
      <c r="Y485" s="185">
        <v>5520</v>
      </c>
      <c r="Z485" s="176" t="s">
        <v>184</v>
      </c>
      <c r="AA485" s="176"/>
      <c r="AB485" s="177"/>
      <c r="AD485" s="281"/>
      <c r="AE485" s="281"/>
      <c r="AF485" s="176"/>
      <c r="AG485" s="176"/>
      <c r="AH485" s="177"/>
      <c r="AJ485" s="187">
        <v>2350</v>
      </c>
      <c r="AK485" s="185" t="s">
        <v>321</v>
      </c>
      <c r="AL485" s="176"/>
      <c r="AM485" s="176"/>
      <c r="AN485" s="177"/>
      <c r="AP485" s="1551"/>
      <c r="AQ485" s="1554"/>
      <c r="AR485" s="1551"/>
      <c r="AS485" s="1554"/>
      <c r="AT485" s="1544"/>
      <c r="AU485" s="172" t="s">
        <v>700</v>
      </c>
      <c r="AV485" s="249">
        <v>2600</v>
      </c>
      <c r="AW485" s="250">
        <v>2900</v>
      </c>
      <c r="AX485" s="267">
        <v>1800</v>
      </c>
      <c r="AY485" s="252">
        <v>1800</v>
      </c>
      <c r="BA485" s="235">
        <v>3160</v>
      </c>
      <c r="BC485" s="359"/>
      <c r="BE485" s="187"/>
      <c r="BF485" s="176"/>
      <c r="BG485" s="176"/>
      <c r="BH485" s="177"/>
      <c r="BJ485" s="253"/>
      <c r="BL485" s="193">
        <v>0.02</v>
      </c>
      <c r="BM485" s="194">
        <v>0.03</v>
      </c>
      <c r="BN485" s="194">
        <v>0.05</v>
      </c>
      <c r="BO485" s="195">
        <v>7.0000000000000007E-2</v>
      </c>
      <c r="BQ485" s="187"/>
      <c r="BR485" s="185"/>
      <c r="BS485" s="185"/>
      <c r="BT485" s="254"/>
      <c r="BV485" s="187"/>
      <c r="BW485" s="185"/>
      <c r="BX485" s="185"/>
      <c r="BY485" s="185"/>
      <c r="BZ485" s="254"/>
      <c r="CB485" s="187"/>
      <c r="CC485" s="185"/>
      <c r="CD485" s="185"/>
      <c r="CE485" s="185"/>
      <c r="CF485" s="254"/>
      <c r="CH485" s="253">
        <v>0.95</v>
      </c>
    </row>
    <row r="486" spans="1:86">
      <c r="A486" s="1563"/>
      <c r="B486" s="269"/>
      <c r="C486" s="270"/>
      <c r="D486" s="184" t="s">
        <v>322</v>
      </c>
      <c r="F486" s="256">
        <v>165840</v>
      </c>
      <c r="G486" s="257"/>
      <c r="H486" s="256">
        <v>161930</v>
      </c>
      <c r="I486" s="257"/>
      <c r="J486" s="179" t="s">
        <v>182</v>
      </c>
      <c r="K486" s="258">
        <v>1540</v>
      </c>
      <c r="L486" s="259"/>
      <c r="M486" s="260" t="s">
        <v>795</v>
      </c>
      <c r="N486" s="258">
        <v>1500</v>
      </c>
      <c r="O486" s="259"/>
      <c r="P486" s="260" t="s">
        <v>795</v>
      </c>
      <c r="R486" s="183"/>
      <c r="S486" s="271"/>
      <c r="T486" s="184"/>
      <c r="V486" s="182"/>
      <c r="W486" s="185"/>
      <c r="X486" s="176"/>
      <c r="Y486" s="185"/>
      <c r="Z486" s="176"/>
      <c r="AA486" s="176"/>
      <c r="AB486" s="177"/>
      <c r="AD486" s="281"/>
      <c r="AE486" s="281"/>
      <c r="AF486" s="176"/>
      <c r="AG486" s="176"/>
      <c r="AH486" s="177"/>
      <c r="AJ486" s="187"/>
      <c r="AK486" s="185"/>
      <c r="AL486" s="176"/>
      <c r="AM486" s="176"/>
      <c r="AN486" s="177"/>
      <c r="AP486" s="1552"/>
      <c r="AQ486" s="1555"/>
      <c r="AR486" s="1552"/>
      <c r="AS486" s="1555"/>
      <c r="AT486" s="1544"/>
      <c r="AU486" s="262" t="s">
        <v>701</v>
      </c>
      <c r="AV486" s="263">
        <v>2400</v>
      </c>
      <c r="AW486" s="264">
        <v>2600</v>
      </c>
      <c r="AX486" s="265">
        <v>1600</v>
      </c>
      <c r="AY486" s="266">
        <v>1600</v>
      </c>
      <c r="BA486" s="277"/>
      <c r="BC486" s="359"/>
      <c r="BE486" s="186"/>
      <c r="BF486" s="271"/>
      <c r="BG486" s="271"/>
      <c r="BH486" s="184"/>
      <c r="BJ486" s="253"/>
      <c r="BL486" s="272"/>
      <c r="BM486" s="273"/>
      <c r="BN486" s="273"/>
      <c r="BO486" s="274"/>
      <c r="BQ486" s="186"/>
      <c r="BR486" s="196"/>
      <c r="BS486" s="196"/>
      <c r="BT486" s="197"/>
      <c r="BV486" s="186"/>
      <c r="BW486" s="196"/>
      <c r="BX486" s="196"/>
      <c r="BY486" s="196"/>
      <c r="BZ486" s="197"/>
      <c r="CB486" s="186"/>
      <c r="CC486" s="196"/>
      <c r="CD486" s="196"/>
      <c r="CE486" s="196"/>
      <c r="CF486" s="197"/>
      <c r="CH486" s="198"/>
    </row>
    <row r="487" spans="1:86" ht="63">
      <c r="A487" s="1563"/>
      <c r="B487" s="168" t="s">
        <v>339</v>
      </c>
      <c r="C487" s="241" t="s">
        <v>313</v>
      </c>
      <c r="D487" s="177" t="s">
        <v>314</v>
      </c>
      <c r="F487" s="218">
        <v>32340</v>
      </c>
      <c r="G487" s="219">
        <v>39220</v>
      </c>
      <c r="H487" s="218">
        <v>28740</v>
      </c>
      <c r="I487" s="219">
        <v>35620</v>
      </c>
      <c r="J487" s="179" t="s">
        <v>182</v>
      </c>
      <c r="K487" s="220">
        <v>300</v>
      </c>
      <c r="L487" s="221">
        <v>360</v>
      </c>
      <c r="M487" s="222" t="s">
        <v>795</v>
      </c>
      <c r="N487" s="220">
        <v>260</v>
      </c>
      <c r="O487" s="221">
        <v>320</v>
      </c>
      <c r="P487" s="222" t="s">
        <v>795</v>
      </c>
      <c r="Q487" s="160" t="s">
        <v>182</v>
      </c>
      <c r="R487" s="275">
        <v>6880</v>
      </c>
      <c r="S487" s="276">
        <v>60</v>
      </c>
      <c r="T487" s="247" t="s">
        <v>184</v>
      </c>
      <c r="V487" s="278"/>
      <c r="W487" s="279" t="s">
        <v>714</v>
      </c>
      <c r="X487" s="176"/>
      <c r="Y487" s="279" t="s">
        <v>714</v>
      </c>
      <c r="Z487" s="279"/>
      <c r="AA487" s="176"/>
      <c r="AB487" s="177"/>
      <c r="AD487" s="281"/>
      <c r="AE487" s="281"/>
      <c r="AF487" s="176"/>
      <c r="AG487" s="176"/>
      <c r="AH487" s="177"/>
      <c r="AJ487" s="187" t="s">
        <v>217</v>
      </c>
      <c r="AK487" s="185"/>
      <c r="AL487" s="176" t="s">
        <v>182</v>
      </c>
      <c r="AM487" s="176">
        <v>20</v>
      </c>
      <c r="AN487" s="177" t="s">
        <v>316</v>
      </c>
      <c r="AO487" s="160" t="s">
        <v>182</v>
      </c>
      <c r="AP487" s="1550">
        <v>2600</v>
      </c>
      <c r="AQ487" s="1553">
        <v>2900</v>
      </c>
      <c r="AR487" s="1550">
        <v>1800</v>
      </c>
      <c r="AS487" s="1553">
        <v>1800</v>
      </c>
      <c r="AT487" s="1544" t="s">
        <v>664</v>
      </c>
      <c r="AU487" s="230" t="s">
        <v>697</v>
      </c>
      <c r="AV487" s="231">
        <v>5100</v>
      </c>
      <c r="AW487" s="232">
        <v>5700</v>
      </c>
      <c r="AX487" s="267">
        <v>3500</v>
      </c>
      <c r="AY487" s="252">
        <v>3500</v>
      </c>
      <c r="BA487" s="235" t="s">
        <v>676</v>
      </c>
      <c r="BB487" s="160" t="s">
        <v>182</v>
      </c>
      <c r="BC487" s="1556">
        <v>4700</v>
      </c>
      <c r="BD487" s="160" t="s">
        <v>182</v>
      </c>
      <c r="BE487" s="187">
        <v>1620</v>
      </c>
      <c r="BF487" s="176" t="s">
        <v>182</v>
      </c>
      <c r="BG487" s="176">
        <v>10</v>
      </c>
      <c r="BH487" s="177" t="s">
        <v>184</v>
      </c>
      <c r="BJ487" s="253"/>
      <c r="BK487" s="160" t="s">
        <v>188</v>
      </c>
      <c r="BL487" s="193" t="s">
        <v>317</v>
      </c>
      <c r="BM487" s="194" t="s">
        <v>317</v>
      </c>
      <c r="BN487" s="194" t="s">
        <v>317</v>
      </c>
      <c r="BO487" s="195" t="s">
        <v>317</v>
      </c>
      <c r="BP487" s="160" t="s">
        <v>188</v>
      </c>
      <c r="BQ487" s="187"/>
      <c r="BR487" s="185"/>
      <c r="BS487" s="185"/>
      <c r="BT487" s="254"/>
      <c r="BU487" s="160" t="s">
        <v>188</v>
      </c>
      <c r="BV487" s="187"/>
      <c r="BW487" s="185"/>
      <c r="BX487" s="185"/>
      <c r="BY487" s="185"/>
      <c r="BZ487" s="254"/>
      <c r="CA487" s="160" t="s">
        <v>188</v>
      </c>
      <c r="CB487" s="187"/>
      <c r="CC487" s="185"/>
      <c r="CD487" s="185"/>
      <c r="CE487" s="185"/>
      <c r="CF487" s="254"/>
      <c r="CH487" s="253" t="s">
        <v>324</v>
      </c>
    </row>
    <row r="488" spans="1:86">
      <c r="A488" s="1563"/>
      <c r="B488" s="168"/>
      <c r="C488" s="241"/>
      <c r="D488" s="177" t="s">
        <v>318</v>
      </c>
      <c r="F488" s="242">
        <v>39220</v>
      </c>
      <c r="G488" s="243">
        <v>95670</v>
      </c>
      <c r="H488" s="242">
        <v>35620</v>
      </c>
      <c r="I488" s="243">
        <v>92070</v>
      </c>
      <c r="J488" s="179" t="s">
        <v>182</v>
      </c>
      <c r="K488" s="244">
        <v>360</v>
      </c>
      <c r="L488" s="245">
        <v>840</v>
      </c>
      <c r="M488" s="246" t="s">
        <v>795</v>
      </c>
      <c r="N488" s="244">
        <v>320</v>
      </c>
      <c r="O488" s="245">
        <v>810</v>
      </c>
      <c r="P488" s="246" t="s">
        <v>795</v>
      </c>
      <c r="Q488" s="160" t="s">
        <v>182</v>
      </c>
      <c r="R488" s="187">
        <v>6880</v>
      </c>
      <c r="S488" s="185">
        <v>60</v>
      </c>
      <c r="T488" s="247" t="s">
        <v>184</v>
      </c>
      <c r="V488" s="182"/>
      <c r="W488" s="185">
        <v>585900</v>
      </c>
      <c r="X488" s="176"/>
      <c r="Y488" s="185">
        <v>5850</v>
      </c>
      <c r="Z488" s="176" t="s">
        <v>184</v>
      </c>
      <c r="AA488" s="176"/>
      <c r="AB488" s="177"/>
      <c r="AD488" s="281"/>
      <c r="AE488" s="281"/>
      <c r="AF488" s="176"/>
      <c r="AG488" s="176"/>
      <c r="AH488" s="177"/>
      <c r="AJ488" s="187"/>
      <c r="AK488" s="185"/>
      <c r="AL488" s="176"/>
      <c r="AM488" s="176"/>
      <c r="AN488" s="177"/>
      <c r="AP488" s="1551"/>
      <c r="AQ488" s="1554"/>
      <c r="AR488" s="1551"/>
      <c r="AS488" s="1554"/>
      <c r="AT488" s="1544"/>
      <c r="AU488" s="172" t="s">
        <v>699</v>
      </c>
      <c r="AV488" s="249">
        <v>2800</v>
      </c>
      <c r="AW488" s="250">
        <v>3100</v>
      </c>
      <c r="AX488" s="267">
        <v>1900</v>
      </c>
      <c r="AY488" s="252">
        <v>1900</v>
      </c>
      <c r="BA488" s="235">
        <v>2810</v>
      </c>
      <c r="BC488" s="1557"/>
      <c r="BE488" s="187"/>
      <c r="BF488" s="176"/>
      <c r="BG488" s="176"/>
      <c r="BH488" s="177"/>
      <c r="BJ488" s="253"/>
      <c r="BL488" s="193"/>
      <c r="BM488" s="194"/>
      <c r="BN488" s="194"/>
      <c r="BO488" s="195"/>
      <c r="BQ488" s="187">
        <v>970</v>
      </c>
      <c r="BR488" s="185" t="s">
        <v>199</v>
      </c>
      <c r="BS488" s="185">
        <v>10</v>
      </c>
      <c r="BT488" s="254" t="s">
        <v>184</v>
      </c>
      <c r="BV488" s="187">
        <v>3170</v>
      </c>
      <c r="BW488" s="185" t="s">
        <v>189</v>
      </c>
      <c r="BX488" s="185">
        <v>30</v>
      </c>
      <c r="BY488" s="185" t="s">
        <v>184</v>
      </c>
      <c r="BZ488" s="254" t="s">
        <v>190</v>
      </c>
      <c r="CB488" s="187">
        <v>1930</v>
      </c>
      <c r="CC488" s="185" t="s">
        <v>189</v>
      </c>
      <c r="CD488" s="185">
        <v>10</v>
      </c>
      <c r="CE488" s="185" t="s">
        <v>184</v>
      </c>
      <c r="CF488" s="254" t="s">
        <v>190</v>
      </c>
      <c r="CH488" s="253"/>
    </row>
    <row r="489" spans="1:86">
      <c r="A489" s="1563"/>
      <c r="B489" s="168"/>
      <c r="C489" s="241" t="s">
        <v>319</v>
      </c>
      <c r="D489" s="177" t="s">
        <v>320</v>
      </c>
      <c r="F489" s="242">
        <v>95670</v>
      </c>
      <c r="G489" s="243">
        <v>164500</v>
      </c>
      <c r="H489" s="242">
        <v>92070</v>
      </c>
      <c r="I489" s="243">
        <v>160900</v>
      </c>
      <c r="J489" s="179" t="s">
        <v>182</v>
      </c>
      <c r="K489" s="244">
        <v>840</v>
      </c>
      <c r="L489" s="245">
        <v>1520</v>
      </c>
      <c r="M489" s="246" t="s">
        <v>795</v>
      </c>
      <c r="N489" s="244">
        <v>810</v>
      </c>
      <c r="O489" s="245">
        <v>1490</v>
      </c>
      <c r="P489" s="246" t="s">
        <v>795</v>
      </c>
      <c r="R489" s="182"/>
      <c r="S489" s="176"/>
      <c r="T489" s="177"/>
      <c r="V489" s="182"/>
      <c r="W489" s="185"/>
      <c r="X489" s="176"/>
      <c r="Y489" s="185"/>
      <c r="Z489" s="176"/>
      <c r="AA489" s="176"/>
      <c r="AB489" s="177"/>
      <c r="AD489" s="281"/>
      <c r="AE489" s="281"/>
      <c r="AF489" s="176"/>
      <c r="AG489" s="176"/>
      <c r="AH489" s="177"/>
      <c r="AJ489" s="187">
        <v>2020</v>
      </c>
      <c r="AK489" s="185" t="s">
        <v>321</v>
      </c>
      <c r="AL489" s="176"/>
      <c r="AM489" s="176"/>
      <c r="AN489" s="177"/>
      <c r="AP489" s="1551"/>
      <c r="AQ489" s="1554"/>
      <c r="AR489" s="1551"/>
      <c r="AS489" s="1554"/>
      <c r="AT489" s="1544"/>
      <c r="AU489" s="172" t="s">
        <v>700</v>
      </c>
      <c r="AV489" s="249">
        <v>2400</v>
      </c>
      <c r="AW489" s="250">
        <v>2700</v>
      </c>
      <c r="AX489" s="267">
        <v>1700</v>
      </c>
      <c r="AY489" s="252">
        <v>1700</v>
      </c>
      <c r="BA489" s="277"/>
      <c r="BC489" s="358"/>
      <c r="BE489" s="187"/>
      <c r="BF489" s="176"/>
      <c r="BG489" s="176"/>
      <c r="BH489" s="177"/>
      <c r="BJ489" s="253"/>
      <c r="BL489" s="193">
        <v>0.02</v>
      </c>
      <c r="BM489" s="194">
        <v>0.03</v>
      </c>
      <c r="BN489" s="194">
        <v>0.05</v>
      </c>
      <c r="BO489" s="195">
        <v>7.0000000000000007E-2</v>
      </c>
      <c r="BQ489" s="187"/>
      <c r="BR489" s="185"/>
      <c r="BS489" s="185"/>
      <c r="BT489" s="254"/>
      <c r="BV489" s="187"/>
      <c r="BW489" s="185"/>
      <c r="BX489" s="185"/>
      <c r="BY489" s="185"/>
      <c r="BZ489" s="254"/>
      <c r="CB489" s="187"/>
      <c r="CC489" s="185"/>
      <c r="CD489" s="185"/>
      <c r="CE489" s="185"/>
      <c r="CF489" s="254"/>
      <c r="CH489" s="253">
        <v>0.97</v>
      </c>
    </row>
    <row r="490" spans="1:86">
      <c r="A490" s="1563"/>
      <c r="B490" s="168"/>
      <c r="C490" s="241"/>
      <c r="D490" s="177" t="s">
        <v>322</v>
      </c>
      <c r="F490" s="256">
        <v>164500</v>
      </c>
      <c r="G490" s="257"/>
      <c r="H490" s="256">
        <v>160900</v>
      </c>
      <c r="I490" s="257"/>
      <c r="J490" s="179" t="s">
        <v>182</v>
      </c>
      <c r="K490" s="258">
        <v>1520</v>
      </c>
      <c r="L490" s="259"/>
      <c r="M490" s="260" t="s">
        <v>795</v>
      </c>
      <c r="N490" s="258">
        <v>1490</v>
      </c>
      <c r="O490" s="259"/>
      <c r="P490" s="260" t="s">
        <v>795</v>
      </c>
      <c r="R490" s="182"/>
      <c r="S490" s="176"/>
      <c r="T490" s="177"/>
      <c r="V490" s="278"/>
      <c r="W490" s="279" t="s">
        <v>715</v>
      </c>
      <c r="X490" s="176"/>
      <c r="Y490" s="279" t="s">
        <v>715</v>
      </c>
      <c r="Z490" s="279"/>
      <c r="AA490" s="176"/>
      <c r="AB490" s="177"/>
      <c r="AD490" s="281"/>
      <c r="AE490" s="281"/>
      <c r="AF490" s="176"/>
      <c r="AG490" s="176"/>
      <c r="AH490" s="177"/>
      <c r="AJ490" s="187"/>
      <c r="AK490" s="185"/>
      <c r="AL490" s="176"/>
      <c r="AM490" s="176"/>
      <c r="AN490" s="177"/>
      <c r="AP490" s="1552"/>
      <c r="AQ490" s="1555"/>
      <c r="AR490" s="1552"/>
      <c r="AS490" s="1555"/>
      <c r="AT490" s="1544"/>
      <c r="AU490" s="262" t="s">
        <v>701</v>
      </c>
      <c r="AV490" s="263">
        <v>2200</v>
      </c>
      <c r="AW490" s="264">
        <v>2400</v>
      </c>
      <c r="AX490" s="265">
        <v>1500</v>
      </c>
      <c r="AY490" s="266">
        <v>1500</v>
      </c>
      <c r="BA490" s="235" t="s">
        <v>677</v>
      </c>
      <c r="BC490" s="359"/>
      <c r="BE490" s="187"/>
      <c r="BF490" s="176"/>
      <c r="BG490" s="176"/>
      <c r="BH490" s="177"/>
      <c r="BJ490" s="253"/>
      <c r="BL490" s="193"/>
      <c r="BM490" s="194"/>
      <c r="BN490" s="194"/>
      <c r="BO490" s="195"/>
      <c r="BQ490" s="187"/>
      <c r="BR490" s="185"/>
      <c r="BS490" s="185"/>
      <c r="BT490" s="254"/>
      <c r="BV490" s="187"/>
      <c r="BW490" s="185"/>
      <c r="BX490" s="185"/>
      <c r="BY490" s="185"/>
      <c r="BZ490" s="254"/>
      <c r="CB490" s="187"/>
      <c r="CC490" s="185"/>
      <c r="CD490" s="185"/>
      <c r="CE490" s="185"/>
      <c r="CF490" s="254"/>
      <c r="CH490" s="253"/>
    </row>
    <row r="491" spans="1:86" ht="63">
      <c r="A491" s="1563"/>
      <c r="B491" s="215" t="s">
        <v>340</v>
      </c>
      <c r="C491" s="216" t="s">
        <v>313</v>
      </c>
      <c r="D491" s="217" t="s">
        <v>314</v>
      </c>
      <c r="F491" s="218">
        <v>31230</v>
      </c>
      <c r="G491" s="219">
        <v>38110</v>
      </c>
      <c r="H491" s="218">
        <v>27880</v>
      </c>
      <c r="I491" s="219">
        <v>34760</v>
      </c>
      <c r="J491" s="179" t="s">
        <v>182</v>
      </c>
      <c r="K491" s="220">
        <v>290</v>
      </c>
      <c r="L491" s="221">
        <v>350</v>
      </c>
      <c r="M491" s="222" t="s">
        <v>795</v>
      </c>
      <c r="N491" s="220">
        <v>260</v>
      </c>
      <c r="O491" s="221">
        <v>320</v>
      </c>
      <c r="P491" s="222" t="s">
        <v>795</v>
      </c>
      <c r="Q491" s="160" t="s">
        <v>182</v>
      </c>
      <c r="R491" s="223">
        <v>6880</v>
      </c>
      <c r="S491" s="224">
        <v>60</v>
      </c>
      <c r="T491" s="225" t="s">
        <v>184</v>
      </c>
      <c r="V491" s="182"/>
      <c r="W491" s="185">
        <v>619100</v>
      </c>
      <c r="X491" s="176"/>
      <c r="Y491" s="185">
        <v>6190</v>
      </c>
      <c r="Z491" s="176" t="s">
        <v>184</v>
      </c>
      <c r="AA491" s="176"/>
      <c r="AB491" s="177"/>
      <c r="AD491" s="281"/>
      <c r="AE491" s="281"/>
      <c r="AF491" s="176"/>
      <c r="AG491" s="176"/>
      <c r="AH491" s="177"/>
      <c r="AJ491" s="187" t="s">
        <v>219</v>
      </c>
      <c r="AK491" s="185"/>
      <c r="AL491" s="176" t="s">
        <v>182</v>
      </c>
      <c r="AM491" s="176">
        <v>10</v>
      </c>
      <c r="AN491" s="177" t="s">
        <v>316</v>
      </c>
      <c r="AO491" s="160" t="s">
        <v>182</v>
      </c>
      <c r="AP491" s="1550">
        <v>2800</v>
      </c>
      <c r="AQ491" s="1553">
        <v>3100</v>
      </c>
      <c r="AR491" s="1550">
        <v>1900</v>
      </c>
      <c r="AS491" s="1553">
        <v>1900</v>
      </c>
      <c r="AT491" s="1544" t="s">
        <v>664</v>
      </c>
      <c r="AU491" s="230" t="s">
        <v>697</v>
      </c>
      <c r="AV491" s="231">
        <v>5500</v>
      </c>
      <c r="AW491" s="232">
        <v>6200</v>
      </c>
      <c r="AX491" s="267">
        <v>3900</v>
      </c>
      <c r="AY491" s="252">
        <v>3900</v>
      </c>
      <c r="BA491" s="235">
        <v>2540</v>
      </c>
      <c r="BB491" s="160" t="s">
        <v>182</v>
      </c>
      <c r="BC491" s="1556">
        <v>4700</v>
      </c>
      <c r="BD491" s="160" t="s">
        <v>182</v>
      </c>
      <c r="BE491" s="228">
        <v>1510</v>
      </c>
      <c r="BF491" s="226" t="s">
        <v>182</v>
      </c>
      <c r="BG491" s="226">
        <v>10</v>
      </c>
      <c r="BH491" s="217" t="s">
        <v>184</v>
      </c>
      <c r="BJ491" s="253"/>
      <c r="BK491" s="160" t="s">
        <v>188</v>
      </c>
      <c r="BL491" s="237" t="s">
        <v>317</v>
      </c>
      <c r="BM491" s="238" t="s">
        <v>317</v>
      </c>
      <c r="BN491" s="238" t="s">
        <v>317</v>
      </c>
      <c r="BO491" s="239" t="s">
        <v>317</v>
      </c>
      <c r="BP491" s="160" t="s">
        <v>188</v>
      </c>
      <c r="BQ491" s="228"/>
      <c r="BR491" s="229"/>
      <c r="BS491" s="229"/>
      <c r="BT491" s="240"/>
      <c r="BU491" s="160" t="s">
        <v>188</v>
      </c>
      <c r="BV491" s="228"/>
      <c r="BW491" s="229"/>
      <c r="BX491" s="229"/>
      <c r="BY491" s="229"/>
      <c r="BZ491" s="240"/>
      <c r="CA491" s="160" t="s">
        <v>188</v>
      </c>
      <c r="CB491" s="228"/>
      <c r="CC491" s="229"/>
      <c r="CD491" s="229"/>
      <c r="CE491" s="229"/>
      <c r="CF491" s="240"/>
      <c r="CH491" s="236" t="s">
        <v>324</v>
      </c>
    </row>
    <row r="492" spans="1:86">
      <c r="A492" s="1563"/>
      <c r="B492" s="168"/>
      <c r="C492" s="241"/>
      <c r="D492" s="177" t="s">
        <v>318</v>
      </c>
      <c r="F492" s="242">
        <v>38110</v>
      </c>
      <c r="G492" s="243">
        <v>94560</v>
      </c>
      <c r="H492" s="242">
        <v>34760</v>
      </c>
      <c r="I492" s="243">
        <v>91210</v>
      </c>
      <c r="J492" s="179" t="s">
        <v>182</v>
      </c>
      <c r="K492" s="244">
        <v>350</v>
      </c>
      <c r="L492" s="245">
        <v>830</v>
      </c>
      <c r="M492" s="246" t="s">
        <v>795</v>
      </c>
      <c r="N492" s="244">
        <v>320</v>
      </c>
      <c r="O492" s="245">
        <v>800</v>
      </c>
      <c r="P492" s="246" t="s">
        <v>795</v>
      </c>
      <c r="Q492" s="160" t="s">
        <v>182</v>
      </c>
      <c r="R492" s="187">
        <v>6880</v>
      </c>
      <c r="S492" s="185">
        <v>60</v>
      </c>
      <c r="T492" s="247" t="s">
        <v>184</v>
      </c>
      <c r="V492" s="182"/>
      <c r="W492" s="185"/>
      <c r="X492" s="176"/>
      <c r="Y492" s="185"/>
      <c r="Z492" s="176"/>
      <c r="AA492" s="176"/>
      <c r="AB492" s="177"/>
      <c r="AD492" s="281"/>
      <c r="AE492" s="281"/>
      <c r="AF492" s="176"/>
      <c r="AG492" s="176"/>
      <c r="AH492" s="177"/>
      <c r="AJ492" s="187"/>
      <c r="AK492" s="185"/>
      <c r="AL492" s="176"/>
      <c r="AM492" s="176"/>
      <c r="AN492" s="177"/>
      <c r="AP492" s="1551"/>
      <c r="AQ492" s="1554"/>
      <c r="AR492" s="1551"/>
      <c r="AS492" s="1554"/>
      <c r="AT492" s="1544"/>
      <c r="AU492" s="172" t="s">
        <v>699</v>
      </c>
      <c r="AV492" s="249">
        <v>3000</v>
      </c>
      <c r="AW492" s="250">
        <v>3400</v>
      </c>
      <c r="AX492" s="267">
        <v>2100</v>
      </c>
      <c r="AY492" s="252">
        <v>2100</v>
      </c>
      <c r="BA492" s="277"/>
      <c r="BC492" s="1557"/>
      <c r="BE492" s="187"/>
      <c r="BF492" s="176"/>
      <c r="BG492" s="176"/>
      <c r="BH492" s="177"/>
      <c r="BJ492" s="253"/>
      <c r="BL492" s="193"/>
      <c r="BM492" s="194"/>
      <c r="BN492" s="194"/>
      <c r="BO492" s="195"/>
      <c r="BQ492" s="187">
        <v>900</v>
      </c>
      <c r="BR492" s="185" t="s">
        <v>199</v>
      </c>
      <c r="BS492" s="185">
        <v>9</v>
      </c>
      <c r="BT492" s="254" t="s">
        <v>184</v>
      </c>
      <c r="BV492" s="187">
        <v>2950</v>
      </c>
      <c r="BW492" s="185" t="s">
        <v>189</v>
      </c>
      <c r="BX492" s="185">
        <v>30</v>
      </c>
      <c r="BY492" s="185" t="s">
        <v>184</v>
      </c>
      <c r="BZ492" s="254" t="s">
        <v>190</v>
      </c>
      <c r="CB492" s="187">
        <v>1790</v>
      </c>
      <c r="CC492" s="185" t="s">
        <v>189</v>
      </c>
      <c r="CD492" s="185">
        <v>10</v>
      </c>
      <c r="CE492" s="185" t="s">
        <v>184</v>
      </c>
      <c r="CF492" s="254" t="s">
        <v>190</v>
      </c>
      <c r="CH492" s="253"/>
    </row>
    <row r="493" spans="1:86">
      <c r="A493" s="1563"/>
      <c r="B493" s="168"/>
      <c r="C493" s="241" t="s">
        <v>319</v>
      </c>
      <c r="D493" s="177" t="s">
        <v>320</v>
      </c>
      <c r="F493" s="242">
        <v>94560</v>
      </c>
      <c r="G493" s="243">
        <v>163390</v>
      </c>
      <c r="H493" s="242">
        <v>91210</v>
      </c>
      <c r="I493" s="243">
        <v>160040</v>
      </c>
      <c r="J493" s="179" t="s">
        <v>182</v>
      </c>
      <c r="K493" s="244">
        <v>830</v>
      </c>
      <c r="L493" s="245">
        <v>1510</v>
      </c>
      <c r="M493" s="246" t="s">
        <v>795</v>
      </c>
      <c r="N493" s="244">
        <v>800</v>
      </c>
      <c r="O493" s="245">
        <v>1480</v>
      </c>
      <c r="P493" s="246" t="s">
        <v>795</v>
      </c>
      <c r="R493" s="182"/>
      <c r="S493" s="176"/>
      <c r="T493" s="177"/>
      <c r="V493" s="278"/>
      <c r="W493" s="279" t="s">
        <v>716</v>
      </c>
      <c r="X493" s="176"/>
      <c r="Y493" s="279" t="s">
        <v>716</v>
      </c>
      <c r="Z493" s="279"/>
      <c r="AA493" s="176"/>
      <c r="AB493" s="177"/>
      <c r="AD493" s="281"/>
      <c r="AE493" s="281"/>
      <c r="AF493" s="176"/>
      <c r="AG493" s="176"/>
      <c r="AH493" s="177"/>
      <c r="AJ493" s="187">
        <v>1760</v>
      </c>
      <c r="AK493" s="185" t="s">
        <v>321</v>
      </c>
      <c r="AL493" s="176"/>
      <c r="AM493" s="176"/>
      <c r="AN493" s="177"/>
      <c r="AP493" s="1551"/>
      <c r="AQ493" s="1554"/>
      <c r="AR493" s="1551"/>
      <c r="AS493" s="1554"/>
      <c r="AT493" s="1544"/>
      <c r="AU493" s="172" t="s">
        <v>700</v>
      </c>
      <c r="AV493" s="249">
        <v>2600</v>
      </c>
      <c r="AW493" s="250">
        <v>2900</v>
      </c>
      <c r="AX493" s="267">
        <v>1800</v>
      </c>
      <c r="AY493" s="252">
        <v>1800</v>
      </c>
      <c r="BA493" s="235" t="s">
        <v>678</v>
      </c>
      <c r="BC493" s="359"/>
      <c r="BE493" s="187"/>
      <c r="BF493" s="176"/>
      <c r="BG493" s="176"/>
      <c r="BH493" s="177"/>
      <c r="BJ493" s="253"/>
      <c r="BL493" s="193">
        <v>0.02</v>
      </c>
      <c r="BM493" s="194">
        <v>0.03</v>
      </c>
      <c r="BN493" s="194">
        <v>0.05</v>
      </c>
      <c r="BO493" s="195">
        <v>7.0000000000000007E-2</v>
      </c>
      <c r="BQ493" s="187"/>
      <c r="BR493" s="185"/>
      <c r="BS493" s="185"/>
      <c r="BT493" s="254"/>
      <c r="BV493" s="187"/>
      <c r="BW493" s="185"/>
      <c r="BX493" s="185"/>
      <c r="BY493" s="185"/>
      <c r="BZ493" s="254"/>
      <c r="CB493" s="187"/>
      <c r="CC493" s="185"/>
      <c r="CD493" s="185"/>
      <c r="CE493" s="185"/>
      <c r="CF493" s="254"/>
      <c r="CH493" s="253">
        <v>0.98</v>
      </c>
    </row>
    <row r="494" spans="1:86">
      <c r="A494" s="1563"/>
      <c r="B494" s="269"/>
      <c r="C494" s="270"/>
      <c r="D494" s="184" t="s">
        <v>322</v>
      </c>
      <c r="F494" s="256">
        <v>163390</v>
      </c>
      <c r="G494" s="257"/>
      <c r="H494" s="256">
        <v>160040</v>
      </c>
      <c r="I494" s="257"/>
      <c r="J494" s="179" t="s">
        <v>182</v>
      </c>
      <c r="K494" s="258">
        <v>1510</v>
      </c>
      <c r="L494" s="259"/>
      <c r="M494" s="260" t="s">
        <v>795</v>
      </c>
      <c r="N494" s="258">
        <v>1480</v>
      </c>
      <c r="O494" s="259"/>
      <c r="P494" s="260" t="s">
        <v>795</v>
      </c>
      <c r="R494" s="183"/>
      <c r="S494" s="271"/>
      <c r="T494" s="184"/>
      <c r="V494" s="182"/>
      <c r="W494" s="185">
        <v>652400</v>
      </c>
      <c r="X494" s="176"/>
      <c r="Y494" s="185">
        <v>6520</v>
      </c>
      <c r="Z494" s="176" t="s">
        <v>184</v>
      </c>
      <c r="AA494" s="176"/>
      <c r="AB494" s="177"/>
      <c r="AD494" s="281"/>
      <c r="AE494" s="281"/>
      <c r="AF494" s="176"/>
      <c r="AG494" s="176"/>
      <c r="AH494" s="177"/>
      <c r="AJ494" s="187"/>
      <c r="AK494" s="185"/>
      <c r="AL494" s="176"/>
      <c r="AM494" s="176"/>
      <c r="AN494" s="177"/>
      <c r="AP494" s="1552"/>
      <c r="AQ494" s="1555"/>
      <c r="AR494" s="1552"/>
      <c r="AS494" s="1555"/>
      <c r="AT494" s="1544"/>
      <c r="AU494" s="262" t="s">
        <v>701</v>
      </c>
      <c r="AV494" s="263">
        <v>2400</v>
      </c>
      <c r="AW494" s="264">
        <v>2600</v>
      </c>
      <c r="AX494" s="265">
        <v>1600</v>
      </c>
      <c r="AY494" s="266">
        <v>1600</v>
      </c>
      <c r="BA494" s="235">
        <v>2440</v>
      </c>
      <c r="BC494" s="359"/>
      <c r="BE494" s="186"/>
      <c r="BF494" s="271"/>
      <c r="BG494" s="271"/>
      <c r="BH494" s="184"/>
      <c r="BJ494" s="253"/>
      <c r="BL494" s="272"/>
      <c r="BM494" s="273"/>
      <c r="BN494" s="273"/>
      <c r="BO494" s="274"/>
      <c r="BQ494" s="186"/>
      <c r="BR494" s="196"/>
      <c r="BS494" s="196"/>
      <c r="BT494" s="197"/>
      <c r="BV494" s="186"/>
      <c r="BW494" s="196"/>
      <c r="BX494" s="196"/>
      <c r="BY494" s="196"/>
      <c r="BZ494" s="197"/>
      <c r="CB494" s="186"/>
      <c r="CC494" s="196"/>
      <c r="CD494" s="196"/>
      <c r="CE494" s="196"/>
      <c r="CF494" s="197"/>
      <c r="CH494" s="198"/>
    </row>
    <row r="495" spans="1:86" ht="63">
      <c r="A495" s="1563"/>
      <c r="B495" s="168" t="s">
        <v>341</v>
      </c>
      <c r="C495" s="241" t="s">
        <v>313</v>
      </c>
      <c r="D495" s="177" t="s">
        <v>314</v>
      </c>
      <c r="F495" s="218">
        <v>30240</v>
      </c>
      <c r="G495" s="219">
        <v>37120</v>
      </c>
      <c r="H495" s="218">
        <v>27120</v>
      </c>
      <c r="I495" s="219">
        <v>34000</v>
      </c>
      <c r="J495" s="179" t="s">
        <v>182</v>
      </c>
      <c r="K495" s="220">
        <v>280</v>
      </c>
      <c r="L495" s="221">
        <v>340</v>
      </c>
      <c r="M495" s="222" t="s">
        <v>795</v>
      </c>
      <c r="N495" s="220">
        <v>250</v>
      </c>
      <c r="O495" s="221">
        <v>310</v>
      </c>
      <c r="P495" s="222" t="s">
        <v>795</v>
      </c>
      <c r="Q495" s="160" t="s">
        <v>182</v>
      </c>
      <c r="R495" s="275">
        <v>6880</v>
      </c>
      <c r="S495" s="276">
        <v>60</v>
      </c>
      <c r="T495" s="247" t="s">
        <v>184</v>
      </c>
      <c r="V495" s="182"/>
      <c r="W495" s="185"/>
      <c r="X495" s="176"/>
      <c r="Y495" s="185"/>
      <c r="Z495" s="176"/>
      <c r="AA495" s="176"/>
      <c r="AB495" s="177"/>
      <c r="AD495" s="281"/>
      <c r="AE495" s="281"/>
      <c r="AF495" s="176"/>
      <c r="AG495" s="176"/>
      <c r="AH495" s="177"/>
      <c r="AJ495" s="187" t="s">
        <v>221</v>
      </c>
      <c r="AK495" s="185"/>
      <c r="AL495" s="176" t="s">
        <v>182</v>
      </c>
      <c r="AM495" s="176">
        <v>10</v>
      </c>
      <c r="AN495" s="177" t="s">
        <v>316</v>
      </c>
      <c r="AO495" s="160" t="s">
        <v>182</v>
      </c>
      <c r="AP495" s="1550">
        <v>2600</v>
      </c>
      <c r="AQ495" s="1553">
        <v>2900</v>
      </c>
      <c r="AR495" s="1550">
        <v>1800</v>
      </c>
      <c r="AS495" s="1553">
        <v>1800</v>
      </c>
      <c r="AT495" s="1544" t="s">
        <v>664</v>
      </c>
      <c r="AU495" s="230" t="s">
        <v>697</v>
      </c>
      <c r="AV495" s="231">
        <v>5400</v>
      </c>
      <c r="AW495" s="232">
        <v>6000</v>
      </c>
      <c r="AX495" s="267">
        <v>3700</v>
      </c>
      <c r="AY495" s="252">
        <v>3700</v>
      </c>
      <c r="BA495" s="235"/>
      <c r="BB495" s="160" t="s">
        <v>182</v>
      </c>
      <c r="BC495" s="1556">
        <v>4700</v>
      </c>
      <c r="BD495" s="160" t="s">
        <v>182</v>
      </c>
      <c r="BE495" s="187">
        <v>1410</v>
      </c>
      <c r="BF495" s="176" t="s">
        <v>182</v>
      </c>
      <c r="BG495" s="176">
        <v>10</v>
      </c>
      <c r="BH495" s="177" t="s">
        <v>184</v>
      </c>
      <c r="BJ495" s="253"/>
      <c r="BK495" s="160" t="s">
        <v>188</v>
      </c>
      <c r="BL495" s="193" t="s">
        <v>317</v>
      </c>
      <c r="BM495" s="194" t="s">
        <v>317</v>
      </c>
      <c r="BN495" s="194" t="s">
        <v>317</v>
      </c>
      <c r="BO495" s="195" t="s">
        <v>317</v>
      </c>
      <c r="BP495" s="160" t="s">
        <v>188</v>
      </c>
      <c r="BQ495" s="187"/>
      <c r="BR495" s="185"/>
      <c r="BS495" s="185"/>
      <c r="BT495" s="254"/>
      <c r="BU495" s="160" t="s">
        <v>188</v>
      </c>
      <c r="BV495" s="187"/>
      <c r="BW495" s="185"/>
      <c r="BX495" s="185"/>
      <c r="BY495" s="185"/>
      <c r="BZ495" s="254"/>
      <c r="CA495" s="160" t="s">
        <v>188</v>
      </c>
      <c r="CB495" s="187"/>
      <c r="CC495" s="185"/>
      <c r="CD495" s="185"/>
      <c r="CE495" s="185"/>
      <c r="CF495" s="254"/>
      <c r="CH495" s="253" t="s">
        <v>324</v>
      </c>
    </row>
    <row r="496" spans="1:86">
      <c r="A496" s="1563"/>
      <c r="B496" s="168"/>
      <c r="C496" s="241"/>
      <c r="D496" s="177" t="s">
        <v>318</v>
      </c>
      <c r="F496" s="242">
        <v>37120</v>
      </c>
      <c r="G496" s="243">
        <v>93570</v>
      </c>
      <c r="H496" s="242">
        <v>34000</v>
      </c>
      <c r="I496" s="243">
        <v>90450</v>
      </c>
      <c r="J496" s="179" t="s">
        <v>182</v>
      </c>
      <c r="K496" s="244">
        <v>340</v>
      </c>
      <c r="L496" s="245">
        <v>820</v>
      </c>
      <c r="M496" s="246" t="s">
        <v>795</v>
      </c>
      <c r="N496" s="244">
        <v>310</v>
      </c>
      <c r="O496" s="245">
        <v>790</v>
      </c>
      <c r="P496" s="246" t="s">
        <v>795</v>
      </c>
      <c r="Q496" s="160" t="s">
        <v>182</v>
      </c>
      <c r="R496" s="187">
        <v>6880</v>
      </c>
      <c r="S496" s="185">
        <v>60</v>
      </c>
      <c r="T496" s="247" t="s">
        <v>184</v>
      </c>
      <c r="V496" s="182"/>
      <c r="W496" s="185"/>
      <c r="X496" s="176"/>
      <c r="Y496" s="185"/>
      <c r="Z496" s="176"/>
      <c r="AA496" s="176"/>
      <c r="AB496" s="177"/>
      <c r="AD496" s="281"/>
      <c r="AE496" s="281"/>
      <c r="AF496" s="176"/>
      <c r="AG496" s="176"/>
      <c r="AH496" s="177"/>
      <c r="AJ496" s="187"/>
      <c r="AK496" s="185"/>
      <c r="AL496" s="176"/>
      <c r="AM496" s="176"/>
      <c r="AN496" s="177"/>
      <c r="AP496" s="1551"/>
      <c r="AQ496" s="1554"/>
      <c r="AR496" s="1551"/>
      <c r="AS496" s="1554"/>
      <c r="AT496" s="1544"/>
      <c r="AU496" s="172" t="s">
        <v>699</v>
      </c>
      <c r="AV496" s="249">
        <v>2900</v>
      </c>
      <c r="AW496" s="250">
        <v>3300</v>
      </c>
      <c r="AX496" s="267">
        <v>2000</v>
      </c>
      <c r="AY496" s="252">
        <v>2000</v>
      </c>
      <c r="BA496" s="235" t="s">
        <v>679</v>
      </c>
      <c r="BC496" s="1557"/>
      <c r="BE496" s="187"/>
      <c r="BF496" s="176"/>
      <c r="BG496" s="176"/>
      <c r="BH496" s="177"/>
      <c r="BJ496" s="253"/>
      <c r="BL496" s="193"/>
      <c r="BM496" s="194"/>
      <c r="BN496" s="194"/>
      <c r="BO496" s="195"/>
      <c r="BQ496" s="187">
        <v>840</v>
      </c>
      <c r="BR496" s="185" t="s">
        <v>199</v>
      </c>
      <c r="BS496" s="185">
        <v>8</v>
      </c>
      <c r="BT496" s="254" t="s">
        <v>184</v>
      </c>
      <c r="BV496" s="187">
        <v>2750</v>
      </c>
      <c r="BW496" s="185" t="s">
        <v>189</v>
      </c>
      <c r="BX496" s="185">
        <v>20</v>
      </c>
      <c r="BY496" s="185" t="s">
        <v>184</v>
      </c>
      <c r="BZ496" s="254" t="s">
        <v>190</v>
      </c>
      <c r="CB496" s="187">
        <v>1670</v>
      </c>
      <c r="CC496" s="185" t="s">
        <v>189</v>
      </c>
      <c r="CD496" s="185">
        <v>10</v>
      </c>
      <c r="CE496" s="185" t="s">
        <v>184</v>
      </c>
      <c r="CF496" s="254" t="s">
        <v>190</v>
      </c>
      <c r="CH496" s="253"/>
    </row>
    <row r="497" spans="1:86">
      <c r="A497" s="1563"/>
      <c r="B497" s="168"/>
      <c r="C497" s="241" t="s">
        <v>319</v>
      </c>
      <c r="D497" s="177" t="s">
        <v>320</v>
      </c>
      <c r="F497" s="242">
        <v>93570</v>
      </c>
      <c r="G497" s="243">
        <v>162400</v>
      </c>
      <c r="H497" s="242">
        <v>90450</v>
      </c>
      <c r="I497" s="243">
        <v>159280</v>
      </c>
      <c r="J497" s="179" t="s">
        <v>182</v>
      </c>
      <c r="K497" s="244">
        <v>820</v>
      </c>
      <c r="L497" s="245">
        <v>1500</v>
      </c>
      <c r="M497" s="246" t="s">
        <v>795</v>
      </c>
      <c r="N497" s="244">
        <v>790</v>
      </c>
      <c r="O497" s="245">
        <v>1470</v>
      </c>
      <c r="P497" s="246" t="s">
        <v>795</v>
      </c>
      <c r="R497" s="182"/>
      <c r="S497" s="176"/>
      <c r="T497" s="177"/>
      <c r="V497" s="182"/>
      <c r="W497" s="185"/>
      <c r="X497" s="176"/>
      <c r="Y497" s="185"/>
      <c r="Z497" s="176"/>
      <c r="AA497" s="176"/>
      <c r="AB497" s="177"/>
      <c r="AD497" s="281"/>
      <c r="AE497" s="281"/>
      <c r="AF497" s="176"/>
      <c r="AG497" s="176"/>
      <c r="AH497" s="177"/>
      <c r="AJ497" s="187">
        <v>1570</v>
      </c>
      <c r="AK497" s="185" t="s">
        <v>321</v>
      </c>
      <c r="AL497" s="176"/>
      <c r="AM497" s="176"/>
      <c r="AN497" s="177"/>
      <c r="AP497" s="1551"/>
      <c r="AQ497" s="1554"/>
      <c r="AR497" s="1551"/>
      <c r="AS497" s="1554"/>
      <c r="AT497" s="1544"/>
      <c r="AU497" s="172" t="s">
        <v>700</v>
      </c>
      <c r="AV497" s="249">
        <v>2500</v>
      </c>
      <c r="AW497" s="250">
        <v>2800</v>
      </c>
      <c r="AX497" s="267">
        <v>1800</v>
      </c>
      <c r="AY497" s="252">
        <v>1800</v>
      </c>
      <c r="BA497" s="235">
        <v>2360</v>
      </c>
      <c r="BC497" s="359"/>
      <c r="BE497" s="187"/>
      <c r="BF497" s="176"/>
      <c r="BG497" s="176"/>
      <c r="BH497" s="177"/>
      <c r="BJ497" s="253"/>
      <c r="BL497" s="193">
        <v>0.02</v>
      </c>
      <c r="BM497" s="194">
        <v>0.03</v>
      </c>
      <c r="BN497" s="194">
        <v>0.05</v>
      </c>
      <c r="BO497" s="195">
        <v>7.0000000000000007E-2</v>
      </c>
      <c r="BQ497" s="187"/>
      <c r="BR497" s="185"/>
      <c r="BS497" s="185"/>
      <c r="BT497" s="254"/>
      <c r="BV497" s="187"/>
      <c r="BW497" s="185"/>
      <c r="BX497" s="185"/>
      <c r="BY497" s="185"/>
      <c r="BZ497" s="254"/>
      <c r="CB497" s="187"/>
      <c r="CC497" s="185"/>
      <c r="CD497" s="185"/>
      <c r="CE497" s="185"/>
      <c r="CF497" s="254"/>
      <c r="CH497" s="253">
        <v>0.98</v>
      </c>
    </row>
    <row r="498" spans="1:86">
      <c r="A498" s="1563"/>
      <c r="B498" s="168"/>
      <c r="C498" s="241"/>
      <c r="D498" s="177" t="s">
        <v>322</v>
      </c>
      <c r="F498" s="256">
        <v>162400</v>
      </c>
      <c r="G498" s="257"/>
      <c r="H498" s="256">
        <v>159280</v>
      </c>
      <c r="I498" s="257"/>
      <c r="J498" s="179" t="s">
        <v>182</v>
      </c>
      <c r="K498" s="258">
        <v>1500</v>
      </c>
      <c r="L498" s="259"/>
      <c r="M498" s="260" t="s">
        <v>795</v>
      </c>
      <c r="N498" s="258">
        <v>1470</v>
      </c>
      <c r="O498" s="259"/>
      <c r="P498" s="260" t="s">
        <v>795</v>
      </c>
      <c r="R498" s="182"/>
      <c r="S498" s="176"/>
      <c r="T498" s="177"/>
      <c r="V498" s="182"/>
      <c r="W498" s="185"/>
      <c r="X498" s="176"/>
      <c r="Y498" s="185"/>
      <c r="Z498" s="176"/>
      <c r="AA498" s="176"/>
      <c r="AB498" s="177"/>
      <c r="AD498" s="281"/>
      <c r="AE498" s="281"/>
      <c r="AF498" s="176"/>
      <c r="AG498" s="176"/>
      <c r="AH498" s="177"/>
      <c r="AJ498" s="187"/>
      <c r="AK498" s="185"/>
      <c r="AL498" s="176"/>
      <c r="AM498" s="176"/>
      <c r="AN498" s="177"/>
      <c r="AP498" s="1552"/>
      <c r="AQ498" s="1555"/>
      <c r="AR498" s="1552"/>
      <c r="AS498" s="1555"/>
      <c r="AT498" s="1544"/>
      <c r="AU498" s="262" t="s">
        <v>701</v>
      </c>
      <c r="AV498" s="263">
        <v>2300</v>
      </c>
      <c r="AW498" s="264">
        <v>2500</v>
      </c>
      <c r="AX498" s="265">
        <v>1600</v>
      </c>
      <c r="AY498" s="266">
        <v>1600</v>
      </c>
      <c r="BA498" s="235"/>
      <c r="BC498" s="359"/>
      <c r="BE498" s="187"/>
      <c r="BF498" s="176"/>
      <c r="BG498" s="176"/>
      <c r="BH498" s="177"/>
      <c r="BJ498" s="253"/>
      <c r="BL498" s="193"/>
      <c r="BM498" s="194"/>
      <c r="BN498" s="194"/>
      <c r="BO498" s="195"/>
      <c r="BQ498" s="187"/>
      <c r="BR498" s="185"/>
      <c r="BS498" s="185"/>
      <c r="BT498" s="254"/>
      <c r="BV498" s="187"/>
      <c r="BW498" s="185"/>
      <c r="BX498" s="185"/>
      <c r="BY498" s="185"/>
      <c r="BZ498" s="254"/>
      <c r="CB498" s="187"/>
      <c r="CC498" s="185"/>
      <c r="CD498" s="185"/>
      <c r="CE498" s="185"/>
      <c r="CF498" s="254"/>
      <c r="CH498" s="253"/>
    </row>
    <row r="499" spans="1:86" ht="63">
      <c r="A499" s="1563"/>
      <c r="B499" s="215" t="s">
        <v>342</v>
      </c>
      <c r="C499" s="216" t="s">
        <v>313</v>
      </c>
      <c r="D499" s="217" t="s">
        <v>314</v>
      </c>
      <c r="F499" s="218">
        <v>30240</v>
      </c>
      <c r="G499" s="219">
        <v>37120</v>
      </c>
      <c r="H499" s="218">
        <v>27320</v>
      </c>
      <c r="I499" s="219">
        <v>34200</v>
      </c>
      <c r="J499" s="179" t="s">
        <v>182</v>
      </c>
      <c r="K499" s="220">
        <v>280</v>
      </c>
      <c r="L499" s="221">
        <v>340</v>
      </c>
      <c r="M499" s="222" t="s">
        <v>795</v>
      </c>
      <c r="N499" s="220">
        <v>250</v>
      </c>
      <c r="O499" s="221">
        <v>310</v>
      </c>
      <c r="P499" s="222" t="s">
        <v>795</v>
      </c>
      <c r="Q499" s="160" t="s">
        <v>182</v>
      </c>
      <c r="R499" s="223">
        <v>6880</v>
      </c>
      <c r="S499" s="224">
        <v>60</v>
      </c>
      <c r="T499" s="225" t="s">
        <v>184</v>
      </c>
      <c r="V499" s="182"/>
      <c r="W499" s="185"/>
      <c r="X499" s="176"/>
      <c r="Y499" s="185"/>
      <c r="Z499" s="176"/>
      <c r="AA499" s="176"/>
      <c r="AB499" s="177"/>
      <c r="AD499" s="281"/>
      <c r="AE499" s="281"/>
      <c r="AF499" s="176"/>
      <c r="AG499" s="176"/>
      <c r="AH499" s="177"/>
      <c r="AJ499" s="187" t="s">
        <v>223</v>
      </c>
      <c r="AK499" s="185"/>
      <c r="AL499" s="176" t="s">
        <v>182</v>
      </c>
      <c r="AM499" s="176">
        <v>10</v>
      </c>
      <c r="AN499" s="177" t="s">
        <v>316</v>
      </c>
      <c r="AO499" s="160" t="s">
        <v>182</v>
      </c>
      <c r="AP499" s="1550">
        <v>2400</v>
      </c>
      <c r="AQ499" s="1553">
        <v>2700</v>
      </c>
      <c r="AR499" s="1550">
        <v>1700</v>
      </c>
      <c r="AS499" s="1553">
        <v>1700</v>
      </c>
      <c r="AT499" s="1544" t="s">
        <v>664</v>
      </c>
      <c r="AU499" s="230" t="s">
        <v>697</v>
      </c>
      <c r="AV499" s="231">
        <v>4800</v>
      </c>
      <c r="AW499" s="232">
        <v>5400</v>
      </c>
      <c r="AX499" s="267">
        <v>3400</v>
      </c>
      <c r="AY499" s="252">
        <v>3400</v>
      </c>
      <c r="BA499" s="235" t="s">
        <v>680</v>
      </c>
      <c r="BB499" s="160" t="s">
        <v>182</v>
      </c>
      <c r="BC499" s="1556">
        <v>4700</v>
      </c>
      <c r="BD499" s="160" t="s">
        <v>182</v>
      </c>
      <c r="BE499" s="228">
        <v>1320</v>
      </c>
      <c r="BF499" s="226" t="s">
        <v>182</v>
      </c>
      <c r="BG499" s="226">
        <v>10</v>
      </c>
      <c r="BH499" s="217" t="s">
        <v>184</v>
      </c>
      <c r="BJ499" s="253"/>
      <c r="BK499" s="160" t="s">
        <v>188</v>
      </c>
      <c r="BL499" s="237" t="s">
        <v>317</v>
      </c>
      <c r="BM499" s="238" t="s">
        <v>317</v>
      </c>
      <c r="BN499" s="238" t="s">
        <v>317</v>
      </c>
      <c r="BO499" s="239" t="s">
        <v>317</v>
      </c>
      <c r="BP499" s="160" t="s">
        <v>188</v>
      </c>
      <c r="BQ499" s="228"/>
      <c r="BR499" s="229"/>
      <c r="BS499" s="229"/>
      <c r="BT499" s="240"/>
      <c r="BU499" s="160" t="s">
        <v>188</v>
      </c>
      <c r="BV499" s="228"/>
      <c r="BW499" s="229"/>
      <c r="BX499" s="229"/>
      <c r="BY499" s="229"/>
      <c r="BZ499" s="240"/>
      <c r="CA499" s="160" t="s">
        <v>188</v>
      </c>
      <c r="CB499" s="228"/>
      <c r="CC499" s="229"/>
      <c r="CD499" s="229"/>
      <c r="CE499" s="229"/>
      <c r="CF499" s="240"/>
      <c r="CH499" s="236" t="s">
        <v>324</v>
      </c>
    </row>
    <row r="500" spans="1:86">
      <c r="A500" s="1563"/>
      <c r="B500" s="168"/>
      <c r="C500" s="241"/>
      <c r="D500" s="177" t="s">
        <v>318</v>
      </c>
      <c r="F500" s="242">
        <v>37120</v>
      </c>
      <c r="G500" s="243">
        <v>93570</v>
      </c>
      <c r="H500" s="242">
        <v>34200</v>
      </c>
      <c r="I500" s="243">
        <v>90650</v>
      </c>
      <c r="J500" s="179" t="s">
        <v>182</v>
      </c>
      <c r="K500" s="244">
        <v>340</v>
      </c>
      <c r="L500" s="245">
        <v>820</v>
      </c>
      <c r="M500" s="246" t="s">
        <v>795</v>
      </c>
      <c r="N500" s="244">
        <v>310</v>
      </c>
      <c r="O500" s="245">
        <v>790</v>
      </c>
      <c r="P500" s="246" t="s">
        <v>795</v>
      </c>
      <c r="Q500" s="160" t="s">
        <v>182</v>
      </c>
      <c r="R500" s="187">
        <v>6880</v>
      </c>
      <c r="S500" s="185">
        <v>60</v>
      </c>
      <c r="T500" s="247" t="s">
        <v>184</v>
      </c>
      <c r="V500" s="182"/>
      <c r="W500" s="185"/>
      <c r="X500" s="176"/>
      <c r="Y500" s="185"/>
      <c r="Z500" s="176"/>
      <c r="AA500" s="176"/>
      <c r="AB500" s="177"/>
      <c r="AD500" s="281"/>
      <c r="AE500" s="281"/>
      <c r="AF500" s="176"/>
      <c r="AG500" s="176"/>
      <c r="AH500" s="177"/>
      <c r="AJ500" s="187"/>
      <c r="AK500" s="185"/>
      <c r="AL500" s="176"/>
      <c r="AM500" s="176"/>
      <c r="AN500" s="177"/>
      <c r="AP500" s="1551"/>
      <c r="AQ500" s="1554"/>
      <c r="AR500" s="1551"/>
      <c r="AS500" s="1554"/>
      <c r="AT500" s="1544"/>
      <c r="AU500" s="172" t="s">
        <v>699</v>
      </c>
      <c r="AV500" s="249">
        <v>2600</v>
      </c>
      <c r="AW500" s="250">
        <v>2900</v>
      </c>
      <c r="AX500" s="267">
        <v>1800</v>
      </c>
      <c r="AY500" s="252">
        <v>1800</v>
      </c>
      <c r="BA500" s="235">
        <v>2150</v>
      </c>
      <c r="BC500" s="1557"/>
      <c r="BE500" s="187"/>
      <c r="BF500" s="176"/>
      <c r="BG500" s="176"/>
      <c r="BH500" s="177"/>
      <c r="BJ500" s="253"/>
      <c r="BL500" s="193"/>
      <c r="BM500" s="194"/>
      <c r="BN500" s="194"/>
      <c r="BO500" s="195"/>
      <c r="BQ500" s="187">
        <v>790</v>
      </c>
      <c r="BR500" s="185" t="s">
        <v>199</v>
      </c>
      <c r="BS500" s="185">
        <v>8</v>
      </c>
      <c r="BT500" s="254" t="s">
        <v>184</v>
      </c>
      <c r="BV500" s="187">
        <v>2580</v>
      </c>
      <c r="BW500" s="185" t="s">
        <v>189</v>
      </c>
      <c r="BX500" s="185">
        <v>20</v>
      </c>
      <c r="BY500" s="185" t="s">
        <v>184</v>
      </c>
      <c r="BZ500" s="254" t="s">
        <v>190</v>
      </c>
      <c r="CB500" s="187">
        <v>1570</v>
      </c>
      <c r="CC500" s="185" t="s">
        <v>189</v>
      </c>
      <c r="CD500" s="185">
        <v>10</v>
      </c>
      <c r="CE500" s="185" t="s">
        <v>184</v>
      </c>
      <c r="CF500" s="254" t="s">
        <v>190</v>
      </c>
      <c r="CH500" s="253"/>
    </row>
    <row r="501" spans="1:86">
      <c r="A501" s="1563"/>
      <c r="B501" s="168"/>
      <c r="C501" s="241" t="s">
        <v>319</v>
      </c>
      <c r="D501" s="177" t="s">
        <v>320</v>
      </c>
      <c r="F501" s="242">
        <v>93570</v>
      </c>
      <c r="G501" s="243">
        <v>162400</v>
      </c>
      <c r="H501" s="242">
        <v>90650</v>
      </c>
      <c r="I501" s="243">
        <v>159480</v>
      </c>
      <c r="J501" s="179" t="s">
        <v>182</v>
      </c>
      <c r="K501" s="244">
        <v>820</v>
      </c>
      <c r="L501" s="245">
        <v>1500</v>
      </c>
      <c r="M501" s="246" t="s">
        <v>795</v>
      </c>
      <c r="N501" s="244">
        <v>790</v>
      </c>
      <c r="O501" s="245">
        <v>1470</v>
      </c>
      <c r="P501" s="246" t="s">
        <v>795</v>
      </c>
      <c r="R501" s="182"/>
      <c r="S501" s="176"/>
      <c r="T501" s="177"/>
      <c r="V501" s="182"/>
      <c r="W501" s="185"/>
      <c r="X501" s="176"/>
      <c r="Y501" s="185"/>
      <c r="Z501" s="176"/>
      <c r="AA501" s="176"/>
      <c r="AB501" s="177"/>
      <c r="AD501" s="281"/>
      <c r="AE501" s="281"/>
      <c r="AF501" s="176"/>
      <c r="AG501" s="176"/>
      <c r="AH501" s="177"/>
      <c r="AJ501" s="187">
        <v>1410</v>
      </c>
      <c r="AK501" s="185" t="s">
        <v>321</v>
      </c>
      <c r="AL501" s="176"/>
      <c r="AM501" s="176"/>
      <c r="AN501" s="177"/>
      <c r="AP501" s="1551"/>
      <c r="AQ501" s="1554"/>
      <c r="AR501" s="1551"/>
      <c r="AS501" s="1554"/>
      <c r="AT501" s="1544"/>
      <c r="AU501" s="172" t="s">
        <v>700</v>
      </c>
      <c r="AV501" s="249">
        <v>2300</v>
      </c>
      <c r="AW501" s="250">
        <v>2500</v>
      </c>
      <c r="AX501" s="267">
        <v>1600</v>
      </c>
      <c r="AY501" s="252">
        <v>1600</v>
      </c>
      <c r="BA501" s="235"/>
      <c r="BC501" s="359"/>
      <c r="BE501" s="187"/>
      <c r="BF501" s="176"/>
      <c r="BG501" s="176"/>
      <c r="BH501" s="177"/>
      <c r="BJ501" s="253"/>
      <c r="BL501" s="193">
        <v>0.02</v>
      </c>
      <c r="BM501" s="194">
        <v>0.03</v>
      </c>
      <c r="BN501" s="194">
        <v>0.05</v>
      </c>
      <c r="BO501" s="195">
        <v>7.0000000000000007E-2</v>
      </c>
      <c r="BQ501" s="187"/>
      <c r="BR501" s="185"/>
      <c r="BS501" s="185"/>
      <c r="BT501" s="254"/>
      <c r="BV501" s="187"/>
      <c r="BW501" s="185"/>
      <c r="BX501" s="185"/>
      <c r="BY501" s="185"/>
      <c r="BZ501" s="254"/>
      <c r="CB501" s="187"/>
      <c r="CC501" s="185"/>
      <c r="CD501" s="185"/>
      <c r="CE501" s="185"/>
      <c r="CF501" s="254"/>
      <c r="CH501" s="253">
        <v>0.98</v>
      </c>
    </row>
    <row r="502" spans="1:86">
      <c r="A502" s="1563"/>
      <c r="B502" s="269"/>
      <c r="C502" s="270"/>
      <c r="D502" s="184" t="s">
        <v>322</v>
      </c>
      <c r="F502" s="256">
        <v>162400</v>
      </c>
      <c r="G502" s="257"/>
      <c r="H502" s="256">
        <v>159480</v>
      </c>
      <c r="I502" s="257"/>
      <c r="J502" s="179" t="s">
        <v>182</v>
      </c>
      <c r="K502" s="258">
        <v>1500</v>
      </c>
      <c r="L502" s="259"/>
      <c r="M502" s="260" t="s">
        <v>795</v>
      </c>
      <c r="N502" s="258">
        <v>1470</v>
      </c>
      <c r="O502" s="259"/>
      <c r="P502" s="260" t="s">
        <v>795</v>
      </c>
      <c r="R502" s="183"/>
      <c r="S502" s="271"/>
      <c r="T502" s="184"/>
      <c r="V502" s="182"/>
      <c r="W502" s="185"/>
      <c r="X502" s="176"/>
      <c r="Y502" s="185"/>
      <c r="Z502" s="176"/>
      <c r="AA502" s="176"/>
      <c r="AB502" s="177"/>
      <c r="AD502" s="281"/>
      <c r="AE502" s="281"/>
      <c r="AF502" s="176"/>
      <c r="AG502" s="176"/>
      <c r="AH502" s="177"/>
      <c r="AJ502" s="187"/>
      <c r="AK502" s="185"/>
      <c r="AL502" s="176"/>
      <c r="AM502" s="176"/>
      <c r="AN502" s="177"/>
      <c r="AP502" s="1552"/>
      <c r="AQ502" s="1555"/>
      <c r="AR502" s="1552"/>
      <c r="AS502" s="1555"/>
      <c r="AT502" s="1544"/>
      <c r="AU502" s="262" t="s">
        <v>701</v>
      </c>
      <c r="AV502" s="263">
        <v>2000</v>
      </c>
      <c r="AW502" s="264">
        <v>2300</v>
      </c>
      <c r="AX502" s="265">
        <v>1400</v>
      </c>
      <c r="AY502" s="266">
        <v>1400</v>
      </c>
      <c r="BA502" s="235"/>
      <c r="BC502" s="359"/>
      <c r="BE502" s="186"/>
      <c r="BF502" s="271"/>
      <c r="BG502" s="271"/>
      <c r="BH502" s="184"/>
      <c r="BJ502" s="253"/>
      <c r="BL502" s="272"/>
      <c r="BM502" s="273"/>
      <c r="BN502" s="273"/>
      <c r="BO502" s="274"/>
      <c r="BQ502" s="186"/>
      <c r="BR502" s="196"/>
      <c r="BS502" s="196"/>
      <c r="BT502" s="197"/>
      <c r="BV502" s="186"/>
      <c r="BW502" s="196"/>
      <c r="BX502" s="196"/>
      <c r="BY502" s="196"/>
      <c r="BZ502" s="197"/>
      <c r="CB502" s="186"/>
      <c r="CC502" s="196"/>
      <c r="CD502" s="196"/>
      <c r="CE502" s="196"/>
      <c r="CF502" s="197"/>
      <c r="CH502" s="198"/>
    </row>
    <row r="503" spans="1:86" ht="63">
      <c r="A503" s="1563"/>
      <c r="B503" s="168" t="s">
        <v>343</v>
      </c>
      <c r="C503" s="241" t="s">
        <v>313</v>
      </c>
      <c r="D503" s="177" t="s">
        <v>314</v>
      </c>
      <c r="F503" s="218">
        <v>29450</v>
      </c>
      <c r="G503" s="219">
        <v>36330</v>
      </c>
      <c r="H503" s="218">
        <v>26690</v>
      </c>
      <c r="I503" s="219">
        <v>33570</v>
      </c>
      <c r="J503" s="179" t="s">
        <v>182</v>
      </c>
      <c r="K503" s="220">
        <v>270</v>
      </c>
      <c r="L503" s="221">
        <v>330</v>
      </c>
      <c r="M503" s="222" t="s">
        <v>795</v>
      </c>
      <c r="N503" s="220">
        <v>240</v>
      </c>
      <c r="O503" s="221">
        <v>300</v>
      </c>
      <c r="P503" s="222" t="s">
        <v>795</v>
      </c>
      <c r="Q503" s="160" t="s">
        <v>182</v>
      </c>
      <c r="R503" s="275">
        <v>6880</v>
      </c>
      <c r="S503" s="276">
        <v>60</v>
      </c>
      <c r="T503" s="247" t="s">
        <v>184</v>
      </c>
      <c r="V503" s="182"/>
      <c r="W503" s="185"/>
      <c r="X503" s="176"/>
      <c r="Y503" s="185"/>
      <c r="Z503" s="176"/>
      <c r="AA503" s="176"/>
      <c r="AB503" s="177"/>
      <c r="AD503" s="281"/>
      <c r="AE503" s="281"/>
      <c r="AF503" s="176"/>
      <c r="AG503" s="176"/>
      <c r="AH503" s="177"/>
      <c r="AJ503" s="187" t="s">
        <v>225</v>
      </c>
      <c r="AK503" s="185"/>
      <c r="AL503" s="176" t="s">
        <v>182</v>
      </c>
      <c r="AM503" s="176">
        <v>10</v>
      </c>
      <c r="AN503" s="177" t="s">
        <v>316</v>
      </c>
      <c r="AO503" s="160" t="s">
        <v>182</v>
      </c>
      <c r="AP503" s="1550">
        <v>2600</v>
      </c>
      <c r="AQ503" s="1553">
        <v>2900</v>
      </c>
      <c r="AR503" s="1550">
        <v>1800</v>
      </c>
      <c r="AS503" s="1553">
        <v>1800</v>
      </c>
      <c r="AT503" s="1544" t="s">
        <v>664</v>
      </c>
      <c r="AU503" s="230" t="s">
        <v>697</v>
      </c>
      <c r="AV503" s="231">
        <v>5400</v>
      </c>
      <c r="AW503" s="232">
        <v>6000</v>
      </c>
      <c r="AX503" s="267">
        <v>3700</v>
      </c>
      <c r="AY503" s="252">
        <v>3700</v>
      </c>
      <c r="BA503" s="1545" t="s">
        <v>717</v>
      </c>
      <c r="BB503" s="160" t="s">
        <v>182</v>
      </c>
      <c r="BC503" s="1556">
        <v>4700</v>
      </c>
      <c r="BD503" s="160" t="s">
        <v>182</v>
      </c>
      <c r="BE503" s="187">
        <v>1240</v>
      </c>
      <c r="BF503" s="176" t="s">
        <v>182</v>
      </c>
      <c r="BG503" s="176">
        <v>10</v>
      </c>
      <c r="BH503" s="177" t="s">
        <v>184</v>
      </c>
      <c r="BJ503" s="253"/>
      <c r="BK503" s="160" t="s">
        <v>188</v>
      </c>
      <c r="BL503" s="193" t="s">
        <v>317</v>
      </c>
      <c r="BM503" s="194" t="s">
        <v>317</v>
      </c>
      <c r="BN503" s="194" t="s">
        <v>317</v>
      </c>
      <c r="BO503" s="195" t="s">
        <v>317</v>
      </c>
      <c r="BP503" s="160" t="s">
        <v>188</v>
      </c>
      <c r="BQ503" s="187"/>
      <c r="BR503" s="185"/>
      <c r="BS503" s="185"/>
      <c r="BT503" s="254"/>
      <c r="BU503" s="160" t="s">
        <v>188</v>
      </c>
      <c r="BV503" s="187"/>
      <c r="BW503" s="185"/>
      <c r="BX503" s="185"/>
      <c r="BY503" s="185"/>
      <c r="BZ503" s="254"/>
      <c r="CA503" s="160" t="s">
        <v>188</v>
      </c>
      <c r="CB503" s="187"/>
      <c r="CC503" s="185"/>
      <c r="CD503" s="185"/>
      <c r="CE503" s="185"/>
      <c r="CF503" s="254"/>
      <c r="CH503" s="253" t="s">
        <v>324</v>
      </c>
    </row>
    <row r="504" spans="1:86">
      <c r="A504" s="1563"/>
      <c r="B504" s="168"/>
      <c r="C504" s="241"/>
      <c r="D504" s="177" t="s">
        <v>318</v>
      </c>
      <c r="F504" s="242">
        <v>36330</v>
      </c>
      <c r="G504" s="243">
        <v>92780</v>
      </c>
      <c r="H504" s="242">
        <v>33570</v>
      </c>
      <c r="I504" s="243">
        <v>90020</v>
      </c>
      <c r="J504" s="179" t="s">
        <v>182</v>
      </c>
      <c r="K504" s="244">
        <v>330</v>
      </c>
      <c r="L504" s="245">
        <v>810</v>
      </c>
      <c r="M504" s="246" t="s">
        <v>795</v>
      </c>
      <c r="N504" s="244">
        <v>300</v>
      </c>
      <c r="O504" s="245">
        <v>790</v>
      </c>
      <c r="P504" s="246" t="s">
        <v>795</v>
      </c>
      <c r="Q504" s="160" t="s">
        <v>182</v>
      </c>
      <c r="R504" s="187">
        <v>6880</v>
      </c>
      <c r="S504" s="185">
        <v>60</v>
      </c>
      <c r="T504" s="247" t="s">
        <v>184</v>
      </c>
      <c r="V504" s="182"/>
      <c r="W504" s="185"/>
      <c r="X504" s="176"/>
      <c r="Y504" s="185"/>
      <c r="Z504" s="176"/>
      <c r="AA504" s="176"/>
      <c r="AB504" s="177"/>
      <c r="AD504" s="281"/>
      <c r="AE504" s="281"/>
      <c r="AF504" s="176"/>
      <c r="AG504" s="176"/>
      <c r="AH504" s="177"/>
      <c r="AJ504" s="187"/>
      <c r="AK504" s="185"/>
      <c r="AL504" s="176"/>
      <c r="AM504" s="176"/>
      <c r="AN504" s="177"/>
      <c r="AP504" s="1551"/>
      <c r="AQ504" s="1554"/>
      <c r="AR504" s="1551"/>
      <c r="AS504" s="1554"/>
      <c r="AT504" s="1544"/>
      <c r="AU504" s="172" t="s">
        <v>699</v>
      </c>
      <c r="AV504" s="249">
        <v>2900</v>
      </c>
      <c r="AW504" s="250">
        <v>3300</v>
      </c>
      <c r="AX504" s="267">
        <v>2000</v>
      </c>
      <c r="AY504" s="252">
        <v>2000</v>
      </c>
      <c r="BA504" s="1545"/>
      <c r="BC504" s="1557"/>
      <c r="BE504" s="187"/>
      <c r="BF504" s="176"/>
      <c r="BG504" s="176"/>
      <c r="BH504" s="177"/>
      <c r="BJ504" s="253"/>
      <c r="BL504" s="193"/>
      <c r="BM504" s="194"/>
      <c r="BN504" s="194"/>
      <c r="BO504" s="195"/>
      <c r="BQ504" s="187">
        <v>740</v>
      </c>
      <c r="BR504" s="185" t="s">
        <v>199</v>
      </c>
      <c r="BS504" s="185">
        <v>7</v>
      </c>
      <c r="BT504" s="254" t="s">
        <v>184</v>
      </c>
      <c r="BV504" s="187">
        <v>2420</v>
      </c>
      <c r="BW504" s="185" t="s">
        <v>189</v>
      </c>
      <c r="BX504" s="185">
        <v>20</v>
      </c>
      <c r="BY504" s="185" t="s">
        <v>184</v>
      </c>
      <c r="BZ504" s="254" t="s">
        <v>190</v>
      </c>
      <c r="CB504" s="187">
        <v>1480</v>
      </c>
      <c r="CC504" s="185" t="s">
        <v>189</v>
      </c>
      <c r="CD504" s="185">
        <v>10</v>
      </c>
      <c r="CE504" s="185" t="s">
        <v>184</v>
      </c>
      <c r="CF504" s="254" t="s">
        <v>190</v>
      </c>
      <c r="CH504" s="253"/>
    </row>
    <row r="505" spans="1:86">
      <c r="A505" s="1563"/>
      <c r="B505" s="168"/>
      <c r="C505" s="241" t="s">
        <v>319</v>
      </c>
      <c r="D505" s="177" t="s">
        <v>320</v>
      </c>
      <c r="F505" s="242">
        <v>92780</v>
      </c>
      <c r="G505" s="243">
        <v>161610</v>
      </c>
      <c r="H505" s="242">
        <v>90020</v>
      </c>
      <c r="I505" s="243">
        <v>158850</v>
      </c>
      <c r="J505" s="179" t="s">
        <v>182</v>
      </c>
      <c r="K505" s="244">
        <v>810</v>
      </c>
      <c r="L505" s="245">
        <v>1490</v>
      </c>
      <c r="M505" s="246" t="s">
        <v>795</v>
      </c>
      <c r="N505" s="244">
        <v>790</v>
      </c>
      <c r="O505" s="245">
        <v>1470</v>
      </c>
      <c r="P505" s="246" t="s">
        <v>795</v>
      </c>
      <c r="R505" s="182"/>
      <c r="S505" s="176"/>
      <c r="T505" s="177"/>
      <c r="V505" s="182"/>
      <c r="W505" s="185"/>
      <c r="X505" s="176"/>
      <c r="Y505" s="185"/>
      <c r="Z505" s="176"/>
      <c r="AA505" s="176"/>
      <c r="AB505" s="177"/>
      <c r="AD505" s="281"/>
      <c r="AE505" s="281"/>
      <c r="AF505" s="176"/>
      <c r="AG505" s="176"/>
      <c r="AH505" s="177"/>
      <c r="AJ505" s="187">
        <v>1280</v>
      </c>
      <c r="AK505" s="185" t="s">
        <v>321</v>
      </c>
      <c r="AL505" s="176"/>
      <c r="AM505" s="176"/>
      <c r="AN505" s="177"/>
      <c r="AP505" s="1551"/>
      <c r="AQ505" s="1554"/>
      <c r="AR505" s="1551"/>
      <c r="AS505" s="1554"/>
      <c r="AT505" s="1544"/>
      <c r="AU505" s="172" t="s">
        <v>700</v>
      </c>
      <c r="AV505" s="249">
        <v>2500</v>
      </c>
      <c r="AW505" s="250">
        <v>2800</v>
      </c>
      <c r="AX505" s="267">
        <v>1800</v>
      </c>
      <c r="AY505" s="252">
        <v>1800</v>
      </c>
      <c r="BA505" s="235"/>
      <c r="BC505" s="358"/>
      <c r="BE505" s="187"/>
      <c r="BF505" s="176"/>
      <c r="BG505" s="176"/>
      <c r="BH505" s="177"/>
      <c r="BJ505" s="253"/>
      <c r="BL505" s="193">
        <v>0.02</v>
      </c>
      <c r="BM505" s="194">
        <v>0.03</v>
      </c>
      <c r="BN505" s="194">
        <v>0.05</v>
      </c>
      <c r="BO505" s="195">
        <v>7.0000000000000007E-2</v>
      </c>
      <c r="BQ505" s="187"/>
      <c r="BR505" s="185"/>
      <c r="BS505" s="185"/>
      <c r="BT505" s="254"/>
      <c r="BV505" s="187"/>
      <c r="BW505" s="185"/>
      <c r="BX505" s="185"/>
      <c r="BY505" s="185"/>
      <c r="BZ505" s="254"/>
      <c r="CB505" s="187"/>
      <c r="CC505" s="185"/>
      <c r="CD505" s="185"/>
      <c r="CE505" s="185"/>
      <c r="CF505" s="254"/>
      <c r="CH505" s="253">
        <v>0.99</v>
      </c>
    </row>
    <row r="506" spans="1:86">
      <c r="A506" s="1563"/>
      <c r="B506" s="168"/>
      <c r="C506" s="241"/>
      <c r="D506" s="177" t="s">
        <v>322</v>
      </c>
      <c r="F506" s="256">
        <v>161610</v>
      </c>
      <c r="G506" s="257"/>
      <c r="H506" s="256">
        <v>158850</v>
      </c>
      <c r="I506" s="257"/>
      <c r="J506" s="179" t="s">
        <v>182</v>
      </c>
      <c r="K506" s="258">
        <v>1490</v>
      </c>
      <c r="L506" s="259"/>
      <c r="M506" s="260" t="s">
        <v>795</v>
      </c>
      <c r="N506" s="258">
        <v>1470</v>
      </c>
      <c r="O506" s="259"/>
      <c r="P506" s="260" t="s">
        <v>795</v>
      </c>
      <c r="R506" s="182"/>
      <c r="S506" s="176"/>
      <c r="T506" s="177"/>
      <c r="V506" s="182"/>
      <c r="W506" s="185"/>
      <c r="X506" s="176"/>
      <c r="Y506" s="185"/>
      <c r="Z506" s="176"/>
      <c r="AA506" s="176"/>
      <c r="AB506" s="177"/>
      <c r="AD506" s="281"/>
      <c r="AE506" s="281"/>
      <c r="AF506" s="176"/>
      <c r="AG506" s="176"/>
      <c r="AH506" s="177"/>
      <c r="AJ506" s="187"/>
      <c r="AK506" s="185"/>
      <c r="AL506" s="176"/>
      <c r="AM506" s="176"/>
      <c r="AN506" s="177"/>
      <c r="AP506" s="1552"/>
      <c r="AQ506" s="1555"/>
      <c r="AR506" s="1552"/>
      <c r="AS506" s="1555"/>
      <c r="AT506" s="1544"/>
      <c r="AU506" s="262" t="s">
        <v>701</v>
      </c>
      <c r="AV506" s="263">
        <v>2300</v>
      </c>
      <c r="AW506" s="264">
        <v>2500</v>
      </c>
      <c r="AX506" s="265">
        <v>1600</v>
      </c>
      <c r="AY506" s="266">
        <v>1600</v>
      </c>
      <c r="BA506" s="235"/>
      <c r="BC506" s="359"/>
      <c r="BE506" s="187"/>
      <c r="BF506" s="176"/>
      <c r="BG506" s="176"/>
      <c r="BH506" s="177"/>
      <c r="BJ506" s="253"/>
      <c r="BL506" s="193"/>
      <c r="BM506" s="194"/>
      <c r="BN506" s="194"/>
      <c r="BO506" s="195"/>
      <c r="BQ506" s="187"/>
      <c r="BR506" s="185"/>
      <c r="BS506" s="185"/>
      <c r="BT506" s="254"/>
      <c r="BV506" s="187"/>
      <c r="BW506" s="185"/>
      <c r="BX506" s="185"/>
      <c r="BY506" s="185"/>
      <c r="BZ506" s="254"/>
      <c r="CB506" s="187"/>
      <c r="CC506" s="185"/>
      <c r="CD506" s="185"/>
      <c r="CE506" s="185"/>
      <c r="CF506" s="254"/>
      <c r="CH506" s="253"/>
    </row>
    <row r="507" spans="1:86" ht="31.5">
      <c r="A507" s="1563"/>
      <c r="B507" s="215" t="s">
        <v>344</v>
      </c>
      <c r="C507" s="216" t="s">
        <v>313</v>
      </c>
      <c r="D507" s="217" t="s">
        <v>314</v>
      </c>
      <c r="F507" s="218">
        <v>28730</v>
      </c>
      <c r="G507" s="219">
        <v>35610</v>
      </c>
      <c r="H507" s="218">
        <v>26120</v>
      </c>
      <c r="I507" s="219">
        <v>33000</v>
      </c>
      <c r="J507" s="179" t="s">
        <v>182</v>
      </c>
      <c r="K507" s="220">
        <v>260</v>
      </c>
      <c r="L507" s="221">
        <v>320</v>
      </c>
      <c r="M507" s="222" t="s">
        <v>795</v>
      </c>
      <c r="N507" s="220">
        <v>240</v>
      </c>
      <c r="O507" s="221">
        <v>300</v>
      </c>
      <c r="P507" s="222" t="s">
        <v>795</v>
      </c>
      <c r="Q507" s="160" t="s">
        <v>182</v>
      </c>
      <c r="R507" s="223">
        <v>6880</v>
      </c>
      <c r="S507" s="224">
        <v>60</v>
      </c>
      <c r="T507" s="225" t="s">
        <v>184</v>
      </c>
      <c r="V507" s="182"/>
      <c r="W507" s="185"/>
      <c r="X507" s="176"/>
      <c r="Y507" s="185"/>
      <c r="Z507" s="176"/>
      <c r="AA507" s="176"/>
      <c r="AB507" s="177"/>
      <c r="AD507" s="281"/>
      <c r="AE507" s="281"/>
      <c r="AF507" s="176"/>
      <c r="AG507" s="176"/>
      <c r="AH507" s="177"/>
      <c r="AJ507" s="187"/>
      <c r="AK507" s="185"/>
      <c r="AL507" s="176"/>
      <c r="AM507" s="176"/>
      <c r="AN507" s="177"/>
      <c r="AO507" s="160" t="s">
        <v>182</v>
      </c>
      <c r="AP507" s="1550">
        <v>2500</v>
      </c>
      <c r="AQ507" s="1553">
        <v>2700</v>
      </c>
      <c r="AR507" s="1550">
        <v>1700</v>
      </c>
      <c r="AS507" s="1553">
        <v>1700</v>
      </c>
      <c r="AT507" s="1544" t="s">
        <v>664</v>
      </c>
      <c r="AU507" s="230" t="s">
        <v>697</v>
      </c>
      <c r="AV507" s="231">
        <v>4800</v>
      </c>
      <c r="AW507" s="232">
        <v>5400</v>
      </c>
      <c r="AX507" s="267">
        <v>3400</v>
      </c>
      <c r="AY507" s="252">
        <v>3400</v>
      </c>
      <c r="BA507" s="235"/>
      <c r="BB507" s="160" t="s">
        <v>182</v>
      </c>
      <c r="BC507" s="1556">
        <v>4700</v>
      </c>
      <c r="BD507" s="160" t="s">
        <v>182</v>
      </c>
      <c r="BE507" s="228">
        <v>1170</v>
      </c>
      <c r="BF507" s="226" t="s">
        <v>182</v>
      </c>
      <c r="BG507" s="226">
        <v>10</v>
      </c>
      <c r="BH507" s="217" t="s">
        <v>184</v>
      </c>
      <c r="BJ507" s="253"/>
      <c r="BK507" s="160" t="s">
        <v>188</v>
      </c>
      <c r="BL507" s="237" t="s">
        <v>317</v>
      </c>
      <c r="BM507" s="238" t="s">
        <v>317</v>
      </c>
      <c r="BN507" s="238" t="s">
        <v>317</v>
      </c>
      <c r="BO507" s="239" t="s">
        <v>317</v>
      </c>
      <c r="BP507" s="160" t="s">
        <v>188</v>
      </c>
      <c r="BQ507" s="228"/>
      <c r="BR507" s="229"/>
      <c r="BS507" s="229"/>
      <c r="BT507" s="240"/>
      <c r="BU507" s="160" t="s">
        <v>188</v>
      </c>
      <c r="BV507" s="228"/>
      <c r="BW507" s="229"/>
      <c r="BX507" s="229"/>
      <c r="BY507" s="229"/>
      <c r="BZ507" s="240"/>
      <c r="CA507" s="160" t="s">
        <v>188</v>
      </c>
      <c r="CB507" s="228"/>
      <c r="CC507" s="229"/>
      <c r="CD507" s="229"/>
      <c r="CE507" s="229"/>
      <c r="CF507" s="240"/>
      <c r="CH507" s="236" t="s">
        <v>324</v>
      </c>
    </row>
    <row r="508" spans="1:86">
      <c r="A508" s="1563"/>
      <c r="B508" s="168"/>
      <c r="C508" s="241"/>
      <c r="D508" s="177" t="s">
        <v>318</v>
      </c>
      <c r="F508" s="242">
        <v>35610</v>
      </c>
      <c r="G508" s="243">
        <v>92060</v>
      </c>
      <c r="H508" s="242">
        <v>33000</v>
      </c>
      <c r="I508" s="243">
        <v>89450</v>
      </c>
      <c r="J508" s="179" t="s">
        <v>182</v>
      </c>
      <c r="K508" s="244">
        <v>320</v>
      </c>
      <c r="L508" s="245">
        <v>810</v>
      </c>
      <c r="M508" s="246" t="s">
        <v>795</v>
      </c>
      <c r="N508" s="244">
        <v>300</v>
      </c>
      <c r="O508" s="245">
        <v>780</v>
      </c>
      <c r="P508" s="246" t="s">
        <v>795</v>
      </c>
      <c r="Q508" s="160" t="s">
        <v>182</v>
      </c>
      <c r="R508" s="187">
        <v>6880</v>
      </c>
      <c r="S508" s="185">
        <v>60</v>
      </c>
      <c r="T508" s="247" t="s">
        <v>184</v>
      </c>
      <c r="V508" s="182"/>
      <c r="W508" s="185"/>
      <c r="X508" s="176"/>
      <c r="Y508" s="185"/>
      <c r="Z508" s="176"/>
      <c r="AA508" s="176"/>
      <c r="AB508" s="177"/>
      <c r="AD508" s="281"/>
      <c r="AE508" s="281"/>
      <c r="AF508" s="176"/>
      <c r="AG508" s="176"/>
      <c r="AH508" s="177"/>
      <c r="AJ508" s="187"/>
      <c r="AK508" s="185"/>
      <c r="AL508" s="176"/>
      <c r="AM508" s="176"/>
      <c r="AN508" s="177"/>
      <c r="AP508" s="1551"/>
      <c r="AQ508" s="1554"/>
      <c r="AR508" s="1551"/>
      <c r="AS508" s="1554"/>
      <c r="AT508" s="1544"/>
      <c r="AU508" s="172" t="s">
        <v>699</v>
      </c>
      <c r="AV508" s="249">
        <v>2600</v>
      </c>
      <c r="AW508" s="250">
        <v>2900</v>
      </c>
      <c r="AX508" s="267">
        <v>1800</v>
      </c>
      <c r="AY508" s="252">
        <v>1800</v>
      </c>
      <c r="BA508" s="235"/>
      <c r="BC508" s="1557"/>
      <c r="BE508" s="187"/>
      <c r="BF508" s="176"/>
      <c r="BG508" s="176"/>
      <c r="BH508" s="177"/>
      <c r="BJ508" s="253"/>
      <c r="BL508" s="193"/>
      <c r="BM508" s="194"/>
      <c r="BN508" s="194"/>
      <c r="BO508" s="195"/>
      <c r="BQ508" s="187">
        <v>700</v>
      </c>
      <c r="BR508" s="185" t="s">
        <v>199</v>
      </c>
      <c r="BS508" s="185">
        <v>7</v>
      </c>
      <c r="BT508" s="254" t="s">
        <v>184</v>
      </c>
      <c r="BV508" s="187">
        <v>2290</v>
      </c>
      <c r="BW508" s="185" t="s">
        <v>189</v>
      </c>
      <c r="BX508" s="185">
        <v>20</v>
      </c>
      <c r="BY508" s="185" t="s">
        <v>184</v>
      </c>
      <c r="BZ508" s="254" t="s">
        <v>190</v>
      </c>
      <c r="CB508" s="187">
        <v>1390</v>
      </c>
      <c r="CC508" s="185" t="s">
        <v>189</v>
      </c>
      <c r="CD508" s="185">
        <v>10</v>
      </c>
      <c r="CE508" s="185" t="s">
        <v>184</v>
      </c>
      <c r="CF508" s="254" t="s">
        <v>190</v>
      </c>
      <c r="CH508" s="253"/>
    </row>
    <row r="509" spans="1:86">
      <c r="A509" s="1563"/>
      <c r="B509" s="168"/>
      <c r="C509" s="241" t="s">
        <v>319</v>
      </c>
      <c r="D509" s="177" t="s">
        <v>320</v>
      </c>
      <c r="F509" s="242">
        <v>92060</v>
      </c>
      <c r="G509" s="243">
        <v>160890</v>
      </c>
      <c r="H509" s="242">
        <v>89450</v>
      </c>
      <c r="I509" s="243">
        <v>158280</v>
      </c>
      <c r="J509" s="179" t="s">
        <v>182</v>
      </c>
      <c r="K509" s="244">
        <v>810</v>
      </c>
      <c r="L509" s="245">
        <v>1490</v>
      </c>
      <c r="M509" s="246" t="s">
        <v>795</v>
      </c>
      <c r="N509" s="244">
        <v>780</v>
      </c>
      <c r="O509" s="245">
        <v>1460</v>
      </c>
      <c r="P509" s="246" t="s">
        <v>795</v>
      </c>
      <c r="R509" s="182"/>
      <c r="S509" s="176"/>
      <c r="T509" s="177"/>
      <c r="V509" s="182"/>
      <c r="W509" s="185"/>
      <c r="X509" s="176"/>
      <c r="Y509" s="185"/>
      <c r="Z509" s="176"/>
      <c r="AA509" s="176"/>
      <c r="AB509" s="177"/>
      <c r="AD509" s="281"/>
      <c r="AE509" s="281"/>
      <c r="AF509" s="176"/>
      <c r="AG509" s="176"/>
      <c r="AH509" s="177"/>
      <c r="AJ509" s="187"/>
      <c r="AK509" s="185"/>
      <c r="AL509" s="176"/>
      <c r="AM509" s="176"/>
      <c r="AN509" s="177"/>
      <c r="AP509" s="1551"/>
      <c r="AQ509" s="1554"/>
      <c r="AR509" s="1551"/>
      <c r="AS509" s="1554"/>
      <c r="AT509" s="1544"/>
      <c r="AU509" s="172" t="s">
        <v>700</v>
      </c>
      <c r="AV509" s="249">
        <v>2300</v>
      </c>
      <c r="AW509" s="250">
        <v>2500</v>
      </c>
      <c r="AX509" s="267">
        <v>1600</v>
      </c>
      <c r="AY509" s="252">
        <v>1600</v>
      </c>
      <c r="BA509" s="235"/>
      <c r="BC509" s="359"/>
      <c r="BE509" s="187"/>
      <c r="BF509" s="176"/>
      <c r="BG509" s="176"/>
      <c r="BH509" s="177"/>
      <c r="BJ509" s="253"/>
      <c r="BL509" s="193">
        <v>0.02</v>
      </c>
      <c r="BM509" s="194">
        <v>0.03</v>
      </c>
      <c r="BN509" s="194">
        <v>0.05</v>
      </c>
      <c r="BO509" s="195">
        <v>7.0000000000000007E-2</v>
      </c>
      <c r="BQ509" s="187"/>
      <c r="BR509" s="185"/>
      <c r="BS509" s="185"/>
      <c r="BT509" s="254"/>
      <c r="BV509" s="187"/>
      <c r="BW509" s="185"/>
      <c r="BX509" s="185"/>
      <c r="BY509" s="185"/>
      <c r="BZ509" s="254"/>
      <c r="CB509" s="187"/>
      <c r="CC509" s="185"/>
      <c r="CD509" s="185"/>
      <c r="CE509" s="185"/>
      <c r="CF509" s="254"/>
      <c r="CH509" s="253">
        <v>0.99</v>
      </c>
    </row>
    <row r="510" spans="1:86">
      <c r="A510" s="1563"/>
      <c r="B510" s="269"/>
      <c r="C510" s="270"/>
      <c r="D510" s="184" t="s">
        <v>322</v>
      </c>
      <c r="F510" s="256">
        <v>160890</v>
      </c>
      <c r="G510" s="257"/>
      <c r="H510" s="256">
        <v>158280</v>
      </c>
      <c r="I510" s="257"/>
      <c r="J510" s="179" t="s">
        <v>182</v>
      </c>
      <c r="K510" s="258">
        <v>1490</v>
      </c>
      <c r="L510" s="259"/>
      <c r="M510" s="260" t="s">
        <v>795</v>
      </c>
      <c r="N510" s="258">
        <v>1460</v>
      </c>
      <c r="O510" s="259"/>
      <c r="P510" s="260" t="s">
        <v>795</v>
      </c>
      <c r="R510" s="183"/>
      <c r="S510" s="271"/>
      <c r="T510" s="184"/>
      <c r="V510" s="183"/>
      <c r="W510" s="196"/>
      <c r="X510" s="271"/>
      <c r="Y510" s="196"/>
      <c r="Z510" s="271"/>
      <c r="AA510" s="271"/>
      <c r="AB510" s="184"/>
      <c r="AD510" s="281"/>
      <c r="AE510" s="281"/>
      <c r="AF510" s="176"/>
      <c r="AG510" s="176"/>
      <c r="AH510" s="177"/>
      <c r="AJ510" s="187"/>
      <c r="AK510" s="185"/>
      <c r="AL510" s="176"/>
      <c r="AM510" s="176"/>
      <c r="AN510" s="177"/>
      <c r="AP510" s="1552"/>
      <c r="AQ510" s="1555"/>
      <c r="AR510" s="1552"/>
      <c r="AS510" s="1555"/>
      <c r="AT510" s="1544"/>
      <c r="AU510" s="262" t="s">
        <v>701</v>
      </c>
      <c r="AV510" s="263">
        <v>2000</v>
      </c>
      <c r="AW510" s="264">
        <v>2300</v>
      </c>
      <c r="AX510" s="265">
        <v>1400</v>
      </c>
      <c r="AY510" s="266">
        <v>1400</v>
      </c>
      <c r="BA510" s="282"/>
      <c r="BC510" s="359"/>
      <c r="BE510" s="186"/>
      <c r="BF510" s="271"/>
      <c r="BG510" s="271"/>
      <c r="BH510" s="184"/>
      <c r="BJ510" s="198"/>
      <c r="BL510" s="272"/>
      <c r="BM510" s="273"/>
      <c r="BN510" s="273"/>
      <c r="BO510" s="274"/>
      <c r="BQ510" s="186"/>
      <c r="BR510" s="196"/>
      <c r="BS510" s="196"/>
      <c r="BT510" s="197"/>
      <c r="BV510" s="186"/>
      <c r="BW510" s="196"/>
      <c r="BX510" s="196"/>
      <c r="BY510" s="196"/>
      <c r="BZ510" s="197"/>
      <c r="CB510" s="186"/>
      <c r="CC510" s="196"/>
      <c r="CD510" s="196"/>
      <c r="CE510" s="196"/>
      <c r="CF510" s="197"/>
      <c r="CH510" s="198"/>
    </row>
    <row r="511" spans="1:86" ht="63">
      <c r="A511" s="1563" t="s">
        <v>347</v>
      </c>
      <c r="B511" s="168" t="s">
        <v>345</v>
      </c>
      <c r="C511" s="241" t="s">
        <v>313</v>
      </c>
      <c r="D511" s="177" t="s">
        <v>314</v>
      </c>
      <c r="F511" s="218">
        <v>214100</v>
      </c>
      <c r="G511" s="219">
        <v>220800</v>
      </c>
      <c r="H511" s="218">
        <v>168320</v>
      </c>
      <c r="I511" s="219">
        <v>175020</v>
      </c>
      <c r="J511" s="179" t="s">
        <v>182</v>
      </c>
      <c r="K511" s="220">
        <v>2120</v>
      </c>
      <c r="L511" s="221">
        <v>2180</v>
      </c>
      <c r="M511" s="222" t="s">
        <v>795</v>
      </c>
      <c r="N511" s="220">
        <v>1660</v>
      </c>
      <c r="O511" s="221">
        <v>1720</v>
      </c>
      <c r="P511" s="222" t="s">
        <v>795</v>
      </c>
      <c r="Q511" s="160" t="s">
        <v>182</v>
      </c>
      <c r="R511" s="275">
        <v>6700</v>
      </c>
      <c r="S511" s="276">
        <v>60</v>
      </c>
      <c r="T511" s="247" t="s">
        <v>184</v>
      </c>
      <c r="U511" s="160" t="s">
        <v>182</v>
      </c>
      <c r="V511" s="1576" t="s">
        <v>315</v>
      </c>
      <c r="W511" s="1577"/>
      <c r="X511" s="226" t="s">
        <v>182</v>
      </c>
      <c r="Y511" s="1577" t="s">
        <v>315</v>
      </c>
      <c r="Z511" s="1577"/>
      <c r="AA511" s="226"/>
      <c r="AB511" s="217"/>
      <c r="AC511" s="160" t="s">
        <v>182</v>
      </c>
      <c r="AD511" s="1546">
        <v>54290</v>
      </c>
      <c r="AE511" s="227"/>
      <c r="AF511" s="226" t="s">
        <v>182</v>
      </c>
      <c r="AG511" s="226">
        <v>470</v>
      </c>
      <c r="AH511" s="217" t="s">
        <v>184</v>
      </c>
      <c r="AI511" s="160" t="s">
        <v>182</v>
      </c>
      <c r="AJ511" s="228" t="s">
        <v>186</v>
      </c>
      <c r="AK511" s="229"/>
      <c r="AL511" s="226" t="s">
        <v>182</v>
      </c>
      <c r="AM511" s="226">
        <v>270</v>
      </c>
      <c r="AN511" s="217" t="s">
        <v>316</v>
      </c>
      <c r="AO511" s="160" t="s">
        <v>182</v>
      </c>
      <c r="AP511" s="1550">
        <v>15800</v>
      </c>
      <c r="AQ511" s="1553">
        <v>17400</v>
      </c>
      <c r="AR511" s="1550">
        <v>11000</v>
      </c>
      <c r="AS511" s="1553">
        <v>11000</v>
      </c>
      <c r="AT511" s="1544" t="s">
        <v>664</v>
      </c>
      <c r="AU511" s="230" t="s">
        <v>697</v>
      </c>
      <c r="AV511" s="231">
        <v>31600</v>
      </c>
      <c r="AW511" s="232">
        <v>35200</v>
      </c>
      <c r="AX511" s="233">
        <v>22100</v>
      </c>
      <c r="AY511" s="234">
        <v>22100</v>
      </c>
      <c r="AZ511" s="160" t="s">
        <v>182</v>
      </c>
      <c r="BA511" s="235"/>
      <c r="BB511" s="160" t="s">
        <v>182</v>
      </c>
      <c r="BC511" s="1556">
        <v>4700</v>
      </c>
      <c r="BD511" s="160" t="s">
        <v>182</v>
      </c>
      <c r="BE511" s="187">
        <v>20970</v>
      </c>
      <c r="BF511" s="176" t="s">
        <v>182</v>
      </c>
      <c r="BG511" s="176">
        <v>200</v>
      </c>
      <c r="BH511" s="177" t="s">
        <v>184</v>
      </c>
      <c r="BI511" s="160" t="s">
        <v>188</v>
      </c>
      <c r="BJ511" s="253"/>
      <c r="BK511" s="160" t="s">
        <v>188</v>
      </c>
      <c r="BL511" s="193" t="s">
        <v>317</v>
      </c>
      <c r="BM511" s="194" t="s">
        <v>317</v>
      </c>
      <c r="BN511" s="194" t="s">
        <v>317</v>
      </c>
      <c r="BO511" s="195" t="s">
        <v>317</v>
      </c>
      <c r="BP511" s="160" t="s">
        <v>188</v>
      </c>
      <c r="BQ511" s="187"/>
      <c r="BR511" s="185"/>
      <c r="BS511" s="185"/>
      <c r="BT511" s="254"/>
      <c r="BU511" s="160" t="s">
        <v>188</v>
      </c>
      <c r="BV511" s="187"/>
      <c r="BW511" s="185"/>
      <c r="BX511" s="185"/>
      <c r="BY511" s="185"/>
      <c r="BZ511" s="254"/>
      <c r="CA511" s="160" t="s">
        <v>188</v>
      </c>
      <c r="CB511" s="187"/>
      <c r="CC511" s="185"/>
      <c r="CD511" s="185"/>
      <c r="CE511" s="185"/>
      <c r="CF511" s="254"/>
      <c r="CH511" s="253" t="s">
        <v>324</v>
      </c>
    </row>
    <row r="512" spans="1:86">
      <c r="A512" s="1563"/>
      <c r="B512" s="168"/>
      <c r="C512" s="241"/>
      <c r="D512" s="177" t="s">
        <v>318</v>
      </c>
      <c r="F512" s="242">
        <v>220800</v>
      </c>
      <c r="G512" s="243">
        <v>276000</v>
      </c>
      <c r="H512" s="242">
        <v>175020</v>
      </c>
      <c r="I512" s="243">
        <v>230220</v>
      </c>
      <c r="J512" s="179" t="s">
        <v>182</v>
      </c>
      <c r="K512" s="244">
        <v>2180</v>
      </c>
      <c r="L512" s="245">
        <v>2640</v>
      </c>
      <c r="M512" s="246" t="s">
        <v>795</v>
      </c>
      <c r="N512" s="244">
        <v>1720</v>
      </c>
      <c r="O512" s="245">
        <v>2180</v>
      </c>
      <c r="P512" s="246" t="s">
        <v>795</v>
      </c>
      <c r="Q512" s="160" t="s">
        <v>182</v>
      </c>
      <c r="R512" s="187">
        <v>6700</v>
      </c>
      <c r="S512" s="185">
        <v>60</v>
      </c>
      <c r="T512" s="247" t="s">
        <v>184</v>
      </c>
      <c r="V512" s="1578"/>
      <c r="W512" s="1579"/>
      <c r="X512" s="176"/>
      <c r="Y512" s="1579"/>
      <c r="Z512" s="1579"/>
      <c r="AA512" s="176"/>
      <c r="AB512" s="177"/>
      <c r="AD512" s="1547"/>
      <c r="AE512" s="248">
        <v>52560</v>
      </c>
      <c r="AF512" s="176"/>
      <c r="AG512" s="176"/>
      <c r="AH512" s="177"/>
      <c r="AJ512" s="187"/>
      <c r="AK512" s="185"/>
      <c r="AL512" s="176"/>
      <c r="AM512" s="176"/>
      <c r="AN512" s="177"/>
      <c r="AP512" s="1551"/>
      <c r="AQ512" s="1554"/>
      <c r="AR512" s="1551"/>
      <c r="AS512" s="1554"/>
      <c r="AT512" s="1544"/>
      <c r="AU512" s="172" t="s">
        <v>699</v>
      </c>
      <c r="AV512" s="249">
        <v>17400</v>
      </c>
      <c r="AW512" s="250">
        <v>19400</v>
      </c>
      <c r="AX512" s="251">
        <v>12200</v>
      </c>
      <c r="AY512" s="252">
        <v>12200</v>
      </c>
      <c r="BA512" s="235"/>
      <c r="BC512" s="1557"/>
      <c r="BE512" s="187"/>
      <c r="BF512" s="176"/>
      <c r="BG512" s="176"/>
      <c r="BH512" s="177"/>
      <c r="BJ512" s="253"/>
      <c r="BL512" s="193"/>
      <c r="BM512" s="194"/>
      <c r="BN512" s="194"/>
      <c r="BO512" s="195"/>
      <c r="BQ512" s="187">
        <v>12720</v>
      </c>
      <c r="BR512" s="185" t="s">
        <v>199</v>
      </c>
      <c r="BS512" s="185">
        <v>120</v>
      </c>
      <c r="BT512" s="254" t="s">
        <v>184</v>
      </c>
      <c r="BV512" s="187">
        <v>40230</v>
      </c>
      <c r="BW512" s="185" t="s">
        <v>189</v>
      </c>
      <c r="BX512" s="185">
        <v>400</v>
      </c>
      <c r="BY512" s="185" t="s">
        <v>184</v>
      </c>
      <c r="BZ512" s="254" t="s">
        <v>190</v>
      </c>
      <c r="CB512" s="187">
        <v>24100</v>
      </c>
      <c r="CC512" s="185" t="s">
        <v>189</v>
      </c>
      <c r="CD512" s="185">
        <v>240</v>
      </c>
      <c r="CE512" s="185" t="s">
        <v>184</v>
      </c>
      <c r="CF512" s="254" t="s">
        <v>190</v>
      </c>
      <c r="CH512" s="253"/>
    </row>
    <row r="513" spans="1:86">
      <c r="A513" s="1563"/>
      <c r="B513" s="168"/>
      <c r="C513" s="241" t="s">
        <v>319</v>
      </c>
      <c r="D513" s="177" t="s">
        <v>320</v>
      </c>
      <c r="F513" s="242">
        <v>276000</v>
      </c>
      <c r="G513" s="243">
        <v>343060</v>
      </c>
      <c r="H513" s="242">
        <v>230220</v>
      </c>
      <c r="I513" s="243">
        <v>297280</v>
      </c>
      <c r="J513" s="179" t="s">
        <v>182</v>
      </c>
      <c r="K513" s="244">
        <v>2640</v>
      </c>
      <c r="L513" s="245">
        <v>3310</v>
      </c>
      <c r="M513" s="246" t="s">
        <v>795</v>
      </c>
      <c r="N513" s="244">
        <v>2180</v>
      </c>
      <c r="O513" s="245">
        <v>2850</v>
      </c>
      <c r="P513" s="246" t="s">
        <v>795</v>
      </c>
      <c r="R513" s="182"/>
      <c r="S513" s="176"/>
      <c r="T513" s="177"/>
      <c r="V513" s="1578"/>
      <c r="W513" s="1579"/>
      <c r="X513" s="176"/>
      <c r="Y513" s="1579"/>
      <c r="Z513" s="1579"/>
      <c r="AA513" s="176"/>
      <c r="AB513" s="177"/>
      <c r="AC513" s="160" t="s">
        <v>182</v>
      </c>
      <c r="AD513" s="1548">
        <v>52560</v>
      </c>
      <c r="AE513" s="255"/>
      <c r="AF513" s="176"/>
      <c r="AG513" s="176"/>
      <c r="AH513" s="177"/>
      <c r="AJ513" s="187">
        <v>27550</v>
      </c>
      <c r="AK513" s="185" t="s">
        <v>321</v>
      </c>
      <c r="AL513" s="176"/>
      <c r="AM513" s="176"/>
      <c r="AN513" s="177"/>
      <c r="AP513" s="1551"/>
      <c r="AQ513" s="1554"/>
      <c r="AR513" s="1551"/>
      <c r="AS513" s="1554"/>
      <c r="AT513" s="1544"/>
      <c r="AU513" s="172" t="s">
        <v>700</v>
      </c>
      <c r="AV513" s="249">
        <v>15200</v>
      </c>
      <c r="AW513" s="250">
        <v>16900</v>
      </c>
      <c r="AX513" s="251">
        <v>10600</v>
      </c>
      <c r="AY513" s="252">
        <v>10600</v>
      </c>
      <c r="BA513" s="235"/>
      <c r="BC513" s="358"/>
      <c r="BE513" s="187"/>
      <c r="BF513" s="176"/>
      <c r="BG513" s="176"/>
      <c r="BH513" s="177"/>
      <c r="BJ513" s="253"/>
      <c r="BL513" s="193">
        <v>0.01</v>
      </c>
      <c r="BM513" s="194">
        <v>0.03</v>
      </c>
      <c r="BN513" s="194">
        <v>0.04</v>
      </c>
      <c r="BO513" s="195">
        <v>0.05</v>
      </c>
      <c r="BQ513" s="187"/>
      <c r="BR513" s="185"/>
      <c r="BS513" s="185"/>
      <c r="BT513" s="254"/>
      <c r="BV513" s="187"/>
      <c r="BW513" s="185"/>
      <c r="BX513" s="185"/>
      <c r="BY513" s="185"/>
      <c r="BZ513" s="254"/>
      <c r="CB513" s="187"/>
      <c r="CC513" s="185"/>
      <c r="CD513" s="185"/>
      <c r="CE513" s="185"/>
      <c r="CF513" s="254"/>
      <c r="CH513" s="253">
        <v>0.61</v>
      </c>
    </row>
    <row r="514" spans="1:86">
      <c r="A514" s="1563"/>
      <c r="B514" s="168"/>
      <c r="C514" s="241"/>
      <c r="D514" s="177" t="s">
        <v>322</v>
      </c>
      <c r="F514" s="256">
        <v>343060</v>
      </c>
      <c r="G514" s="257"/>
      <c r="H514" s="256">
        <v>297280</v>
      </c>
      <c r="I514" s="257"/>
      <c r="J514" s="179" t="s">
        <v>182</v>
      </c>
      <c r="K514" s="258">
        <v>3310</v>
      </c>
      <c r="L514" s="259"/>
      <c r="M514" s="260" t="s">
        <v>795</v>
      </c>
      <c r="N514" s="258">
        <v>2850</v>
      </c>
      <c r="O514" s="259"/>
      <c r="P514" s="260" t="s">
        <v>795</v>
      </c>
      <c r="R514" s="182"/>
      <c r="S514" s="176"/>
      <c r="T514" s="177"/>
      <c r="V514" s="1578"/>
      <c r="W514" s="1579"/>
      <c r="X514" s="176"/>
      <c r="Y514" s="1579"/>
      <c r="Z514" s="1579"/>
      <c r="AA514" s="176"/>
      <c r="AB514" s="177"/>
      <c r="AD514" s="1549"/>
      <c r="AE514" s="261"/>
      <c r="AF514" s="271"/>
      <c r="AG514" s="271"/>
      <c r="AH514" s="184"/>
      <c r="AJ514" s="187"/>
      <c r="AK514" s="185"/>
      <c r="AL514" s="176"/>
      <c r="AM514" s="176"/>
      <c r="AN514" s="177"/>
      <c r="AP514" s="1552"/>
      <c r="AQ514" s="1555"/>
      <c r="AR514" s="1552"/>
      <c r="AS514" s="1555"/>
      <c r="AT514" s="1544"/>
      <c r="AU514" s="262" t="s">
        <v>701</v>
      </c>
      <c r="AV514" s="263">
        <v>13600</v>
      </c>
      <c r="AW514" s="264">
        <v>15100</v>
      </c>
      <c r="AX514" s="265">
        <v>9500</v>
      </c>
      <c r="AY514" s="266">
        <v>9500</v>
      </c>
      <c r="BA514" s="235"/>
      <c r="BC514" s="359"/>
      <c r="BE514" s="187"/>
      <c r="BF514" s="176"/>
      <c r="BG514" s="176"/>
      <c r="BH514" s="177"/>
      <c r="BJ514" s="253"/>
      <c r="BL514" s="193"/>
      <c r="BM514" s="194"/>
      <c r="BN514" s="194"/>
      <c r="BO514" s="195"/>
      <c r="BQ514" s="187"/>
      <c r="BR514" s="185"/>
      <c r="BS514" s="185"/>
      <c r="BT514" s="254"/>
      <c r="BV514" s="187"/>
      <c r="BW514" s="185"/>
      <c r="BX514" s="185"/>
      <c r="BY514" s="185"/>
      <c r="BZ514" s="254"/>
      <c r="CB514" s="187"/>
      <c r="CC514" s="185"/>
      <c r="CD514" s="185"/>
      <c r="CE514" s="185"/>
      <c r="CF514" s="254"/>
      <c r="CH514" s="253"/>
    </row>
    <row r="515" spans="1:86" ht="63">
      <c r="A515" s="1563"/>
      <c r="B515" s="215" t="s">
        <v>323</v>
      </c>
      <c r="C515" s="216" t="s">
        <v>313</v>
      </c>
      <c r="D515" s="217" t="s">
        <v>314</v>
      </c>
      <c r="F515" s="218">
        <v>116160</v>
      </c>
      <c r="G515" s="219">
        <v>122860</v>
      </c>
      <c r="H515" s="218">
        <v>93270</v>
      </c>
      <c r="I515" s="219">
        <v>99970</v>
      </c>
      <c r="J515" s="179" t="s">
        <v>182</v>
      </c>
      <c r="K515" s="220">
        <v>1140</v>
      </c>
      <c r="L515" s="221">
        <v>1200</v>
      </c>
      <c r="M515" s="222" t="s">
        <v>795</v>
      </c>
      <c r="N515" s="220">
        <v>910</v>
      </c>
      <c r="O515" s="221">
        <v>970</v>
      </c>
      <c r="P515" s="222" t="s">
        <v>795</v>
      </c>
      <c r="Q515" s="160" t="s">
        <v>182</v>
      </c>
      <c r="R515" s="223">
        <v>6700</v>
      </c>
      <c r="S515" s="224">
        <v>60</v>
      </c>
      <c r="T515" s="225" t="s">
        <v>184</v>
      </c>
      <c r="V515" s="1578"/>
      <c r="W515" s="1579"/>
      <c r="X515" s="176"/>
      <c r="Y515" s="1579"/>
      <c r="Z515" s="1579"/>
      <c r="AA515" s="176"/>
      <c r="AB515" s="177"/>
      <c r="AC515" s="160" t="s">
        <v>182</v>
      </c>
      <c r="AD515" s="1546">
        <v>30600</v>
      </c>
      <c r="AE515" s="227"/>
      <c r="AF515" s="176" t="s">
        <v>182</v>
      </c>
      <c r="AG515" s="176">
        <v>230</v>
      </c>
      <c r="AH515" s="177" t="s">
        <v>184</v>
      </c>
      <c r="AJ515" s="187" t="s">
        <v>194</v>
      </c>
      <c r="AK515" s="185"/>
      <c r="AL515" s="176" t="s">
        <v>182</v>
      </c>
      <c r="AM515" s="176">
        <v>160</v>
      </c>
      <c r="AN515" s="177" t="s">
        <v>316</v>
      </c>
      <c r="AO515" s="160" t="s">
        <v>182</v>
      </c>
      <c r="AP515" s="1550">
        <v>7900</v>
      </c>
      <c r="AQ515" s="1553">
        <v>8700</v>
      </c>
      <c r="AR515" s="1550">
        <v>5500</v>
      </c>
      <c r="AS515" s="1553">
        <v>5500</v>
      </c>
      <c r="AT515" s="1544" t="s">
        <v>664</v>
      </c>
      <c r="AU515" s="230" t="s">
        <v>697</v>
      </c>
      <c r="AV515" s="231">
        <v>15800</v>
      </c>
      <c r="AW515" s="232">
        <v>17600</v>
      </c>
      <c r="AX515" s="267">
        <v>11000</v>
      </c>
      <c r="AY515" s="252">
        <v>11000</v>
      </c>
      <c r="BA515" s="235"/>
      <c r="BB515" s="160" t="s">
        <v>182</v>
      </c>
      <c r="BC515" s="1556">
        <v>4700</v>
      </c>
      <c r="BD515" s="160" t="s">
        <v>182</v>
      </c>
      <c r="BE515" s="228">
        <v>10480</v>
      </c>
      <c r="BF515" s="226" t="s">
        <v>182</v>
      </c>
      <c r="BG515" s="226">
        <v>100</v>
      </c>
      <c r="BH515" s="217" t="s">
        <v>184</v>
      </c>
      <c r="BJ515" s="253"/>
      <c r="BK515" s="160" t="s">
        <v>188</v>
      </c>
      <c r="BL515" s="237" t="s">
        <v>317</v>
      </c>
      <c r="BM515" s="238" t="s">
        <v>317</v>
      </c>
      <c r="BN515" s="238" t="s">
        <v>317</v>
      </c>
      <c r="BO515" s="239" t="s">
        <v>317</v>
      </c>
      <c r="BP515" s="160" t="s">
        <v>188</v>
      </c>
      <c r="BQ515" s="228"/>
      <c r="BR515" s="229"/>
      <c r="BS515" s="229"/>
      <c r="BT515" s="240"/>
      <c r="BU515" s="160" t="s">
        <v>188</v>
      </c>
      <c r="BV515" s="228"/>
      <c r="BW515" s="229"/>
      <c r="BX515" s="229"/>
      <c r="BY515" s="229"/>
      <c r="BZ515" s="240"/>
      <c r="CA515" s="160" t="s">
        <v>188</v>
      </c>
      <c r="CB515" s="228"/>
      <c r="CC515" s="229"/>
      <c r="CD515" s="229"/>
      <c r="CE515" s="229"/>
      <c r="CF515" s="240"/>
      <c r="CH515" s="236" t="s">
        <v>324</v>
      </c>
    </row>
    <row r="516" spans="1:86">
      <c r="A516" s="1563"/>
      <c r="B516" s="168"/>
      <c r="C516" s="241"/>
      <c r="D516" s="177" t="s">
        <v>318</v>
      </c>
      <c r="F516" s="242">
        <v>122860</v>
      </c>
      <c r="G516" s="243">
        <v>178060</v>
      </c>
      <c r="H516" s="242">
        <v>99970</v>
      </c>
      <c r="I516" s="243">
        <v>155170</v>
      </c>
      <c r="J516" s="179" t="s">
        <v>182</v>
      </c>
      <c r="K516" s="244">
        <v>1200</v>
      </c>
      <c r="L516" s="245">
        <v>1660</v>
      </c>
      <c r="M516" s="246" t="s">
        <v>795</v>
      </c>
      <c r="N516" s="244">
        <v>970</v>
      </c>
      <c r="O516" s="245">
        <v>1430</v>
      </c>
      <c r="P516" s="246" t="s">
        <v>795</v>
      </c>
      <c r="Q516" s="160" t="s">
        <v>182</v>
      </c>
      <c r="R516" s="187">
        <v>6700</v>
      </c>
      <c r="S516" s="185">
        <v>60</v>
      </c>
      <c r="T516" s="247" t="s">
        <v>184</v>
      </c>
      <c r="V516" s="1578"/>
      <c r="W516" s="1579"/>
      <c r="X516" s="176"/>
      <c r="Y516" s="1579"/>
      <c r="Z516" s="1579"/>
      <c r="AA516" s="176"/>
      <c r="AB516" s="177"/>
      <c r="AD516" s="1547"/>
      <c r="AE516" s="248">
        <v>28870</v>
      </c>
      <c r="AF516" s="176"/>
      <c r="AG516" s="176"/>
      <c r="AH516" s="177"/>
      <c r="AJ516" s="187"/>
      <c r="AK516" s="185"/>
      <c r="AL516" s="176"/>
      <c r="AM516" s="176"/>
      <c r="AN516" s="177"/>
      <c r="AP516" s="1551"/>
      <c r="AQ516" s="1554"/>
      <c r="AR516" s="1551"/>
      <c r="AS516" s="1554"/>
      <c r="AT516" s="1544"/>
      <c r="AU516" s="172" t="s">
        <v>699</v>
      </c>
      <c r="AV516" s="249">
        <v>8700</v>
      </c>
      <c r="AW516" s="250">
        <v>9700</v>
      </c>
      <c r="AX516" s="267">
        <v>6100</v>
      </c>
      <c r="AY516" s="252">
        <v>6100</v>
      </c>
      <c r="BA516" s="235"/>
      <c r="BC516" s="1557"/>
      <c r="BE516" s="187"/>
      <c r="BF516" s="176"/>
      <c r="BG516" s="176"/>
      <c r="BH516" s="177"/>
      <c r="BJ516" s="253"/>
      <c r="BL516" s="193"/>
      <c r="BM516" s="194"/>
      <c r="BN516" s="194"/>
      <c r="BO516" s="195"/>
      <c r="BQ516" s="187">
        <v>6360</v>
      </c>
      <c r="BR516" s="185" t="s">
        <v>199</v>
      </c>
      <c r="BS516" s="185">
        <v>60</v>
      </c>
      <c r="BT516" s="254" t="s">
        <v>184</v>
      </c>
      <c r="BV516" s="187">
        <v>20110</v>
      </c>
      <c r="BW516" s="185" t="s">
        <v>189</v>
      </c>
      <c r="BX516" s="185">
        <v>200</v>
      </c>
      <c r="BY516" s="185" t="s">
        <v>184</v>
      </c>
      <c r="BZ516" s="254" t="s">
        <v>190</v>
      </c>
      <c r="CB516" s="187">
        <v>12050</v>
      </c>
      <c r="CC516" s="185" t="s">
        <v>189</v>
      </c>
      <c r="CD516" s="185">
        <v>120</v>
      </c>
      <c r="CE516" s="185" t="s">
        <v>184</v>
      </c>
      <c r="CF516" s="254" t="s">
        <v>190</v>
      </c>
      <c r="CH516" s="253"/>
    </row>
    <row r="517" spans="1:86">
      <c r="A517" s="1563"/>
      <c r="B517" s="168"/>
      <c r="C517" s="241" t="s">
        <v>319</v>
      </c>
      <c r="D517" s="177" t="s">
        <v>320</v>
      </c>
      <c r="F517" s="242">
        <v>178060</v>
      </c>
      <c r="G517" s="243">
        <v>245120</v>
      </c>
      <c r="H517" s="242">
        <v>155170</v>
      </c>
      <c r="I517" s="243">
        <v>222230</v>
      </c>
      <c r="J517" s="179" t="s">
        <v>182</v>
      </c>
      <c r="K517" s="244">
        <v>1660</v>
      </c>
      <c r="L517" s="245">
        <v>2330</v>
      </c>
      <c r="M517" s="246" t="s">
        <v>795</v>
      </c>
      <c r="N517" s="244">
        <v>1430</v>
      </c>
      <c r="O517" s="245">
        <v>2100</v>
      </c>
      <c r="P517" s="246" t="s">
        <v>795</v>
      </c>
      <c r="R517" s="182"/>
      <c r="S517" s="176"/>
      <c r="T517" s="177"/>
      <c r="V517" s="1578"/>
      <c r="W517" s="1579"/>
      <c r="X517" s="176"/>
      <c r="Y517" s="1579"/>
      <c r="Z517" s="1579"/>
      <c r="AA517" s="176"/>
      <c r="AB517" s="177"/>
      <c r="AC517" s="160" t="s">
        <v>182</v>
      </c>
      <c r="AD517" s="1548">
        <v>28870</v>
      </c>
      <c r="AE517" s="255"/>
      <c r="AF517" s="176"/>
      <c r="AG517" s="176"/>
      <c r="AH517" s="177"/>
      <c r="AJ517" s="187">
        <v>16530</v>
      </c>
      <c r="AK517" s="185" t="s">
        <v>321</v>
      </c>
      <c r="AL517" s="176"/>
      <c r="AM517" s="176"/>
      <c r="AN517" s="177"/>
      <c r="AP517" s="1551"/>
      <c r="AQ517" s="1554"/>
      <c r="AR517" s="1551"/>
      <c r="AS517" s="1554"/>
      <c r="AT517" s="1544"/>
      <c r="AU517" s="172" t="s">
        <v>700</v>
      </c>
      <c r="AV517" s="249">
        <v>7600</v>
      </c>
      <c r="AW517" s="250">
        <v>8400</v>
      </c>
      <c r="AX517" s="267">
        <v>5300</v>
      </c>
      <c r="AY517" s="252">
        <v>5300</v>
      </c>
      <c r="BA517" s="268"/>
      <c r="BC517" s="359"/>
      <c r="BE517" s="187"/>
      <c r="BF517" s="176"/>
      <c r="BG517" s="176"/>
      <c r="BH517" s="177"/>
      <c r="BJ517" s="253"/>
      <c r="BL517" s="193">
        <v>0.01</v>
      </c>
      <c r="BM517" s="194">
        <v>0.03</v>
      </c>
      <c r="BN517" s="194">
        <v>0.04</v>
      </c>
      <c r="BO517" s="195">
        <v>0.05</v>
      </c>
      <c r="BQ517" s="187"/>
      <c r="BR517" s="185"/>
      <c r="BS517" s="185"/>
      <c r="BT517" s="254"/>
      <c r="BV517" s="187"/>
      <c r="BW517" s="185"/>
      <c r="BX517" s="185"/>
      <c r="BY517" s="185"/>
      <c r="BZ517" s="254"/>
      <c r="CB517" s="187"/>
      <c r="CC517" s="185"/>
      <c r="CD517" s="185"/>
      <c r="CE517" s="185"/>
      <c r="CF517" s="254"/>
      <c r="CH517" s="253">
        <v>0.79</v>
      </c>
    </row>
    <row r="518" spans="1:86">
      <c r="A518" s="1563"/>
      <c r="B518" s="269"/>
      <c r="C518" s="270"/>
      <c r="D518" s="184" t="s">
        <v>322</v>
      </c>
      <c r="F518" s="256">
        <v>245120</v>
      </c>
      <c r="G518" s="257"/>
      <c r="H518" s="256">
        <v>222230</v>
      </c>
      <c r="I518" s="257"/>
      <c r="J518" s="179" t="s">
        <v>182</v>
      </c>
      <c r="K518" s="258">
        <v>2330</v>
      </c>
      <c r="L518" s="259"/>
      <c r="M518" s="260" t="s">
        <v>795</v>
      </c>
      <c r="N518" s="258">
        <v>2100</v>
      </c>
      <c r="O518" s="259"/>
      <c r="P518" s="260" t="s">
        <v>795</v>
      </c>
      <c r="R518" s="183"/>
      <c r="S518" s="271"/>
      <c r="T518" s="184"/>
      <c r="V518" s="1578"/>
      <c r="W518" s="1579"/>
      <c r="X518" s="176"/>
      <c r="Y518" s="1579"/>
      <c r="Z518" s="1579"/>
      <c r="AA518" s="176"/>
      <c r="AB518" s="177"/>
      <c r="AD518" s="1549"/>
      <c r="AE518" s="261"/>
      <c r="AF518" s="176"/>
      <c r="AG518" s="176"/>
      <c r="AH518" s="177"/>
      <c r="AJ518" s="187"/>
      <c r="AK518" s="185"/>
      <c r="AL518" s="176"/>
      <c r="AM518" s="176"/>
      <c r="AN518" s="177"/>
      <c r="AP518" s="1552"/>
      <c r="AQ518" s="1555"/>
      <c r="AR518" s="1552"/>
      <c r="AS518" s="1555"/>
      <c r="AT518" s="1544"/>
      <c r="AU518" s="262" t="s">
        <v>701</v>
      </c>
      <c r="AV518" s="263">
        <v>6800</v>
      </c>
      <c r="AW518" s="264">
        <v>7500</v>
      </c>
      <c r="AX518" s="265">
        <v>4700</v>
      </c>
      <c r="AY518" s="266">
        <v>4700</v>
      </c>
      <c r="BA518" s="268"/>
      <c r="BC518" s="359"/>
      <c r="BE518" s="186"/>
      <c r="BF518" s="271"/>
      <c r="BG518" s="271"/>
      <c r="BH518" s="184"/>
      <c r="BJ518" s="253"/>
      <c r="BL518" s="272"/>
      <c r="BM518" s="273"/>
      <c r="BN518" s="273"/>
      <c r="BO518" s="274"/>
      <c r="BQ518" s="186"/>
      <c r="BR518" s="196"/>
      <c r="BS518" s="196"/>
      <c r="BT518" s="197"/>
      <c r="BV518" s="186"/>
      <c r="BW518" s="196"/>
      <c r="BX518" s="196"/>
      <c r="BY518" s="196"/>
      <c r="BZ518" s="197"/>
      <c r="CB518" s="186"/>
      <c r="CC518" s="196"/>
      <c r="CD518" s="196"/>
      <c r="CE518" s="196"/>
      <c r="CF518" s="197"/>
      <c r="CH518" s="198"/>
    </row>
    <row r="519" spans="1:86" ht="63">
      <c r="A519" s="1563"/>
      <c r="B519" s="168" t="s">
        <v>325</v>
      </c>
      <c r="C519" s="241" t="s">
        <v>313</v>
      </c>
      <c r="D519" s="177" t="s">
        <v>314</v>
      </c>
      <c r="F519" s="218">
        <v>83410</v>
      </c>
      <c r="G519" s="219">
        <v>90110</v>
      </c>
      <c r="H519" s="218">
        <v>68150</v>
      </c>
      <c r="I519" s="219">
        <v>74850</v>
      </c>
      <c r="J519" s="179" t="s">
        <v>182</v>
      </c>
      <c r="K519" s="220">
        <v>810</v>
      </c>
      <c r="L519" s="221">
        <v>870</v>
      </c>
      <c r="M519" s="222" t="s">
        <v>795</v>
      </c>
      <c r="N519" s="220">
        <v>660</v>
      </c>
      <c r="O519" s="221">
        <v>720</v>
      </c>
      <c r="P519" s="222" t="s">
        <v>795</v>
      </c>
      <c r="Q519" s="160" t="s">
        <v>182</v>
      </c>
      <c r="R519" s="275">
        <v>6700</v>
      </c>
      <c r="S519" s="276">
        <v>60</v>
      </c>
      <c r="T519" s="247" t="s">
        <v>184</v>
      </c>
      <c r="V519" s="1578"/>
      <c r="W519" s="1579"/>
      <c r="X519" s="176"/>
      <c r="Y519" s="1579"/>
      <c r="Z519" s="1579"/>
      <c r="AA519" s="176"/>
      <c r="AB519" s="177"/>
      <c r="AC519" s="160" t="s">
        <v>182</v>
      </c>
      <c r="AD519" s="1546">
        <v>22700</v>
      </c>
      <c r="AE519" s="227"/>
      <c r="AF519" s="226" t="s">
        <v>182</v>
      </c>
      <c r="AG519" s="226">
        <v>150</v>
      </c>
      <c r="AH519" s="217" t="s">
        <v>184</v>
      </c>
      <c r="AJ519" s="187" t="s">
        <v>196</v>
      </c>
      <c r="AK519" s="185"/>
      <c r="AL519" s="176" t="s">
        <v>182</v>
      </c>
      <c r="AM519" s="176">
        <v>110</v>
      </c>
      <c r="AN519" s="177" t="s">
        <v>316</v>
      </c>
      <c r="AO519" s="160" t="s">
        <v>182</v>
      </c>
      <c r="AP519" s="1550">
        <v>5500</v>
      </c>
      <c r="AQ519" s="1553">
        <v>6000</v>
      </c>
      <c r="AR519" s="1550">
        <v>3800</v>
      </c>
      <c r="AS519" s="1553">
        <v>3800</v>
      </c>
      <c r="AT519" s="1544" t="s">
        <v>664</v>
      </c>
      <c r="AU519" s="230" t="s">
        <v>697</v>
      </c>
      <c r="AV519" s="231">
        <v>10900</v>
      </c>
      <c r="AW519" s="232">
        <v>12200</v>
      </c>
      <c r="AX519" s="267">
        <v>7600</v>
      </c>
      <c r="AY519" s="252">
        <v>7600</v>
      </c>
      <c r="BA519" s="268"/>
      <c r="BB519" s="160" t="s">
        <v>182</v>
      </c>
      <c r="BC519" s="1556">
        <v>4700</v>
      </c>
      <c r="BD519" s="160" t="s">
        <v>182</v>
      </c>
      <c r="BE519" s="187">
        <v>6990</v>
      </c>
      <c r="BF519" s="176" t="s">
        <v>182</v>
      </c>
      <c r="BG519" s="176">
        <v>60</v>
      </c>
      <c r="BH519" s="177" t="s">
        <v>184</v>
      </c>
      <c r="BJ519" s="253"/>
      <c r="BK519" s="160" t="s">
        <v>188</v>
      </c>
      <c r="BL519" s="193" t="s">
        <v>317</v>
      </c>
      <c r="BM519" s="194" t="s">
        <v>317</v>
      </c>
      <c r="BN519" s="194" t="s">
        <v>317</v>
      </c>
      <c r="BO519" s="195" t="s">
        <v>317</v>
      </c>
      <c r="BP519" s="160" t="s">
        <v>188</v>
      </c>
      <c r="BQ519" s="187"/>
      <c r="BR519" s="185"/>
      <c r="BS519" s="185"/>
      <c r="BT519" s="254"/>
      <c r="BU519" s="160" t="s">
        <v>188</v>
      </c>
      <c r="BV519" s="187"/>
      <c r="BW519" s="185"/>
      <c r="BX519" s="185"/>
      <c r="BY519" s="185"/>
      <c r="BZ519" s="254"/>
      <c r="CA519" s="160" t="s">
        <v>188</v>
      </c>
      <c r="CB519" s="187"/>
      <c r="CC519" s="185"/>
      <c r="CD519" s="185"/>
      <c r="CE519" s="185"/>
      <c r="CF519" s="254"/>
      <c r="CH519" s="253" t="s">
        <v>324</v>
      </c>
    </row>
    <row r="520" spans="1:86">
      <c r="A520" s="1563"/>
      <c r="B520" s="168"/>
      <c r="C520" s="241"/>
      <c r="D520" s="177" t="s">
        <v>318</v>
      </c>
      <c r="F520" s="242">
        <v>90110</v>
      </c>
      <c r="G520" s="243">
        <v>145310</v>
      </c>
      <c r="H520" s="242">
        <v>74850</v>
      </c>
      <c r="I520" s="243">
        <v>130050</v>
      </c>
      <c r="J520" s="179" t="s">
        <v>182</v>
      </c>
      <c r="K520" s="244">
        <v>870</v>
      </c>
      <c r="L520" s="245">
        <v>1330</v>
      </c>
      <c r="M520" s="246" t="s">
        <v>795</v>
      </c>
      <c r="N520" s="244">
        <v>720</v>
      </c>
      <c r="O520" s="245">
        <v>1180</v>
      </c>
      <c r="P520" s="246" t="s">
        <v>795</v>
      </c>
      <c r="Q520" s="160" t="s">
        <v>182</v>
      </c>
      <c r="R520" s="187">
        <v>6700</v>
      </c>
      <c r="S520" s="185">
        <v>60</v>
      </c>
      <c r="T520" s="247" t="s">
        <v>184</v>
      </c>
      <c r="V520" s="1578"/>
      <c r="W520" s="1579"/>
      <c r="X520" s="176"/>
      <c r="Y520" s="1579"/>
      <c r="Z520" s="1579"/>
      <c r="AA520" s="176"/>
      <c r="AB520" s="177"/>
      <c r="AD520" s="1547"/>
      <c r="AE520" s="248">
        <v>20970</v>
      </c>
      <c r="AF520" s="176"/>
      <c r="AG520" s="176"/>
      <c r="AH520" s="177"/>
      <c r="AJ520" s="187"/>
      <c r="AK520" s="185"/>
      <c r="AL520" s="176"/>
      <c r="AM520" s="176"/>
      <c r="AN520" s="177"/>
      <c r="AP520" s="1551"/>
      <c r="AQ520" s="1554"/>
      <c r="AR520" s="1551"/>
      <c r="AS520" s="1554"/>
      <c r="AT520" s="1544"/>
      <c r="AU520" s="172" t="s">
        <v>699</v>
      </c>
      <c r="AV520" s="249">
        <v>6000</v>
      </c>
      <c r="AW520" s="250">
        <v>6700</v>
      </c>
      <c r="AX520" s="267">
        <v>4200</v>
      </c>
      <c r="AY520" s="252">
        <v>4200</v>
      </c>
      <c r="BA520" s="1545" t="s">
        <v>702</v>
      </c>
      <c r="BC520" s="1557"/>
      <c r="BE520" s="187"/>
      <c r="BF520" s="176"/>
      <c r="BG520" s="176"/>
      <c r="BH520" s="177"/>
      <c r="BJ520" s="253"/>
      <c r="BL520" s="193"/>
      <c r="BM520" s="194"/>
      <c r="BN520" s="194"/>
      <c r="BO520" s="195"/>
      <c r="BQ520" s="187">
        <v>4240</v>
      </c>
      <c r="BR520" s="185" t="s">
        <v>199</v>
      </c>
      <c r="BS520" s="185">
        <v>40</v>
      </c>
      <c r="BT520" s="254" t="s">
        <v>184</v>
      </c>
      <c r="BV520" s="187">
        <v>13410</v>
      </c>
      <c r="BW520" s="185" t="s">
        <v>189</v>
      </c>
      <c r="BX520" s="185">
        <v>130</v>
      </c>
      <c r="BY520" s="185" t="s">
        <v>184</v>
      </c>
      <c r="BZ520" s="254" t="s">
        <v>190</v>
      </c>
      <c r="CB520" s="187">
        <v>8030</v>
      </c>
      <c r="CC520" s="185" t="s">
        <v>189</v>
      </c>
      <c r="CD520" s="185">
        <v>80</v>
      </c>
      <c r="CE520" s="185" t="s">
        <v>184</v>
      </c>
      <c r="CF520" s="254" t="s">
        <v>190</v>
      </c>
      <c r="CH520" s="253"/>
    </row>
    <row r="521" spans="1:86">
      <c r="A521" s="1563"/>
      <c r="B521" s="168"/>
      <c r="C521" s="241" t="s">
        <v>319</v>
      </c>
      <c r="D521" s="177" t="s">
        <v>320</v>
      </c>
      <c r="F521" s="242">
        <v>145310</v>
      </c>
      <c r="G521" s="243">
        <v>212370</v>
      </c>
      <c r="H521" s="242">
        <v>130050</v>
      </c>
      <c r="I521" s="243">
        <v>197110</v>
      </c>
      <c r="J521" s="179" t="s">
        <v>182</v>
      </c>
      <c r="K521" s="244">
        <v>1330</v>
      </c>
      <c r="L521" s="245">
        <v>2000</v>
      </c>
      <c r="M521" s="246" t="s">
        <v>795</v>
      </c>
      <c r="N521" s="244">
        <v>1180</v>
      </c>
      <c r="O521" s="245">
        <v>1850</v>
      </c>
      <c r="P521" s="246" t="s">
        <v>795</v>
      </c>
      <c r="R521" s="182"/>
      <c r="S521" s="176"/>
      <c r="T521" s="177"/>
      <c r="V521" s="1578"/>
      <c r="W521" s="1579"/>
      <c r="X521" s="176"/>
      <c r="Y521" s="1579"/>
      <c r="Z521" s="1579"/>
      <c r="AA521" s="176"/>
      <c r="AB521" s="177"/>
      <c r="AC521" s="160" t="s">
        <v>182</v>
      </c>
      <c r="AD521" s="1548">
        <v>20970</v>
      </c>
      <c r="AE521" s="255"/>
      <c r="AF521" s="176"/>
      <c r="AG521" s="176">
        <v>0</v>
      </c>
      <c r="AH521" s="177"/>
      <c r="AJ521" s="187">
        <v>11800</v>
      </c>
      <c r="AK521" s="185" t="s">
        <v>321</v>
      </c>
      <c r="AL521" s="176"/>
      <c r="AM521" s="176"/>
      <c r="AN521" s="177"/>
      <c r="AP521" s="1551"/>
      <c r="AQ521" s="1554"/>
      <c r="AR521" s="1551"/>
      <c r="AS521" s="1554"/>
      <c r="AT521" s="1544"/>
      <c r="AU521" s="172" t="s">
        <v>700</v>
      </c>
      <c r="AV521" s="249">
        <v>5200</v>
      </c>
      <c r="AW521" s="250">
        <v>5800</v>
      </c>
      <c r="AX521" s="267">
        <v>3600</v>
      </c>
      <c r="AY521" s="252">
        <v>3600</v>
      </c>
      <c r="BA521" s="1545"/>
      <c r="BC521" s="359"/>
      <c r="BE521" s="187"/>
      <c r="BF521" s="176"/>
      <c r="BG521" s="176"/>
      <c r="BH521" s="177"/>
      <c r="BJ521" s="253"/>
      <c r="BL521" s="193">
        <v>0.02</v>
      </c>
      <c r="BM521" s="194">
        <v>0.03</v>
      </c>
      <c r="BN521" s="194">
        <v>0.04</v>
      </c>
      <c r="BO521" s="195">
        <v>0.06</v>
      </c>
      <c r="BQ521" s="187"/>
      <c r="BR521" s="185"/>
      <c r="BS521" s="185"/>
      <c r="BT521" s="254"/>
      <c r="BV521" s="187"/>
      <c r="BW521" s="185"/>
      <c r="BX521" s="185"/>
      <c r="BY521" s="185"/>
      <c r="BZ521" s="254"/>
      <c r="CB521" s="187"/>
      <c r="CC521" s="185"/>
      <c r="CD521" s="185"/>
      <c r="CE521" s="185"/>
      <c r="CF521" s="254"/>
      <c r="CH521" s="253">
        <v>0.87</v>
      </c>
    </row>
    <row r="522" spans="1:86">
      <c r="A522" s="1563"/>
      <c r="B522" s="168"/>
      <c r="C522" s="241"/>
      <c r="D522" s="177" t="s">
        <v>322</v>
      </c>
      <c r="F522" s="256">
        <v>212370</v>
      </c>
      <c r="G522" s="257"/>
      <c r="H522" s="256">
        <v>197110</v>
      </c>
      <c r="I522" s="257"/>
      <c r="J522" s="179" t="s">
        <v>182</v>
      </c>
      <c r="K522" s="258">
        <v>2000</v>
      </c>
      <c r="L522" s="259"/>
      <c r="M522" s="260" t="s">
        <v>795</v>
      </c>
      <c r="N522" s="258">
        <v>1850</v>
      </c>
      <c r="O522" s="259"/>
      <c r="P522" s="260" t="s">
        <v>795</v>
      </c>
      <c r="R522" s="182"/>
      <c r="S522" s="176"/>
      <c r="T522" s="177"/>
      <c r="V522" s="1578"/>
      <c r="W522" s="1579"/>
      <c r="X522" s="176"/>
      <c r="Y522" s="1579"/>
      <c r="Z522" s="1579"/>
      <c r="AA522" s="176"/>
      <c r="AB522" s="177"/>
      <c r="AD522" s="1549"/>
      <c r="AE522" s="261"/>
      <c r="AF522" s="271"/>
      <c r="AG522" s="271"/>
      <c r="AH522" s="184"/>
      <c r="AJ522" s="187"/>
      <c r="AK522" s="185"/>
      <c r="AL522" s="176"/>
      <c r="AM522" s="176"/>
      <c r="AN522" s="177"/>
      <c r="AP522" s="1552"/>
      <c r="AQ522" s="1555"/>
      <c r="AR522" s="1552"/>
      <c r="AS522" s="1555"/>
      <c r="AT522" s="1544"/>
      <c r="AU522" s="262" t="s">
        <v>701</v>
      </c>
      <c r="AV522" s="263">
        <v>4700</v>
      </c>
      <c r="AW522" s="264">
        <v>5200</v>
      </c>
      <c r="AX522" s="265">
        <v>3300</v>
      </c>
      <c r="AY522" s="266">
        <v>3300</v>
      </c>
      <c r="BA522" s="1545"/>
      <c r="BC522" s="359"/>
      <c r="BE522" s="187"/>
      <c r="BF522" s="176"/>
      <c r="BG522" s="176"/>
      <c r="BH522" s="177"/>
      <c r="BJ522" s="253"/>
      <c r="BL522" s="193"/>
      <c r="BM522" s="194"/>
      <c r="BN522" s="194"/>
      <c r="BO522" s="195"/>
      <c r="BQ522" s="187"/>
      <c r="BR522" s="185"/>
      <c r="BS522" s="185"/>
      <c r="BT522" s="254"/>
      <c r="BV522" s="187"/>
      <c r="BW522" s="185"/>
      <c r="BX522" s="185"/>
      <c r="BY522" s="185"/>
      <c r="BZ522" s="254"/>
      <c r="CB522" s="187"/>
      <c r="CC522" s="185"/>
      <c r="CD522" s="185"/>
      <c r="CE522" s="185"/>
      <c r="CF522" s="254"/>
      <c r="CH522" s="253"/>
    </row>
    <row r="523" spans="1:86" ht="63">
      <c r="A523" s="1563"/>
      <c r="B523" s="215" t="s">
        <v>326</v>
      </c>
      <c r="C523" s="216" t="s">
        <v>313</v>
      </c>
      <c r="D523" s="217" t="s">
        <v>314</v>
      </c>
      <c r="F523" s="218">
        <v>67140</v>
      </c>
      <c r="G523" s="219">
        <v>73840</v>
      </c>
      <c r="H523" s="218">
        <v>55700</v>
      </c>
      <c r="I523" s="219">
        <v>62400</v>
      </c>
      <c r="J523" s="179" t="s">
        <v>182</v>
      </c>
      <c r="K523" s="220">
        <v>650</v>
      </c>
      <c r="L523" s="221">
        <v>710</v>
      </c>
      <c r="M523" s="222" t="s">
        <v>795</v>
      </c>
      <c r="N523" s="220">
        <v>530</v>
      </c>
      <c r="O523" s="221">
        <v>590</v>
      </c>
      <c r="P523" s="222" t="s">
        <v>795</v>
      </c>
      <c r="Q523" s="160" t="s">
        <v>182</v>
      </c>
      <c r="R523" s="223">
        <v>6700</v>
      </c>
      <c r="S523" s="224">
        <v>60</v>
      </c>
      <c r="T523" s="225" t="s">
        <v>184</v>
      </c>
      <c r="V523" s="1578"/>
      <c r="W523" s="1579"/>
      <c r="X523" s="176"/>
      <c r="Y523" s="1579"/>
      <c r="Z523" s="1579"/>
      <c r="AA523" s="176"/>
      <c r="AB523" s="177"/>
      <c r="AC523" s="160" t="s">
        <v>182</v>
      </c>
      <c r="AD523" s="1546">
        <v>18750</v>
      </c>
      <c r="AE523" s="227"/>
      <c r="AF523" s="176" t="s">
        <v>182</v>
      </c>
      <c r="AG523" s="176">
        <v>110</v>
      </c>
      <c r="AH523" s="177" t="s">
        <v>184</v>
      </c>
      <c r="AJ523" s="187" t="s">
        <v>198</v>
      </c>
      <c r="AK523" s="185"/>
      <c r="AL523" s="176" t="s">
        <v>182</v>
      </c>
      <c r="AM523" s="176">
        <v>90</v>
      </c>
      <c r="AN523" s="177" t="s">
        <v>316</v>
      </c>
      <c r="AO523" s="160" t="s">
        <v>182</v>
      </c>
      <c r="AP523" s="1550">
        <v>4800</v>
      </c>
      <c r="AQ523" s="1553">
        <v>5300</v>
      </c>
      <c r="AR523" s="1550">
        <v>3300</v>
      </c>
      <c r="AS523" s="1553">
        <v>3300</v>
      </c>
      <c r="AT523" s="1544" t="s">
        <v>664</v>
      </c>
      <c r="AU523" s="230" t="s">
        <v>697</v>
      </c>
      <c r="AV523" s="231">
        <v>9800</v>
      </c>
      <c r="AW523" s="232">
        <v>10900</v>
      </c>
      <c r="AX523" s="267">
        <v>6800</v>
      </c>
      <c r="AY523" s="252">
        <v>6800</v>
      </c>
      <c r="BA523" s="235" t="s">
        <v>662</v>
      </c>
      <c r="BB523" s="160" t="s">
        <v>182</v>
      </c>
      <c r="BC523" s="1556">
        <v>4700</v>
      </c>
      <c r="BD523" s="160" t="s">
        <v>182</v>
      </c>
      <c r="BE523" s="228">
        <v>5240</v>
      </c>
      <c r="BF523" s="226" t="s">
        <v>182</v>
      </c>
      <c r="BG523" s="226">
        <v>50</v>
      </c>
      <c r="BH523" s="217" t="s">
        <v>184</v>
      </c>
      <c r="BJ523" s="253"/>
      <c r="BK523" s="160" t="s">
        <v>188</v>
      </c>
      <c r="BL523" s="237" t="s">
        <v>317</v>
      </c>
      <c r="BM523" s="238" t="s">
        <v>317</v>
      </c>
      <c r="BN523" s="238" t="s">
        <v>317</v>
      </c>
      <c r="BO523" s="239" t="s">
        <v>317</v>
      </c>
      <c r="BP523" s="160" t="s">
        <v>188</v>
      </c>
      <c r="BQ523" s="228"/>
      <c r="BR523" s="229"/>
      <c r="BS523" s="229"/>
      <c r="BT523" s="240"/>
      <c r="BU523" s="160" t="s">
        <v>188</v>
      </c>
      <c r="BV523" s="228"/>
      <c r="BW523" s="229"/>
      <c r="BX523" s="229"/>
      <c r="BY523" s="229"/>
      <c r="BZ523" s="240"/>
      <c r="CA523" s="160" t="s">
        <v>188</v>
      </c>
      <c r="CB523" s="228"/>
      <c r="CC523" s="229"/>
      <c r="CD523" s="229"/>
      <c r="CE523" s="229"/>
      <c r="CF523" s="240"/>
      <c r="CH523" s="236" t="s">
        <v>324</v>
      </c>
    </row>
    <row r="524" spans="1:86">
      <c r="A524" s="1563"/>
      <c r="B524" s="168"/>
      <c r="C524" s="241"/>
      <c r="D524" s="177" t="s">
        <v>318</v>
      </c>
      <c r="F524" s="242">
        <v>73840</v>
      </c>
      <c r="G524" s="243">
        <v>129040</v>
      </c>
      <c r="H524" s="242">
        <v>62400</v>
      </c>
      <c r="I524" s="243">
        <v>117600</v>
      </c>
      <c r="J524" s="179" t="s">
        <v>182</v>
      </c>
      <c r="K524" s="244">
        <v>710</v>
      </c>
      <c r="L524" s="245">
        <v>1170</v>
      </c>
      <c r="M524" s="246" t="s">
        <v>795</v>
      </c>
      <c r="N524" s="244">
        <v>590</v>
      </c>
      <c r="O524" s="245">
        <v>1060</v>
      </c>
      <c r="P524" s="246" t="s">
        <v>795</v>
      </c>
      <c r="Q524" s="160" t="s">
        <v>182</v>
      </c>
      <c r="R524" s="187">
        <v>6700</v>
      </c>
      <c r="S524" s="185">
        <v>60</v>
      </c>
      <c r="T524" s="247" t="s">
        <v>184</v>
      </c>
      <c r="V524" s="182"/>
      <c r="W524" s="185"/>
      <c r="X524" s="176"/>
      <c r="Y524" s="185"/>
      <c r="Z524" s="176"/>
      <c r="AA524" s="176"/>
      <c r="AB524" s="177"/>
      <c r="AD524" s="1547"/>
      <c r="AE524" s="248">
        <v>17020</v>
      </c>
      <c r="AF524" s="176"/>
      <c r="AG524" s="176"/>
      <c r="AH524" s="177"/>
      <c r="AJ524" s="187"/>
      <c r="AK524" s="185"/>
      <c r="AL524" s="176"/>
      <c r="AM524" s="176"/>
      <c r="AN524" s="177"/>
      <c r="AP524" s="1551"/>
      <c r="AQ524" s="1554"/>
      <c r="AR524" s="1551"/>
      <c r="AS524" s="1554"/>
      <c r="AT524" s="1544"/>
      <c r="AU524" s="172" t="s">
        <v>699</v>
      </c>
      <c r="AV524" s="249">
        <v>5400</v>
      </c>
      <c r="AW524" s="250">
        <v>6000</v>
      </c>
      <c r="AX524" s="267">
        <v>3700</v>
      </c>
      <c r="AY524" s="252">
        <v>3700</v>
      </c>
      <c r="BA524" s="235">
        <v>27330</v>
      </c>
      <c r="BC524" s="1557"/>
      <c r="BE524" s="187"/>
      <c r="BF524" s="176"/>
      <c r="BG524" s="176"/>
      <c r="BH524" s="177"/>
      <c r="BJ524" s="253"/>
      <c r="BL524" s="193"/>
      <c r="BM524" s="194"/>
      <c r="BN524" s="194"/>
      <c r="BO524" s="195"/>
      <c r="BQ524" s="187">
        <v>3180</v>
      </c>
      <c r="BR524" s="185" t="s">
        <v>199</v>
      </c>
      <c r="BS524" s="185">
        <v>30</v>
      </c>
      <c r="BT524" s="254" t="s">
        <v>184</v>
      </c>
      <c r="BV524" s="187">
        <v>10050</v>
      </c>
      <c r="BW524" s="185" t="s">
        <v>189</v>
      </c>
      <c r="BX524" s="185">
        <v>100</v>
      </c>
      <c r="BY524" s="185" t="s">
        <v>184</v>
      </c>
      <c r="BZ524" s="254" t="s">
        <v>190</v>
      </c>
      <c r="CB524" s="187">
        <v>6020</v>
      </c>
      <c r="CC524" s="185" t="s">
        <v>189</v>
      </c>
      <c r="CD524" s="185">
        <v>60</v>
      </c>
      <c r="CE524" s="185" t="s">
        <v>184</v>
      </c>
      <c r="CF524" s="254" t="s">
        <v>190</v>
      </c>
      <c r="CH524" s="253"/>
    </row>
    <row r="525" spans="1:86">
      <c r="A525" s="1563"/>
      <c r="B525" s="168"/>
      <c r="C525" s="241" t="s">
        <v>319</v>
      </c>
      <c r="D525" s="177" t="s">
        <v>320</v>
      </c>
      <c r="F525" s="242">
        <v>129040</v>
      </c>
      <c r="G525" s="243">
        <v>196100</v>
      </c>
      <c r="H525" s="242">
        <v>117600</v>
      </c>
      <c r="I525" s="243">
        <v>184660</v>
      </c>
      <c r="J525" s="179" t="s">
        <v>182</v>
      </c>
      <c r="K525" s="244">
        <v>1170</v>
      </c>
      <c r="L525" s="245">
        <v>1840</v>
      </c>
      <c r="M525" s="246" t="s">
        <v>795</v>
      </c>
      <c r="N525" s="244">
        <v>1060</v>
      </c>
      <c r="O525" s="245">
        <v>1730</v>
      </c>
      <c r="P525" s="246" t="s">
        <v>795</v>
      </c>
      <c r="R525" s="182"/>
      <c r="S525" s="176"/>
      <c r="T525" s="177"/>
      <c r="V525" s="182"/>
      <c r="W525" s="185"/>
      <c r="X525" s="176"/>
      <c r="Y525" s="185"/>
      <c r="Z525" s="176"/>
      <c r="AA525" s="176"/>
      <c r="AB525" s="177"/>
      <c r="AC525" s="160" t="s">
        <v>182</v>
      </c>
      <c r="AD525" s="1548">
        <v>17020</v>
      </c>
      <c r="AE525" s="255"/>
      <c r="AF525" s="176"/>
      <c r="AG525" s="176">
        <v>0</v>
      </c>
      <c r="AH525" s="177"/>
      <c r="AJ525" s="187">
        <v>9180</v>
      </c>
      <c r="AK525" s="185" t="s">
        <v>321</v>
      </c>
      <c r="AL525" s="176"/>
      <c r="AM525" s="176"/>
      <c r="AN525" s="177"/>
      <c r="AP525" s="1551"/>
      <c r="AQ525" s="1554"/>
      <c r="AR525" s="1551"/>
      <c r="AS525" s="1554"/>
      <c r="AT525" s="1544"/>
      <c r="AU525" s="172" t="s">
        <v>700</v>
      </c>
      <c r="AV525" s="249">
        <v>4700</v>
      </c>
      <c r="AW525" s="250">
        <v>5200</v>
      </c>
      <c r="AX525" s="267">
        <v>3300</v>
      </c>
      <c r="AY525" s="252">
        <v>3300</v>
      </c>
      <c r="BA525" s="277"/>
      <c r="BC525" s="359"/>
      <c r="BE525" s="187"/>
      <c r="BF525" s="176"/>
      <c r="BG525" s="176"/>
      <c r="BH525" s="177"/>
      <c r="BJ525" s="253"/>
      <c r="BL525" s="193">
        <v>0.02</v>
      </c>
      <c r="BM525" s="194">
        <v>0.03</v>
      </c>
      <c r="BN525" s="194">
        <v>0.04</v>
      </c>
      <c r="BO525" s="195">
        <v>0.05</v>
      </c>
      <c r="BQ525" s="187"/>
      <c r="BR525" s="185"/>
      <c r="BS525" s="185"/>
      <c r="BT525" s="254"/>
      <c r="BV525" s="187"/>
      <c r="BW525" s="185"/>
      <c r="BX525" s="185"/>
      <c r="BY525" s="185"/>
      <c r="BZ525" s="254"/>
      <c r="CB525" s="187"/>
      <c r="CC525" s="185"/>
      <c r="CD525" s="185"/>
      <c r="CE525" s="185"/>
      <c r="CF525" s="254"/>
      <c r="CH525" s="253">
        <v>0.96</v>
      </c>
    </row>
    <row r="526" spans="1:86">
      <c r="A526" s="1563"/>
      <c r="B526" s="269"/>
      <c r="C526" s="270"/>
      <c r="D526" s="184" t="s">
        <v>322</v>
      </c>
      <c r="F526" s="256">
        <v>196100</v>
      </c>
      <c r="G526" s="257"/>
      <c r="H526" s="256">
        <v>184660</v>
      </c>
      <c r="I526" s="257"/>
      <c r="J526" s="179" t="s">
        <v>182</v>
      </c>
      <c r="K526" s="258">
        <v>1840</v>
      </c>
      <c r="L526" s="259"/>
      <c r="M526" s="260" t="s">
        <v>795</v>
      </c>
      <c r="N526" s="258">
        <v>1730</v>
      </c>
      <c r="O526" s="259"/>
      <c r="P526" s="260" t="s">
        <v>795</v>
      </c>
      <c r="R526" s="183"/>
      <c r="S526" s="271"/>
      <c r="T526" s="184"/>
      <c r="V526" s="280"/>
      <c r="W526" s="284" t="s">
        <v>703</v>
      </c>
      <c r="X526" s="176"/>
      <c r="Y526" s="284" t="s">
        <v>703</v>
      </c>
      <c r="Z526" s="284"/>
      <c r="AA526" s="176"/>
      <c r="AB526" s="177"/>
      <c r="AD526" s="1549"/>
      <c r="AE526" s="261"/>
      <c r="AF526" s="176"/>
      <c r="AG526" s="176"/>
      <c r="AH526" s="177"/>
      <c r="AJ526" s="187"/>
      <c r="AK526" s="185"/>
      <c r="AL526" s="176"/>
      <c r="AM526" s="176"/>
      <c r="AN526" s="177"/>
      <c r="AP526" s="1552"/>
      <c r="AQ526" s="1555"/>
      <c r="AR526" s="1552"/>
      <c r="AS526" s="1555"/>
      <c r="AT526" s="1544"/>
      <c r="AU526" s="262" t="s">
        <v>701</v>
      </c>
      <c r="AV526" s="263">
        <v>4200</v>
      </c>
      <c r="AW526" s="264">
        <v>4600</v>
      </c>
      <c r="AX526" s="265">
        <v>2900</v>
      </c>
      <c r="AY526" s="266">
        <v>2900</v>
      </c>
      <c r="BA526" s="235" t="s">
        <v>665</v>
      </c>
      <c r="BC526" s="359"/>
      <c r="BE526" s="186"/>
      <c r="BF526" s="271"/>
      <c r="BG526" s="271"/>
      <c r="BH526" s="184"/>
      <c r="BJ526" s="253"/>
      <c r="BL526" s="272"/>
      <c r="BM526" s="273"/>
      <c r="BN526" s="273"/>
      <c r="BO526" s="274"/>
      <c r="BQ526" s="186"/>
      <c r="BR526" s="196"/>
      <c r="BS526" s="196"/>
      <c r="BT526" s="197"/>
      <c r="BV526" s="186"/>
      <c r="BW526" s="196"/>
      <c r="BX526" s="196"/>
      <c r="BY526" s="196"/>
      <c r="BZ526" s="197"/>
      <c r="CB526" s="186"/>
      <c r="CC526" s="196"/>
      <c r="CD526" s="196"/>
      <c r="CE526" s="196"/>
      <c r="CF526" s="197"/>
      <c r="CH526" s="198"/>
    </row>
    <row r="527" spans="1:86" ht="63">
      <c r="A527" s="1563"/>
      <c r="B527" s="168" t="s">
        <v>327</v>
      </c>
      <c r="C527" s="241" t="s">
        <v>313</v>
      </c>
      <c r="D527" s="177" t="s">
        <v>314</v>
      </c>
      <c r="F527" s="218">
        <v>62370</v>
      </c>
      <c r="G527" s="219">
        <v>69070</v>
      </c>
      <c r="H527" s="218">
        <v>53210</v>
      </c>
      <c r="I527" s="219">
        <v>59910</v>
      </c>
      <c r="J527" s="179" t="s">
        <v>182</v>
      </c>
      <c r="K527" s="220">
        <v>600</v>
      </c>
      <c r="L527" s="221">
        <v>660</v>
      </c>
      <c r="M527" s="222" t="s">
        <v>795</v>
      </c>
      <c r="N527" s="220">
        <v>510</v>
      </c>
      <c r="O527" s="221">
        <v>570</v>
      </c>
      <c r="P527" s="222" t="s">
        <v>795</v>
      </c>
      <c r="Q527" s="160" t="s">
        <v>182</v>
      </c>
      <c r="R527" s="275">
        <v>6700</v>
      </c>
      <c r="S527" s="276">
        <v>60</v>
      </c>
      <c r="T527" s="247" t="s">
        <v>184</v>
      </c>
      <c r="V527" s="182"/>
      <c r="W527" s="185">
        <v>231800</v>
      </c>
      <c r="X527" s="176"/>
      <c r="Y527" s="185">
        <v>2310</v>
      </c>
      <c r="Z527" s="176" t="s">
        <v>184</v>
      </c>
      <c r="AA527" s="176"/>
      <c r="AB527" s="177"/>
      <c r="AC527" s="160" t="s">
        <v>182</v>
      </c>
      <c r="AD527" s="1546">
        <v>16380</v>
      </c>
      <c r="AE527" s="227"/>
      <c r="AF527" s="226" t="s">
        <v>182</v>
      </c>
      <c r="AG527" s="226">
        <v>90</v>
      </c>
      <c r="AH527" s="217" t="s">
        <v>184</v>
      </c>
      <c r="AJ527" s="187" t="s">
        <v>201</v>
      </c>
      <c r="AK527" s="185"/>
      <c r="AL527" s="176" t="s">
        <v>182</v>
      </c>
      <c r="AM527" s="176">
        <v>60</v>
      </c>
      <c r="AN527" s="177" t="s">
        <v>316</v>
      </c>
      <c r="AO527" s="160" t="s">
        <v>182</v>
      </c>
      <c r="AP527" s="1550">
        <v>4300</v>
      </c>
      <c r="AQ527" s="1553">
        <v>4800</v>
      </c>
      <c r="AR527" s="1550">
        <v>3000</v>
      </c>
      <c r="AS527" s="1553">
        <v>3000</v>
      </c>
      <c r="AT527" s="1544" t="s">
        <v>664</v>
      </c>
      <c r="AU527" s="230" t="s">
        <v>697</v>
      </c>
      <c r="AV527" s="231">
        <v>8800</v>
      </c>
      <c r="AW527" s="232">
        <v>9800</v>
      </c>
      <c r="AX527" s="267">
        <v>6100</v>
      </c>
      <c r="AY527" s="252">
        <v>6100</v>
      </c>
      <c r="BA527" s="235">
        <v>16800</v>
      </c>
      <c r="BB527" s="160" t="s">
        <v>182</v>
      </c>
      <c r="BC527" s="1556">
        <v>4700</v>
      </c>
      <c r="BD527" s="160" t="s">
        <v>182</v>
      </c>
      <c r="BE527" s="187">
        <v>4200</v>
      </c>
      <c r="BF527" s="176" t="s">
        <v>182</v>
      </c>
      <c r="BG527" s="176">
        <v>40</v>
      </c>
      <c r="BH527" s="177" t="s">
        <v>184</v>
      </c>
      <c r="BJ527" s="253"/>
      <c r="BK527" s="160" t="s">
        <v>188</v>
      </c>
      <c r="BL527" s="193" t="s">
        <v>317</v>
      </c>
      <c r="BM527" s="194" t="s">
        <v>317</v>
      </c>
      <c r="BN527" s="194" t="s">
        <v>317</v>
      </c>
      <c r="BO527" s="195" t="s">
        <v>317</v>
      </c>
      <c r="BP527" s="160" t="s">
        <v>188</v>
      </c>
      <c r="BQ527" s="187"/>
      <c r="BR527" s="185"/>
      <c r="BS527" s="185"/>
      <c r="BT527" s="254"/>
      <c r="BU527" s="160" t="s">
        <v>188</v>
      </c>
      <c r="BV527" s="187"/>
      <c r="BW527" s="185"/>
      <c r="BX527" s="185"/>
      <c r="BY527" s="185"/>
      <c r="BZ527" s="254"/>
      <c r="CA527" s="160" t="s">
        <v>188</v>
      </c>
      <c r="CB527" s="187"/>
      <c r="CC527" s="185"/>
      <c r="CD527" s="185"/>
      <c r="CE527" s="185"/>
      <c r="CF527" s="254"/>
      <c r="CH527" s="253" t="s">
        <v>324</v>
      </c>
    </row>
    <row r="528" spans="1:86">
      <c r="A528" s="1563"/>
      <c r="B528" s="168"/>
      <c r="C528" s="241"/>
      <c r="D528" s="177" t="s">
        <v>318</v>
      </c>
      <c r="F528" s="242">
        <v>69070</v>
      </c>
      <c r="G528" s="243">
        <v>124270</v>
      </c>
      <c r="H528" s="242">
        <v>59910</v>
      </c>
      <c r="I528" s="243">
        <v>115110</v>
      </c>
      <c r="J528" s="179" t="s">
        <v>182</v>
      </c>
      <c r="K528" s="244">
        <v>660</v>
      </c>
      <c r="L528" s="245">
        <v>1120</v>
      </c>
      <c r="M528" s="246" t="s">
        <v>795</v>
      </c>
      <c r="N528" s="244">
        <v>570</v>
      </c>
      <c r="O528" s="245">
        <v>1030</v>
      </c>
      <c r="P528" s="246" t="s">
        <v>795</v>
      </c>
      <c r="Q528" s="160" t="s">
        <v>182</v>
      </c>
      <c r="R528" s="187">
        <v>6700</v>
      </c>
      <c r="S528" s="185">
        <v>60</v>
      </c>
      <c r="T528" s="247" t="s">
        <v>184</v>
      </c>
      <c r="V528" s="182"/>
      <c r="W528" s="185"/>
      <c r="X528" s="176"/>
      <c r="Y528" s="185"/>
      <c r="Z528" s="176"/>
      <c r="AA528" s="176"/>
      <c r="AB528" s="177"/>
      <c r="AD528" s="1547"/>
      <c r="AE528" s="248">
        <v>14660</v>
      </c>
      <c r="AF528" s="176"/>
      <c r="AG528" s="176"/>
      <c r="AH528" s="177"/>
      <c r="AJ528" s="187"/>
      <c r="AK528" s="185"/>
      <c r="AL528" s="176"/>
      <c r="AM528" s="176"/>
      <c r="AN528" s="177"/>
      <c r="AP528" s="1551"/>
      <c r="AQ528" s="1554"/>
      <c r="AR528" s="1551"/>
      <c r="AS528" s="1554"/>
      <c r="AT528" s="1544"/>
      <c r="AU528" s="172" t="s">
        <v>699</v>
      </c>
      <c r="AV528" s="249">
        <v>4800</v>
      </c>
      <c r="AW528" s="250">
        <v>5400</v>
      </c>
      <c r="AX528" s="267">
        <v>3400</v>
      </c>
      <c r="AY528" s="252">
        <v>3400</v>
      </c>
      <c r="BA528" s="277"/>
      <c r="BC528" s="1557"/>
      <c r="BE528" s="187"/>
      <c r="BF528" s="176"/>
      <c r="BG528" s="176"/>
      <c r="BH528" s="177"/>
      <c r="BJ528" s="253"/>
      <c r="BL528" s="193"/>
      <c r="BM528" s="194"/>
      <c r="BN528" s="194"/>
      <c r="BO528" s="195"/>
      <c r="BQ528" s="187">
        <v>2540</v>
      </c>
      <c r="BR528" s="185" t="s">
        <v>199</v>
      </c>
      <c r="BS528" s="185">
        <v>20</v>
      </c>
      <c r="BT528" s="254" t="s">
        <v>184</v>
      </c>
      <c r="BV528" s="187">
        <v>8040</v>
      </c>
      <c r="BW528" s="185" t="s">
        <v>189</v>
      </c>
      <c r="BX528" s="185">
        <v>80</v>
      </c>
      <c r="BY528" s="185" t="s">
        <v>184</v>
      </c>
      <c r="BZ528" s="254" t="s">
        <v>190</v>
      </c>
      <c r="CB528" s="187">
        <v>4820</v>
      </c>
      <c r="CC528" s="185" t="s">
        <v>189</v>
      </c>
      <c r="CD528" s="185">
        <v>40</v>
      </c>
      <c r="CE528" s="185" t="s">
        <v>184</v>
      </c>
      <c r="CF528" s="254" t="s">
        <v>190</v>
      </c>
      <c r="CH528" s="253"/>
    </row>
    <row r="529" spans="1:86">
      <c r="A529" s="1563"/>
      <c r="B529" s="168"/>
      <c r="C529" s="241" t="s">
        <v>319</v>
      </c>
      <c r="D529" s="177" t="s">
        <v>320</v>
      </c>
      <c r="F529" s="242">
        <v>124270</v>
      </c>
      <c r="G529" s="243">
        <v>191330</v>
      </c>
      <c r="H529" s="242">
        <v>115110</v>
      </c>
      <c r="I529" s="243">
        <v>182170</v>
      </c>
      <c r="J529" s="179" t="s">
        <v>182</v>
      </c>
      <c r="K529" s="244">
        <v>1120</v>
      </c>
      <c r="L529" s="245">
        <v>1790</v>
      </c>
      <c r="M529" s="246" t="s">
        <v>795</v>
      </c>
      <c r="N529" s="244">
        <v>1030</v>
      </c>
      <c r="O529" s="245">
        <v>1700</v>
      </c>
      <c r="P529" s="246" t="s">
        <v>795</v>
      </c>
      <c r="R529" s="182"/>
      <c r="S529" s="176"/>
      <c r="T529" s="177"/>
      <c r="V529" s="280"/>
      <c r="W529" s="284" t="s">
        <v>704</v>
      </c>
      <c r="X529" s="176"/>
      <c r="Y529" s="284" t="s">
        <v>704</v>
      </c>
      <c r="Z529" s="284"/>
      <c r="AA529" s="176"/>
      <c r="AB529" s="177"/>
      <c r="AC529" s="160" t="s">
        <v>182</v>
      </c>
      <c r="AD529" s="1548">
        <v>14660</v>
      </c>
      <c r="AE529" s="255"/>
      <c r="AF529" s="176"/>
      <c r="AG529" s="176">
        <v>0</v>
      </c>
      <c r="AH529" s="177"/>
      <c r="AJ529" s="187">
        <v>6880</v>
      </c>
      <c r="AK529" s="185" t="s">
        <v>321</v>
      </c>
      <c r="AL529" s="176"/>
      <c r="AM529" s="176"/>
      <c r="AN529" s="177"/>
      <c r="AP529" s="1551"/>
      <c r="AQ529" s="1554"/>
      <c r="AR529" s="1551"/>
      <c r="AS529" s="1554"/>
      <c r="AT529" s="1544"/>
      <c r="AU529" s="172" t="s">
        <v>700</v>
      </c>
      <c r="AV529" s="249">
        <v>4200</v>
      </c>
      <c r="AW529" s="250">
        <v>4700</v>
      </c>
      <c r="AX529" s="267">
        <v>2900</v>
      </c>
      <c r="AY529" s="252">
        <v>2900</v>
      </c>
      <c r="BA529" s="235" t="s">
        <v>666</v>
      </c>
      <c r="BC529" s="358"/>
      <c r="BE529" s="187"/>
      <c r="BF529" s="176"/>
      <c r="BG529" s="176"/>
      <c r="BH529" s="177"/>
      <c r="BJ529" s="253"/>
      <c r="BL529" s="193">
        <v>0.02</v>
      </c>
      <c r="BM529" s="194">
        <v>0.03</v>
      </c>
      <c r="BN529" s="194">
        <v>0.05</v>
      </c>
      <c r="BO529" s="195">
        <v>0.06</v>
      </c>
      <c r="BQ529" s="187"/>
      <c r="BR529" s="185"/>
      <c r="BS529" s="185"/>
      <c r="BT529" s="254"/>
      <c r="BV529" s="187"/>
      <c r="BW529" s="185"/>
      <c r="BX529" s="185"/>
      <c r="BY529" s="185"/>
      <c r="BZ529" s="254"/>
      <c r="CB529" s="187"/>
      <c r="CC529" s="185"/>
      <c r="CD529" s="185"/>
      <c r="CE529" s="185"/>
      <c r="CF529" s="254"/>
      <c r="CH529" s="253">
        <v>0.92</v>
      </c>
    </row>
    <row r="530" spans="1:86">
      <c r="A530" s="1563"/>
      <c r="B530" s="168"/>
      <c r="C530" s="241"/>
      <c r="D530" s="177" t="s">
        <v>322</v>
      </c>
      <c r="F530" s="256">
        <v>191330</v>
      </c>
      <c r="G530" s="257"/>
      <c r="H530" s="256">
        <v>182170</v>
      </c>
      <c r="I530" s="257"/>
      <c r="J530" s="179" t="s">
        <v>182</v>
      </c>
      <c r="K530" s="258">
        <v>1790</v>
      </c>
      <c r="L530" s="259"/>
      <c r="M530" s="260" t="s">
        <v>795</v>
      </c>
      <c r="N530" s="258">
        <v>1700</v>
      </c>
      <c r="O530" s="259"/>
      <c r="P530" s="260" t="s">
        <v>795</v>
      </c>
      <c r="R530" s="182"/>
      <c r="S530" s="176"/>
      <c r="T530" s="177"/>
      <c r="V530" s="182"/>
      <c r="W530" s="185">
        <v>248100</v>
      </c>
      <c r="X530" s="176"/>
      <c r="Y530" s="185">
        <v>2480</v>
      </c>
      <c r="Z530" s="176" t="s">
        <v>184</v>
      </c>
      <c r="AA530" s="176"/>
      <c r="AB530" s="177"/>
      <c r="AD530" s="1549"/>
      <c r="AE530" s="261"/>
      <c r="AF530" s="271"/>
      <c r="AG530" s="271"/>
      <c r="AH530" s="184"/>
      <c r="AJ530" s="187"/>
      <c r="AK530" s="185"/>
      <c r="AL530" s="176"/>
      <c r="AM530" s="176"/>
      <c r="AN530" s="177"/>
      <c r="AP530" s="1552"/>
      <c r="AQ530" s="1555"/>
      <c r="AR530" s="1552"/>
      <c r="AS530" s="1555"/>
      <c r="AT530" s="1544"/>
      <c r="AU530" s="262" t="s">
        <v>701</v>
      </c>
      <c r="AV530" s="263">
        <v>3800</v>
      </c>
      <c r="AW530" s="264">
        <v>4200</v>
      </c>
      <c r="AX530" s="265">
        <v>2600</v>
      </c>
      <c r="AY530" s="266">
        <v>2600</v>
      </c>
      <c r="BA530" s="235">
        <v>12280</v>
      </c>
      <c r="BC530" s="359"/>
      <c r="BE530" s="187"/>
      <c r="BF530" s="176"/>
      <c r="BG530" s="176"/>
      <c r="BH530" s="177"/>
      <c r="BJ530" s="253"/>
      <c r="BL530" s="193"/>
      <c r="BM530" s="194"/>
      <c r="BN530" s="194"/>
      <c r="BO530" s="195"/>
      <c r="BQ530" s="187"/>
      <c r="BR530" s="185"/>
      <c r="BS530" s="185"/>
      <c r="BT530" s="254"/>
      <c r="BV530" s="187"/>
      <c r="BW530" s="185"/>
      <c r="BX530" s="185"/>
      <c r="BY530" s="185"/>
      <c r="BZ530" s="254"/>
      <c r="CB530" s="187"/>
      <c r="CC530" s="185"/>
      <c r="CD530" s="185"/>
      <c r="CE530" s="185"/>
      <c r="CF530" s="254"/>
      <c r="CH530" s="253"/>
    </row>
    <row r="531" spans="1:86" ht="63">
      <c r="A531" s="1563"/>
      <c r="B531" s="215" t="s">
        <v>328</v>
      </c>
      <c r="C531" s="216" t="s">
        <v>313</v>
      </c>
      <c r="D531" s="217" t="s">
        <v>314</v>
      </c>
      <c r="F531" s="218">
        <v>54550</v>
      </c>
      <c r="G531" s="219">
        <v>61250</v>
      </c>
      <c r="H531" s="218">
        <v>46920</v>
      </c>
      <c r="I531" s="219">
        <v>53620</v>
      </c>
      <c r="J531" s="179" t="s">
        <v>182</v>
      </c>
      <c r="K531" s="220">
        <v>520</v>
      </c>
      <c r="L531" s="221">
        <v>580</v>
      </c>
      <c r="M531" s="222" t="s">
        <v>795</v>
      </c>
      <c r="N531" s="220">
        <v>450</v>
      </c>
      <c r="O531" s="221">
        <v>510</v>
      </c>
      <c r="P531" s="222" t="s">
        <v>795</v>
      </c>
      <c r="Q531" s="160" t="s">
        <v>182</v>
      </c>
      <c r="R531" s="223">
        <v>6700</v>
      </c>
      <c r="S531" s="224">
        <v>60</v>
      </c>
      <c r="T531" s="225" t="s">
        <v>184</v>
      </c>
      <c r="V531" s="182"/>
      <c r="W531" s="185"/>
      <c r="X531" s="176"/>
      <c r="Y531" s="185"/>
      <c r="Z531" s="176"/>
      <c r="AA531" s="176"/>
      <c r="AB531" s="177"/>
      <c r="AC531" s="160" t="s">
        <v>182</v>
      </c>
      <c r="AD531" s="1546">
        <v>14800</v>
      </c>
      <c r="AE531" s="227"/>
      <c r="AF531" s="176" t="s">
        <v>182</v>
      </c>
      <c r="AG531" s="176">
        <v>70</v>
      </c>
      <c r="AH531" s="177" t="s">
        <v>184</v>
      </c>
      <c r="AJ531" s="187" t="s">
        <v>203</v>
      </c>
      <c r="AK531" s="185"/>
      <c r="AL531" s="176" t="s">
        <v>182</v>
      </c>
      <c r="AM531" s="176">
        <v>50</v>
      </c>
      <c r="AN531" s="177" t="s">
        <v>316</v>
      </c>
      <c r="AO531" s="160" t="s">
        <v>182</v>
      </c>
      <c r="AP531" s="1550">
        <v>3600</v>
      </c>
      <c r="AQ531" s="1553">
        <v>4000</v>
      </c>
      <c r="AR531" s="1550">
        <v>2500</v>
      </c>
      <c r="AS531" s="1553">
        <v>2500</v>
      </c>
      <c r="AT531" s="1544" t="s">
        <v>664</v>
      </c>
      <c r="AU531" s="230" t="s">
        <v>697</v>
      </c>
      <c r="AV531" s="231">
        <v>7200</v>
      </c>
      <c r="AW531" s="232">
        <v>8100</v>
      </c>
      <c r="AX531" s="267">
        <v>5100</v>
      </c>
      <c r="AY531" s="252">
        <v>5100</v>
      </c>
      <c r="BA531" s="277"/>
      <c r="BB531" s="160" t="s">
        <v>182</v>
      </c>
      <c r="BC531" s="1556">
        <v>4700</v>
      </c>
      <c r="BD531" s="160" t="s">
        <v>182</v>
      </c>
      <c r="BE531" s="228">
        <v>3500</v>
      </c>
      <c r="BF531" s="226" t="s">
        <v>182</v>
      </c>
      <c r="BG531" s="226">
        <v>30</v>
      </c>
      <c r="BH531" s="217" t="s">
        <v>184</v>
      </c>
      <c r="BJ531" s="253"/>
      <c r="BK531" s="160" t="s">
        <v>188</v>
      </c>
      <c r="BL531" s="237" t="s">
        <v>317</v>
      </c>
      <c r="BM531" s="238" t="s">
        <v>317</v>
      </c>
      <c r="BN531" s="238" t="s">
        <v>317</v>
      </c>
      <c r="BO531" s="239" t="s">
        <v>317</v>
      </c>
      <c r="BP531" s="160" t="s">
        <v>188</v>
      </c>
      <c r="BQ531" s="228"/>
      <c r="BR531" s="229"/>
      <c r="BS531" s="229"/>
      <c r="BT531" s="240"/>
      <c r="BU531" s="160" t="s">
        <v>188</v>
      </c>
      <c r="BV531" s="228"/>
      <c r="BW531" s="229"/>
      <c r="BX531" s="229"/>
      <c r="BY531" s="229"/>
      <c r="BZ531" s="240"/>
      <c r="CA531" s="160" t="s">
        <v>188</v>
      </c>
      <c r="CB531" s="228"/>
      <c r="CC531" s="229"/>
      <c r="CD531" s="229"/>
      <c r="CE531" s="229"/>
      <c r="CF531" s="240"/>
      <c r="CH531" s="236" t="s">
        <v>324</v>
      </c>
    </row>
    <row r="532" spans="1:86">
      <c r="A532" s="1563"/>
      <c r="B532" s="168"/>
      <c r="C532" s="241"/>
      <c r="D532" s="177" t="s">
        <v>318</v>
      </c>
      <c r="F532" s="242">
        <v>61250</v>
      </c>
      <c r="G532" s="243">
        <v>116450</v>
      </c>
      <c r="H532" s="242">
        <v>53620</v>
      </c>
      <c r="I532" s="243">
        <v>108820</v>
      </c>
      <c r="J532" s="179" t="s">
        <v>182</v>
      </c>
      <c r="K532" s="244">
        <v>580</v>
      </c>
      <c r="L532" s="245">
        <v>1050</v>
      </c>
      <c r="M532" s="246" t="s">
        <v>795</v>
      </c>
      <c r="N532" s="244">
        <v>510</v>
      </c>
      <c r="O532" s="245">
        <v>970</v>
      </c>
      <c r="P532" s="246" t="s">
        <v>795</v>
      </c>
      <c r="Q532" s="160" t="s">
        <v>182</v>
      </c>
      <c r="R532" s="187">
        <v>6700</v>
      </c>
      <c r="S532" s="185">
        <v>60</v>
      </c>
      <c r="T532" s="247" t="s">
        <v>184</v>
      </c>
      <c r="V532" s="280"/>
      <c r="W532" s="284" t="s">
        <v>705</v>
      </c>
      <c r="X532" s="176"/>
      <c r="Y532" s="284" t="s">
        <v>705</v>
      </c>
      <c r="Z532" s="284"/>
      <c r="AA532" s="176"/>
      <c r="AB532" s="177"/>
      <c r="AD532" s="1547"/>
      <c r="AE532" s="248">
        <v>13080</v>
      </c>
      <c r="AF532" s="176"/>
      <c r="AG532" s="176"/>
      <c r="AH532" s="177"/>
      <c r="AJ532" s="187"/>
      <c r="AK532" s="185"/>
      <c r="AL532" s="176"/>
      <c r="AM532" s="176"/>
      <c r="AN532" s="177"/>
      <c r="AP532" s="1551"/>
      <c r="AQ532" s="1554"/>
      <c r="AR532" s="1551"/>
      <c r="AS532" s="1554"/>
      <c r="AT532" s="1544"/>
      <c r="AU532" s="172" t="s">
        <v>699</v>
      </c>
      <c r="AV532" s="249">
        <v>4000</v>
      </c>
      <c r="AW532" s="250">
        <v>4400</v>
      </c>
      <c r="AX532" s="267">
        <v>2800</v>
      </c>
      <c r="AY532" s="252">
        <v>2800</v>
      </c>
      <c r="BA532" s="235" t="s">
        <v>667</v>
      </c>
      <c r="BC532" s="1557"/>
      <c r="BE532" s="187"/>
      <c r="BF532" s="176"/>
      <c r="BG532" s="176"/>
      <c r="BH532" s="177"/>
      <c r="BJ532" s="253"/>
      <c r="BL532" s="193"/>
      <c r="BM532" s="194"/>
      <c r="BN532" s="194"/>
      <c r="BO532" s="195"/>
      <c r="BQ532" s="187">
        <v>2120</v>
      </c>
      <c r="BR532" s="185" t="s">
        <v>199</v>
      </c>
      <c r="BS532" s="185">
        <v>20</v>
      </c>
      <c r="BT532" s="254" t="s">
        <v>184</v>
      </c>
      <c r="BV532" s="187">
        <v>6700</v>
      </c>
      <c r="BW532" s="185" t="s">
        <v>189</v>
      </c>
      <c r="BX532" s="185">
        <v>60</v>
      </c>
      <c r="BY532" s="185" t="s">
        <v>184</v>
      </c>
      <c r="BZ532" s="254" t="s">
        <v>190</v>
      </c>
      <c r="CB532" s="187">
        <v>4010</v>
      </c>
      <c r="CC532" s="185" t="s">
        <v>189</v>
      </c>
      <c r="CD532" s="185">
        <v>40</v>
      </c>
      <c r="CE532" s="185" t="s">
        <v>184</v>
      </c>
      <c r="CF532" s="254" t="s">
        <v>190</v>
      </c>
      <c r="CH532" s="253"/>
    </row>
    <row r="533" spans="1:86">
      <c r="A533" s="1563"/>
      <c r="B533" s="168"/>
      <c r="C533" s="241" t="s">
        <v>319</v>
      </c>
      <c r="D533" s="177" t="s">
        <v>320</v>
      </c>
      <c r="F533" s="242">
        <v>116450</v>
      </c>
      <c r="G533" s="243">
        <v>183510</v>
      </c>
      <c r="H533" s="242">
        <v>108820</v>
      </c>
      <c r="I533" s="243">
        <v>175880</v>
      </c>
      <c r="J533" s="179" t="s">
        <v>182</v>
      </c>
      <c r="K533" s="244">
        <v>1050</v>
      </c>
      <c r="L533" s="245">
        <v>1720</v>
      </c>
      <c r="M533" s="246" t="s">
        <v>795</v>
      </c>
      <c r="N533" s="244">
        <v>970</v>
      </c>
      <c r="O533" s="245">
        <v>1640</v>
      </c>
      <c r="P533" s="246" t="s">
        <v>795</v>
      </c>
      <c r="R533" s="182"/>
      <c r="S533" s="176"/>
      <c r="T533" s="177"/>
      <c r="V533" s="182"/>
      <c r="W533" s="185">
        <v>280800</v>
      </c>
      <c r="X533" s="176"/>
      <c r="Y533" s="185">
        <v>2800</v>
      </c>
      <c r="Z533" s="176" t="s">
        <v>184</v>
      </c>
      <c r="AA533" s="176"/>
      <c r="AB533" s="177"/>
      <c r="AC533" s="160" t="s">
        <v>182</v>
      </c>
      <c r="AD533" s="1548">
        <v>13080</v>
      </c>
      <c r="AE533" s="255"/>
      <c r="AF533" s="176"/>
      <c r="AG533" s="176">
        <v>0</v>
      </c>
      <c r="AH533" s="177"/>
      <c r="AJ533" s="187">
        <v>5510</v>
      </c>
      <c r="AK533" s="185" t="s">
        <v>321</v>
      </c>
      <c r="AL533" s="176"/>
      <c r="AM533" s="176"/>
      <c r="AN533" s="177"/>
      <c r="AP533" s="1551"/>
      <c r="AQ533" s="1554"/>
      <c r="AR533" s="1551"/>
      <c r="AS533" s="1554"/>
      <c r="AT533" s="1544"/>
      <c r="AU533" s="172" t="s">
        <v>700</v>
      </c>
      <c r="AV533" s="249">
        <v>3500</v>
      </c>
      <c r="AW533" s="250">
        <v>3800</v>
      </c>
      <c r="AX533" s="267">
        <v>2400</v>
      </c>
      <c r="AY533" s="252">
        <v>2400</v>
      </c>
      <c r="BA533" s="235">
        <v>9770</v>
      </c>
      <c r="BC533" s="359"/>
      <c r="BE533" s="187"/>
      <c r="BF533" s="176"/>
      <c r="BG533" s="176"/>
      <c r="BH533" s="177"/>
      <c r="BJ533" s="253"/>
      <c r="BL533" s="193">
        <v>0.02</v>
      </c>
      <c r="BM533" s="194">
        <v>0.03</v>
      </c>
      <c r="BN533" s="194">
        <v>0.05</v>
      </c>
      <c r="BO533" s="195">
        <v>0.06</v>
      </c>
      <c r="BQ533" s="187"/>
      <c r="BR533" s="185"/>
      <c r="BS533" s="185"/>
      <c r="BT533" s="254"/>
      <c r="BV533" s="187"/>
      <c r="BW533" s="185"/>
      <c r="BX533" s="185"/>
      <c r="BY533" s="185"/>
      <c r="BZ533" s="254"/>
      <c r="CB533" s="187"/>
      <c r="CC533" s="185"/>
      <c r="CD533" s="185"/>
      <c r="CE533" s="185"/>
      <c r="CF533" s="254"/>
      <c r="CH533" s="253">
        <v>0.9</v>
      </c>
    </row>
    <row r="534" spans="1:86">
      <c r="A534" s="1563"/>
      <c r="B534" s="269"/>
      <c r="C534" s="270"/>
      <c r="D534" s="184" t="s">
        <v>322</v>
      </c>
      <c r="F534" s="256">
        <v>183510</v>
      </c>
      <c r="G534" s="257"/>
      <c r="H534" s="256">
        <v>175880</v>
      </c>
      <c r="I534" s="257"/>
      <c r="J534" s="179" t="s">
        <v>182</v>
      </c>
      <c r="K534" s="258">
        <v>1720</v>
      </c>
      <c r="L534" s="259"/>
      <c r="M534" s="260" t="s">
        <v>795</v>
      </c>
      <c r="N534" s="258">
        <v>1640</v>
      </c>
      <c r="O534" s="259"/>
      <c r="P534" s="260" t="s">
        <v>795</v>
      </c>
      <c r="R534" s="183"/>
      <c r="S534" s="271"/>
      <c r="T534" s="184"/>
      <c r="V534" s="182"/>
      <c r="W534" s="185"/>
      <c r="X534" s="176"/>
      <c r="Y534" s="185"/>
      <c r="Z534" s="176"/>
      <c r="AA534" s="176"/>
      <c r="AB534" s="177"/>
      <c r="AD534" s="1549"/>
      <c r="AE534" s="261"/>
      <c r="AF534" s="176"/>
      <c r="AG534" s="176"/>
      <c r="AH534" s="177"/>
      <c r="AJ534" s="187"/>
      <c r="AK534" s="185"/>
      <c r="AL534" s="176"/>
      <c r="AM534" s="176"/>
      <c r="AN534" s="177"/>
      <c r="AP534" s="1552"/>
      <c r="AQ534" s="1555"/>
      <c r="AR534" s="1552"/>
      <c r="AS534" s="1555"/>
      <c r="AT534" s="1544"/>
      <c r="AU534" s="262" t="s">
        <v>701</v>
      </c>
      <c r="AV534" s="263">
        <v>3100</v>
      </c>
      <c r="AW534" s="264">
        <v>3400</v>
      </c>
      <c r="AX534" s="265">
        <v>2100</v>
      </c>
      <c r="AY534" s="266">
        <v>2100</v>
      </c>
      <c r="BA534" s="277"/>
      <c r="BC534" s="359"/>
      <c r="BE534" s="186"/>
      <c r="BF534" s="271"/>
      <c r="BG534" s="271"/>
      <c r="BH534" s="184"/>
      <c r="BJ534" s="253"/>
      <c r="BL534" s="272"/>
      <c r="BM534" s="273"/>
      <c r="BN534" s="273"/>
      <c r="BO534" s="274"/>
      <c r="BQ534" s="186"/>
      <c r="BR534" s="196"/>
      <c r="BS534" s="196"/>
      <c r="BT534" s="197"/>
      <c r="BV534" s="186"/>
      <c r="BW534" s="196"/>
      <c r="BX534" s="196"/>
      <c r="BY534" s="196"/>
      <c r="BZ534" s="197"/>
      <c r="CB534" s="186"/>
      <c r="CC534" s="196"/>
      <c r="CD534" s="196"/>
      <c r="CE534" s="196"/>
      <c r="CF534" s="197"/>
      <c r="CH534" s="198"/>
    </row>
    <row r="535" spans="1:86" ht="63">
      <c r="A535" s="1563"/>
      <c r="B535" s="168" t="s">
        <v>329</v>
      </c>
      <c r="C535" s="241" t="s">
        <v>313</v>
      </c>
      <c r="D535" s="177" t="s">
        <v>314</v>
      </c>
      <c r="F535" s="218">
        <v>49040</v>
      </c>
      <c r="G535" s="219">
        <v>55740</v>
      </c>
      <c r="H535" s="218">
        <v>42500</v>
      </c>
      <c r="I535" s="219">
        <v>49200</v>
      </c>
      <c r="J535" s="179" t="s">
        <v>182</v>
      </c>
      <c r="K535" s="220">
        <v>470</v>
      </c>
      <c r="L535" s="221">
        <v>530</v>
      </c>
      <c r="M535" s="222" t="s">
        <v>795</v>
      </c>
      <c r="N535" s="220">
        <v>400</v>
      </c>
      <c r="O535" s="221">
        <v>460</v>
      </c>
      <c r="P535" s="222" t="s">
        <v>795</v>
      </c>
      <c r="Q535" s="160" t="s">
        <v>182</v>
      </c>
      <c r="R535" s="275">
        <v>6700</v>
      </c>
      <c r="S535" s="276">
        <v>60</v>
      </c>
      <c r="T535" s="247" t="s">
        <v>184</v>
      </c>
      <c r="V535" s="280"/>
      <c r="W535" s="284" t="s">
        <v>706</v>
      </c>
      <c r="X535" s="176"/>
      <c r="Y535" s="284" t="s">
        <v>706</v>
      </c>
      <c r="Z535" s="284"/>
      <c r="AA535" s="176"/>
      <c r="AB535" s="177"/>
      <c r="AC535" s="160" t="s">
        <v>182</v>
      </c>
      <c r="AD535" s="1546">
        <v>13680</v>
      </c>
      <c r="AE535" s="227"/>
      <c r="AF535" s="226" t="s">
        <v>182</v>
      </c>
      <c r="AG535" s="226">
        <v>60</v>
      </c>
      <c r="AH535" s="217" t="s">
        <v>184</v>
      </c>
      <c r="AJ535" s="187" t="s">
        <v>205</v>
      </c>
      <c r="AK535" s="185"/>
      <c r="AL535" s="176" t="s">
        <v>182</v>
      </c>
      <c r="AM535" s="176">
        <v>40</v>
      </c>
      <c r="AN535" s="177" t="s">
        <v>316</v>
      </c>
      <c r="AO535" s="160" t="s">
        <v>182</v>
      </c>
      <c r="AP535" s="1550">
        <v>3100</v>
      </c>
      <c r="AQ535" s="1553">
        <v>3400</v>
      </c>
      <c r="AR535" s="1550">
        <v>2100</v>
      </c>
      <c r="AS535" s="1553">
        <v>2100</v>
      </c>
      <c r="AT535" s="1544" t="s">
        <v>664</v>
      </c>
      <c r="AU535" s="230" t="s">
        <v>697</v>
      </c>
      <c r="AV535" s="231">
        <v>6300</v>
      </c>
      <c r="AW535" s="232">
        <v>7100</v>
      </c>
      <c r="AX535" s="267">
        <v>4400</v>
      </c>
      <c r="AY535" s="252">
        <v>4400</v>
      </c>
      <c r="BA535" s="235" t="s">
        <v>668</v>
      </c>
      <c r="BB535" s="160" t="s">
        <v>182</v>
      </c>
      <c r="BC535" s="1556">
        <v>4700</v>
      </c>
      <c r="BD535" s="160" t="s">
        <v>182</v>
      </c>
      <c r="BE535" s="187">
        <v>3000</v>
      </c>
      <c r="BF535" s="176" t="s">
        <v>182</v>
      </c>
      <c r="BG535" s="176">
        <v>30</v>
      </c>
      <c r="BH535" s="177" t="s">
        <v>184</v>
      </c>
      <c r="BJ535" s="253"/>
      <c r="BK535" s="160" t="s">
        <v>188</v>
      </c>
      <c r="BL535" s="193" t="s">
        <v>317</v>
      </c>
      <c r="BM535" s="194" t="s">
        <v>317</v>
      </c>
      <c r="BN535" s="194" t="s">
        <v>317</v>
      </c>
      <c r="BO535" s="195" t="s">
        <v>317</v>
      </c>
      <c r="BP535" s="160" t="s">
        <v>188</v>
      </c>
      <c r="BQ535" s="187"/>
      <c r="BR535" s="185"/>
      <c r="BS535" s="185"/>
      <c r="BT535" s="254"/>
      <c r="BU535" s="160" t="s">
        <v>188</v>
      </c>
      <c r="BV535" s="187"/>
      <c r="BW535" s="185"/>
      <c r="BX535" s="185"/>
      <c r="BY535" s="185"/>
      <c r="BZ535" s="254"/>
      <c r="CA535" s="160" t="s">
        <v>188</v>
      </c>
      <c r="CB535" s="187"/>
      <c r="CC535" s="185"/>
      <c r="CD535" s="185"/>
      <c r="CE535" s="185"/>
      <c r="CF535" s="254"/>
      <c r="CH535" s="253" t="s">
        <v>324</v>
      </c>
    </row>
    <row r="536" spans="1:86">
      <c r="A536" s="1563"/>
      <c r="B536" s="168"/>
      <c r="C536" s="241"/>
      <c r="D536" s="177" t="s">
        <v>318</v>
      </c>
      <c r="F536" s="242">
        <v>55740</v>
      </c>
      <c r="G536" s="243">
        <v>110940</v>
      </c>
      <c r="H536" s="242">
        <v>49200</v>
      </c>
      <c r="I536" s="243">
        <v>104400</v>
      </c>
      <c r="J536" s="179" t="s">
        <v>182</v>
      </c>
      <c r="K536" s="244">
        <v>530</v>
      </c>
      <c r="L536" s="245">
        <v>990</v>
      </c>
      <c r="M536" s="246" t="s">
        <v>795</v>
      </c>
      <c r="N536" s="244">
        <v>460</v>
      </c>
      <c r="O536" s="245">
        <v>920</v>
      </c>
      <c r="P536" s="246" t="s">
        <v>795</v>
      </c>
      <c r="Q536" s="160" t="s">
        <v>182</v>
      </c>
      <c r="R536" s="187">
        <v>6700</v>
      </c>
      <c r="S536" s="185">
        <v>60</v>
      </c>
      <c r="T536" s="247" t="s">
        <v>184</v>
      </c>
      <c r="V536" s="182"/>
      <c r="W536" s="185">
        <v>313400</v>
      </c>
      <c r="X536" s="176"/>
      <c r="Y536" s="185">
        <v>3130</v>
      </c>
      <c r="Z536" s="176" t="s">
        <v>184</v>
      </c>
      <c r="AA536" s="176"/>
      <c r="AB536" s="177"/>
      <c r="AD536" s="1547"/>
      <c r="AE536" s="248">
        <v>11950</v>
      </c>
      <c r="AF536" s="176"/>
      <c r="AG536" s="176"/>
      <c r="AH536" s="177"/>
      <c r="AJ536" s="187"/>
      <c r="AK536" s="185"/>
      <c r="AL536" s="176"/>
      <c r="AM536" s="176"/>
      <c r="AN536" s="177"/>
      <c r="AP536" s="1551"/>
      <c r="AQ536" s="1554"/>
      <c r="AR536" s="1551"/>
      <c r="AS536" s="1554"/>
      <c r="AT536" s="1544"/>
      <c r="AU536" s="172" t="s">
        <v>699</v>
      </c>
      <c r="AV536" s="249">
        <v>3500</v>
      </c>
      <c r="AW536" s="250">
        <v>3900</v>
      </c>
      <c r="AX536" s="267">
        <v>2400</v>
      </c>
      <c r="AY536" s="252">
        <v>2400</v>
      </c>
      <c r="BA536" s="235">
        <v>7500</v>
      </c>
      <c r="BC536" s="1557"/>
      <c r="BE536" s="187"/>
      <c r="BF536" s="176"/>
      <c r="BG536" s="176"/>
      <c r="BH536" s="177"/>
      <c r="BJ536" s="253"/>
      <c r="BL536" s="193"/>
      <c r="BM536" s="194"/>
      <c r="BN536" s="194"/>
      <c r="BO536" s="195"/>
      <c r="BQ536" s="187">
        <v>1810</v>
      </c>
      <c r="BR536" s="185" t="s">
        <v>199</v>
      </c>
      <c r="BS536" s="185">
        <v>10</v>
      </c>
      <c r="BT536" s="254" t="s">
        <v>184</v>
      </c>
      <c r="BV536" s="187">
        <v>5740</v>
      </c>
      <c r="BW536" s="185" t="s">
        <v>189</v>
      </c>
      <c r="BX536" s="185">
        <v>50</v>
      </c>
      <c r="BY536" s="185" t="s">
        <v>184</v>
      </c>
      <c r="BZ536" s="254" t="s">
        <v>190</v>
      </c>
      <c r="CB536" s="187">
        <v>3440</v>
      </c>
      <c r="CC536" s="185" t="s">
        <v>189</v>
      </c>
      <c r="CD536" s="185">
        <v>30</v>
      </c>
      <c r="CE536" s="185" t="s">
        <v>184</v>
      </c>
      <c r="CF536" s="254" t="s">
        <v>190</v>
      </c>
      <c r="CH536" s="253"/>
    </row>
    <row r="537" spans="1:86">
      <c r="A537" s="1563"/>
      <c r="B537" s="168"/>
      <c r="C537" s="241" t="s">
        <v>319</v>
      </c>
      <c r="D537" s="177" t="s">
        <v>320</v>
      </c>
      <c r="F537" s="242">
        <v>110940</v>
      </c>
      <c r="G537" s="243">
        <v>178000</v>
      </c>
      <c r="H537" s="242">
        <v>104400</v>
      </c>
      <c r="I537" s="243">
        <v>171460</v>
      </c>
      <c r="J537" s="179" t="s">
        <v>182</v>
      </c>
      <c r="K537" s="244">
        <v>990</v>
      </c>
      <c r="L537" s="245">
        <v>1660</v>
      </c>
      <c r="M537" s="246" t="s">
        <v>795</v>
      </c>
      <c r="N537" s="244">
        <v>920</v>
      </c>
      <c r="O537" s="245">
        <v>1590</v>
      </c>
      <c r="P537" s="246" t="s">
        <v>795</v>
      </c>
      <c r="R537" s="182"/>
      <c r="S537" s="176"/>
      <c r="T537" s="177"/>
      <c r="V537" s="182"/>
      <c r="W537" s="185"/>
      <c r="X537" s="176"/>
      <c r="Y537" s="185"/>
      <c r="Z537" s="176"/>
      <c r="AA537" s="176"/>
      <c r="AB537" s="177"/>
      <c r="AC537" s="160" t="s">
        <v>182</v>
      </c>
      <c r="AD537" s="1548">
        <v>11950</v>
      </c>
      <c r="AE537" s="255"/>
      <c r="AF537" s="176"/>
      <c r="AG537" s="176">
        <v>0</v>
      </c>
      <c r="AH537" s="177"/>
      <c r="AJ537" s="187">
        <v>4590</v>
      </c>
      <c r="AK537" s="185" t="s">
        <v>321</v>
      </c>
      <c r="AL537" s="176"/>
      <c r="AM537" s="176"/>
      <c r="AN537" s="177"/>
      <c r="AP537" s="1551"/>
      <c r="AQ537" s="1554"/>
      <c r="AR537" s="1551"/>
      <c r="AS537" s="1554"/>
      <c r="AT537" s="1544"/>
      <c r="AU537" s="172" t="s">
        <v>700</v>
      </c>
      <c r="AV537" s="249">
        <v>3000</v>
      </c>
      <c r="AW537" s="250">
        <v>3400</v>
      </c>
      <c r="AX537" s="267">
        <v>2100</v>
      </c>
      <c r="AY537" s="252">
        <v>2100</v>
      </c>
      <c r="BA537" s="277"/>
      <c r="BC537" s="359"/>
      <c r="BE537" s="187"/>
      <c r="BF537" s="176"/>
      <c r="BG537" s="176"/>
      <c r="BH537" s="177"/>
      <c r="BJ537" s="253"/>
      <c r="BL537" s="193">
        <v>0.02</v>
      </c>
      <c r="BM537" s="194">
        <v>0.03</v>
      </c>
      <c r="BN537" s="194">
        <v>0.05</v>
      </c>
      <c r="BO537" s="195">
        <v>0.06</v>
      </c>
      <c r="BQ537" s="187"/>
      <c r="BR537" s="185"/>
      <c r="BS537" s="185"/>
      <c r="BT537" s="254"/>
      <c r="BV537" s="187"/>
      <c r="BW537" s="185"/>
      <c r="BX537" s="185"/>
      <c r="BY537" s="185"/>
      <c r="BZ537" s="254"/>
      <c r="CB537" s="187"/>
      <c r="CC537" s="185"/>
      <c r="CD537" s="185"/>
      <c r="CE537" s="185"/>
      <c r="CF537" s="254"/>
      <c r="CH537" s="253">
        <v>0.92</v>
      </c>
    </row>
    <row r="538" spans="1:86">
      <c r="A538" s="1563"/>
      <c r="B538" s="168"/>
      <c r="C538" s="241"/>
      <c r="D538" s="177" t="s">
        <v>322</v>
      </c>
      <c r="F538" s="256">
        <v>178000</v>
      </c>
      <c r="G538" s="257"/>
      <c r="H538" s="256">
        <v>171460</v>
      </c>
      <c r="I538" s="257"/>
      <c r="J538" s="179" t="s">
        <v>182</v>
      </c>
      <c r="K538" s="258">
        <v>1660</v>
      </c>
      <c r="L538" s="259"/>
      <c r="M538" s="260" t="s">
        <v>795</v>
      </c>
      <c r="N538" s="258">
        <v>1590</v>
      </c>
      <c r="O538" s="259"/>
      <c r="P538" s="260" t="s">
        <v>795</v>
      </c>
      <c r="R538" s="182"/>
      <c r="S538" s="176"/>
      <c r="T538" s="177"/>
      <c r="V538" s="280"/>
      <c r="W538" s="284" t="s">
        <v>707</v>
      </c>
      <c r="X538" s="176"/>
      <c r="Y538" s="284" t="s">
        <v>707</v>
      </c>
      <c r="Z538" s="284"/>
      <c r="AA538" s="176"/>
      <c r="AB538" s="177"/>
      <c r="AD538" s="1549"/>
      <c r="AE538" s="261"/>
      <c r="AF538" s="271"/>
      <c r="AG538" s="271"/>
      <c r="AH538" s="184"/>
      <c r="AJ538" s="187"/>
      <c r="AK538" s="185"/>
      <c r="AL538" s="176"/>
      <c r="AM538" s="176"/>
      <c r="AN538" s="177"/>
      <c r="AP538" s="1552"/>
      <c r="AQ538" s="1555"/>
      <c r="AR538" s="1552"/>
      <c r="AS538" s="1555"/>
      <c r="AT538" s="1544"/>
      <c r="AU538" s="262" t="s">
        <v>701</v>
      </c>
      <c r="AV538" s="263">
        <v>2700</v>
      </c>
      <c r="AW538" s="264">
        <v>3000</v>
      </c>
      <c r="AX538" s="265">
        <v>1900</v>
      </c>
      <c r="AY538" s="266">
        <v>1900</v>
      </c>
      <c r="BA538" s="235" t="s">
        <v>669</v>
      </c>
      <c r="BC538" s="359"/>
      <c r="BE538" s="187"/>
      <c r="BF538" s="176"/>
      <c r="BG538" s="176"/>
      <c r="BH538" s="177"/>
      <c r="BJ538" s="253"/>
      <c r="BL538" s="193"/>
      <c r="BM538" s="194"/>
      <c r="BN538" s="194"/>
      <c r="BO538" s="195"/>
      <c r="BQ538" s="187"/>
      <c r="BR538" s="185"/>
      <c r="BS538" s="185"/>
      <c r="BT538" s="254"/>
      <c r="BV538" s="187"/>
      <c r="BW538" s="185"/>
      <c r="BX538" s="185"/>
      <c r="BY538" s="185"/>
      <c r="BZ538" s="254"/>
      <c r="CB538" s="187"/>
      <c r="CC538" s="185"/>
      <c r="CD538" s="185"/>
      <c r="CE538" s="185"/>
      <c r="CF538" s="254"/>
      <c r="CH538" s="253"/>
    </row>
    <row r="539" spans="1:86" ht="63">
      <c r="A539" s="1563"/>
      <c r="B539" s="215" t="s">
        <v>330</v>
      </c>
      <c r="C539" s="216" t="s">
        <v>313</v>
      </c>
      <c r="D539" s="217" t="s">
        <v>314</v>
      </c>
      <c r="F539" s="218">
        <v>44960</v>
      </c>
      <c r="G539" s="219">
        <v>51660</v>
      </c>
      <c r="H539" s="218">
        <v>39240</v>
      </c>
      <c r="I539" s="219">
        <v>45940</v>
      </c>
      <c r="J539" s="179" t="s">
        <v>182</v>
      </c>
      <c r="K539" s="220">
        <v>430</v>
      </c>
      <c r="L539" s="221">
        <v>490</v>
      </c>
      <c r="M539" s="222" t="s">
        <v>795</v>
      </c>
      <c r="N539" s="220">
        <v>370</v>
      </c>
      <c r="O539" s="221">
        <v>430</v>
      </c>
      <c r="P539" s="222" t="s">
        <v>795</v>
      </c>
      <c r="Q539" s="160" t="s">
        <v>182</v>
      </c>
      <c r="R539" s="223">
        <v>6700</v>
      </c>
      <c r="S539" s="224">
        <v>60</v>
      </c>
      <c r="T539" s="225" t="s">
        <v>184</v>
      </c>
      <c r="V539" s="182"/>
      <c r="W539" s="185">
        <v>346100</v>
      </c>
      <c r="X539" s="176"/>
      <c r="Y539" s="185">
        <v>3460</v>
      </c>
      <c r="Z539" s="176" t="s">
        <v>184</v>
      </c>
      <c r="AA539" s="176"/>
      <c r="AB539" s="177"/>
      <c r="AC539" s="160" t="s">
        <v>182</v>
      </c>
      <c r="AD539" s="1546">
        <v>12830</v>
      </c>
      <c r="AE539" s="227"/>
      <c r="AF539" s="176" t="s">
        <v>182</v>
      </c>
      <c r="AG539" s="176">
        <v>50</v>
      </c>
      <c r="AH539" s="177" t="s">
        <v>184</v>
      </c>
      <c r="AJ539" s="187" t="s">
        <v>207</v>
      </c>
      <c r="AK539" s="185"/>
      <c r="AL539" s="176" t="s">
        <v>182</v>
      </c>
      <c r="AM539" s="176">
        <v>30</v>
      </c>
      <c r="AN539" s="177" t="s">
        <v>316</v>
      </c>
      <c r="AO539" s="160" t="s">
        <v>182</v>
      </c>
      <c r="AP539" s="1550">
        <v>3500</v>
      </c>
      <c r="AQ539" s="1553">
        <v>3900</v>
      </c>
      <c r="AR539" s="1550">
        <v>2500</v>
      </c>
      <c r="AS539" s="1553">
        <v>2500</v>
      </c>
      <c r="AT539" s="1544" t="s">
        <v>664</v>
      </c>
      <c r="AU539" s="230" t="s">
        <v>697</v>
      </c>
      <c r="AV539" s="231">
        <v>7100</v>
      </c>
      <c r="AW539" s="232">
        <v>7900</v>
      </c>
      <c r="AX539" s="267">
        <v>4900</v>
      </c>
      <c r="AY539" s="252">
        <v>4900</v>
      </c>
      <c r="BA539" s="235">
        <v>6130</v>
      </c>
      <c r="BB539" s="160" t="s">
        <v>182</v>
      </c>
      <c r="BC539" s="1556">
        <v>4700</v>
      </c>
      <c r="BD539" s="160" t="s">
        <v>182</v>
      </c>
      <c r="BE539" s="228">
        <v>2620</v>
      </c>
      <c r="BF539" s="226" t="s">
        <v>182</v>
      </c>
      <c r="BG539" s="226">
        <v>20</v>
      </c>
      <c r="BH539" s="217" t="s">
        <v>184</v>
      </c>
      <c r="BJ539" s="253"/>
      <c r="BK539" s="160" t="s">
        <v>188</v>
      </c>
      <c r="BL539" s="237" t="s">
        <v>317</v>
      </c>
      <c r="BM539" s="238" t="s">
        <v>317</v>
      </c>
      <c r="BN539" s="238" t="s">
        <v>317</v>
      </c>
      <c r="BO539" s="239" t="s">
        <v>317</v>
      </c>
      <c r="BP539" s="160" t="s">
        <v>188</v>
      </c>
      <c r="BQ539" s="228"/>
      <c r="BR539" s="229"/>
      <c r="BS539" s="229"/>
      <c r="BT539" s="240"/>
      <c r="BU539" s="160" t="s">
        <v>188</v>
      </c>
      <c r="BV539" s="228"/>
      <c r="BW539" s="229"/>
      <c r="BX539" s="229"/>
      <c r="BY539" s="229"/>
      <c r="BZ539" s="240"/>
      <c r="CA539" s="160" t="s">
        <v>188</v>
      </c>
      <c r="CB539" s="228"/>
      <c r="CC539" s="229"/>
      <c r="CD539" s="229"/>
      <c r="CE539" s="229"/>
      <c r="CF539" s="240"/>
      <c r="CH539" s="236" t="s">
        <v>324</v>
      </c>
    </row>
    <row r="540" spans="1:86">
      <c r="A540" s="1563"/>
      <c r="B540" s="168"/>
      <c r="C540" s="241"/>
      <c r="D540" s="177" t="s">
        <v>318</v>
      </c>
      <c r="F540" s="242">
        <v>51660</v>
      </c>
      <c r="G540" s="243">
        <v>106860</v>
      </c>
      <c r="H540" s="242">
        <v>45940</v>
      </c>
      <c r="I540" s="243">
        <v>101140</v>
      </c>
      <c r="J540" s="179" t="s">
        <v>182</v>
      </c>
      <c r="K540" s="244">
        <v>490</v>
      </c>
      <c r="L540" s="245">
        <v>950</v>
      </c>
      <c r="M540" s="246" t="s">
        <v>795</v>
      </c>
      <c r="N540" s="244">
        <v>430</v>
      </c>
      <c r="O540" s="245">
        <v>890</v>
      </c>
      <c r="P540" s="246" t="s">
        <v>795</v>
      </c>
      <c r="Q540" s="160" t="s">
        <v>182</v>
      </c>
      <c r="R540" s="187">
        <v>6700</v>
      </c>
      <c r="S540" s="185">
        <v>60</v>
      </c>
      <c r="T540" s="247" t="s">
        <v>184</v>
      </c>
      <c r="V540" s="182"/>
      <c r="W540" s="185"/>
      <c r="X540" s="176"/>
      <c r="Y540" s="185"/>
      <c r="Z540" s="176"/>
      <c r="AA540" s="176"/>
      <c r="AB540" s="177"/>
      <c r="AD540" s="1547"/>
      <c r="AE540" s="248">
        <v>11100</v>
      </c>
      <c r="AF540" s="176"/>
      <c r="AG540" s="176"/>
      <c r="AH540" s="177"/>
      <c r="AJ540" s="187"/>
      <c r="AK540" s="185"/>
      <c r="AL540" s="176"/>
      <c r="AM540" s="176"/>
      <c r="AN540" s="177"/>
      <c r="AP540" s="1551"/>
      <c r="AQ540" s="1554"/>
      <c r="AR540" s="1551"/>
      <c r="AS540" s="1554"/>
      <c r="AT540" s="1544"/>
      <c r="AU540" s="172" t="s">
        <v>699</v>
      </c>
      <c r="AV540" s="249">
        <v>3900</v>
      </c>
      <c r="AW540" s="250">
        <v>4300</v>
      </c>
      <c r="AX540" s="267">
        <v>2700</v>
      </c>
      <c r="AY540" s="252">
        <v>2700</v>
      </c>
      <c r="BA540" s="277"/>
      <c r="BC540" s="1557"/>
      <c r="BE540" s="187"/>
      <c r="BF540" s="176"/>
      <c r="BG540" s="176"/>
      <c r="BH540" s="177"/>
      <c r="BJ540" s="253"/>
      <c r="BL540" s="193"/>
      <c r="BM540" s="194"/>
      <c r="BN540" s="194"/>
      <c r="BO540" s="195"/>
      <c r="BQ540" s="187">
        <v>1590</v>
      </c>
      <c r="BR540" s="185" t="s">
        <v>199</v>
      </c>
      <c r="BS540" s="185">
        <v>10</v>
      </c>
      <c r="BT540" s="254" t="s">
        <v>184</v>
      </c>
      <c r="BV540" s="187">
        <v>5020</v>
      </c>
      <c r="BW540" s="185" t="s">
        <v>189</v>
      </c>
      <c r="BX540" s="185">
        <v>50</v>
      </c>
      <c r="BY540" s="185" t="s">
        <v>184</v>
      </c>
      <c r="BZ540" s="254" t="s">
        <v>190</v>
      </c>
      <c r="CB540" s="187">
        <v>3010</v>
      </c>
      <c r="CC540" s="185" t="s">
        <v>189</v>
      </c>
      <c r="CD540" s="185">
        <v>30</v>
      </c>
      <c r="CE540" s="185" t="s">
        <v>184</v>
      </c>
      <c r="CF540" s="254" t="s">
        <v>190</v>
      </c>
      <c r="CH540" s="253"/>
    </row>
    <row r="541" spans="1:86">
      <c r="A541" s="1563"/>
      <c r="B541" s="168"/>
      <c r="C541" s="241" t="s">
        <v>319</v>
      </c>
      <c r="D541" s="177" t="s">
        <v>320</v>
      </c>
      <c r="F541" s="242">
        <v>106860</v>
      </c>
      <c r="G541" s="243">
        <v>173920</v>
      </c>
      <c r="H541" s="242">
        <v>101140</v>
      </c>
      <c r="I541" s="243">
        <v>168200</v>
      </c>
      <c r="J541" s="179" t="s">
        <v>182</v>
      </c>
      <c r="K541" s="244">
        <v>950</v>
      </c>
      <c r="L541" s="245">
        <v>1620</v>
      </c>
      <c r="M541" s="246" t="s">
        <v>795</v>
      </c>
      <c r="N541" s="244">
        <v>890</v>
      </c>
      <c r="O541" s="245">
        <v>1560</v>
      </c>
      <c r="P541" s="246" t="s">
        <v>795</v>
      </c>
      <c r="R541" s="182"/>
      <c r="S541" s="176"/>
      <c r="T541" s="177"/>
      <c r="V541" s="280"/>
      <c r="W541" s="284" t="s">
        <v>708</v>
      </c>
      <c r="X541" s="176"/>
      <c r="Y541" s="284" t="s">
        <v>708</v>
      </c>
      <c r="Z541" s="284"/>
      <c r="AA541" s="176"/>
      <c r="AB541" s="177"/>
      <c r="AC541" s="160" t="s">
        <v>182</v>
      </c>
      <c r="AD541" s="1548">
        <v>11100</v>
      </c>
      <c r="AE541" s="255"/>
      <c r="AF541" s="176"/>
      <c r="AG541" s="176">
        <v>0</v>
      </c>
      <c r="AH541" s="177"/>
      <c r="AJ541" s="187">
        <v>3930</v>
      </c>
      <c r="AK541" s="185" t="s">
        <v>321</v>
      </c>
      <c r="AL541" s="176"/>
      <c r="AM541" s="176"/>
      <c r="AN541" s="177"/>
      <c r="AP541" s="1551"/>
      <c r="AQ541" s="1554"/>
      <c r="AR541" s="1551"/>
      <c r="AS541" s="1554"/>
      <c r="AT541" s="1544"/>
      <c r="AU541" s="172" t="s">
        <v>700</v>
      </c>
      <c r="AV541" s="249">
        <v>3400</v>
      </c>
      <c r="AW541" s="250">
        <v>3800</v>
      </c>
      <c r="AX541" s="267">
        <v>2300</v>
      </c>
      <c r="AY541" s="252">
        <v>2300</v>
      </c>
      <c r="BA541" s="235" t="s">
        <v>670</v>
      </c>
      <c r="BC541" s="359"/>
      <c r="BE541" s="187"/>
      <c r="BF541" s="176"/>
      <c r="BG541" s="176"/>
      <c r="BH541" s="177"/>
      <c r="BJ541" s="253"/>
      <c r="BL541" s="193">
        <v>0.02</v>
      </c>
      <c r="BM541" s="194">
        <v>0.03</v>
      </c>
      <c r="BN541" s="194">
        <v>0.05</v>
      </c>
      <c r="BO541" s="195">
        <v>0.06</v>
      </c>
      <c r="BQ541" s="187"/>
      <c r="BR541" s="185"/>
      <c r="BS541" s="185"/>
      <c r="BT541" s="254"/>
      <c r="BV541" s="187"/>
      <c r="BW541" s="185"/>
      <c r="BX541" s="185"/>
      <c r="BY541" s="185"/>
      <c r="BZ541" s="254"/>
      <c r="CB541" s="187"/>
      <c r="CC541" s="185"/>
      <c r="CD541" s="185"/>
      <c r="CE541" s="185"/>
      <c r="CF541" s="254"/>
      <c r="CH541" s="253">
        <v>0.89</v>
      </c>
    </row>
    <row r="542" spans="1:86">
      <c r="A542" s="1563"/>
      <c r="B542" s="269"/>
      <c r="C542" s="270"/>
      <c r="D542" s="184" t="s">
        <v>322</v>
      </c>
      <c r="F542" s="256">
        <v>173920</v>
      </c>
      <c r="G542" s="257"/>
      <c r="H542" s="256">
        <v>168200</v>
      </c>
      <c r="I542" s="257"/>
      <c r="J542" s="179" t="s">
        <v>182</v>
      </c>
      <c r="K542" s="258">
        <v>1620</v>
      </c>
      <c r="L542" s="259"/>
      <c r="M542" s="260" t="s">
        <v>795</v>
      </c>
      <c r="N542" s="258">
        <v>1560</v>
      </c>
      <c r="O542" s="259"/>
      <c r="P542" s="260" t="s">
        <v>795</v>
      </c>
      <c r="R542" s="183"/>
      <c r="S542" s="271"/>
      <c r="T542" s="184"/>
      <c r="V542" s="182"/>
      <c r="W542" s="185">
        <v>378800</v>
      </c>
      <c r="X542" s="176"/>
      <c r="Y542" s="185">
        <v>3780</v>
      </c>
      <c r="Z542" s="176" t="s">
        <v>184</v>
      </c>
      <c r="AA542" s="176"/>
      <c r="AB542" s="177"/>
      <c r="AD542" s="1549"/>
      <c r="AE542" s="261"/>
      <c r="AF542" s="176"/>
      <c r="AG542" s="176"/>
      <c r="AH542" s="177"/>
      <c r="AJ542" s="187"/>
      <c r="AK542" s="185"/>
      <c r="AL542" s="176"/>
      <c r="AM542" s="176"/>
      <c r="AN542" s="177"/>
      <c r="AP542" s="1552"/>
      <c r="AQ542" s="1555"/>
      <c r="AR542" s="1552"/>
      <c r="AS542" s="1555"/>
      <c r="AT542" s="1544"/>
      <c r="AU542" s="262" t="s">
        <v>701</v>
      </c>
      <c r="AV542" s="263">
        <v>3000</v>
      </c>
      <c r="AW542" s="264">
        <v>3400</v>
      </c>
      <c r="AX542" s="265">
        <v>2100</v>
      </c>
      <c r="AY542" s="266">
        <v>2100</v>
      </c>
      <c r="BA542" s="235">
        <v>5220</v>
      </c>
      <c r="BC542" s="359"/>
      <c r="BE542" s="186"/>
      <c r="BF542" s="271"/>
      <c r="BG542" s="271"/>
      <c r="BH542" s="184"/>
      <c r="BJ542" s="253"/>
      <c r="BL542" s="272"/>
      <c r="BM542" s="273"/>
      <c r="BN542" s="273"/>
      <c r="BO542" s="274"/>
      <c r="BQ542" s="186"/>
      <c r="BR542" s="196"/>
      <c r="BS542" s="196"/>
      <c r="BT542" s="197"/>
      <c r="BV542" s="186"/>
      <c r="BW542" s="196"/>
      <c r="BX542" s="196"/>
      <c r="BY542" s="196"/>
      <c r="BZ542" s="197"/>
      <c r="CB542" s="186"/>
      <c r="CC542" s="196"/>
      <c r="CD542" s="196"/>
      <c r="CE542" s="196"/>
      <c r="CF542" s="197"/>
      <c r="CH542" s="198"/>
    </row>
    <row r="543" spans="1:86" ht="63">
      <c r="A543" s="1563"/>
      <c r="B543" s="168" t="s">
        <v>331</v>
      </c>
      <c r="C543" s="241" t="s">
        <v>313</v>
      </c>
      <c r="D543" s="177" t="s">
        <v>314</v>
      </c>
      <c r="F543" s="218">
        <v>41740</v>
      </c>
      <c r="G543" s="219">
        <v>48440</v>
      </c>
      <c r="H543" s="218">
        <v>36650</v>
      </c>
      <c r="I543" s="219">
        <v>43350</v>
      </c>
      <c r="J543" s="179" t="s">
        <v>182</v>
      </c>
      <c r="K543" s="220">
        <v>390</v>
      </c>
      <c r="L543" s="221">
        <v>450</v>
      </c>
      <c r="M543" s="222" t="s">
        <v>795</v>
      </c>
      <c r="N543" s="220">
        <v>340</v>
      </c>
      <c r="O543" s="221">
        <v>400</v>
      </c>
      <c r="P543" s="222" t="s">
        <v>795</v>
      </c>
      <c r="Q543" s="160" t="s">
        <v>182</v>
      </c>
      <c r="R543" s="275">
        <v>6700</v>
      </c>
      <c r="S543" s="276">
        <v>60</v>
      </c>
      <c r="T543" s="247" t="s">
        <v>184</v>
      </c>
      <c r="V543" s="182"/>
      <c r="W543" s="185"/>
      <c r="X543" s="176"/>
      <c r="Y543" s="185"/>
      <c r="Z543" s="176"/>
      <c r="AA543" s="176"/>
      <c r="AB543" s="177"/>
      <c r="AC543" s="160" t="s">
        <v>182</v>
      </c>
      <c r="AD543" s="1546">
        <v>12170</v>
      </c>
      <c r="AE543" s="227"/>
      <c r="AF543" s="226" t="s">
        <v>182</v>
      </c>
      <c r="AG543" s="226">
        <v>50</v>
      </c>
      <c r="AH543" s="217" t="s">
        <v>184</v>
      </c>
      <c r="AJ543" s="187" t="s">
        <v>209</v>
      </c>
      <c r="AK543" s="185"/>
      <c r="AL543" s="176" t="s">
        <v>182</v>
      </c>
      <c r="AM543" s="176">
        <v>30</v>
      </c>
      <c r="AN543" s="177" t="s">
        <v>316</v>
      </c>
      <c r="AO543" s="160" t="s">
        <v>182</v>
      </c>
      <c r="AP543" s="1550">
        <v>3100</v>
      </c>
      <c r="AQ543" s="1553">
        <v>3400</v>
      </c>
      <c r="AR543" s="1550">
        <v>2200</v>
      </c>
      <c r="AS543" s="1553">
        <v>2200</v>
      </c>
      <c r="AT543" s="1544" t="s">
        <v>664</v>
      </c>
      <c r="AU543" s="230" t="s">
        <v>697</v>
      </c>
      <c r="AV543" s="231">
        <v>6300</v>
      </c>
      <c r="AW543" s="232">
        <v>7100</v>
      </c>
      <c r="AX543" s="267">
        <v>4400</v>
      </c>
      <c r="AY543" s="252">
        <v>4400</v>
      </c>
      <c r="BA543" s="277"/>
      <c r="BB543" s="160" t="s">
        <v>182</v>
      </c>
      <c r="BC543" s="1556">
        <v>4700</v>
      </c>
      <c r="BD543" s="160" t="s">
        <v>182</v>
      </c>
      <c r="BE543" s="187">
        <v>2330</v>
      </c>
      <c r="BF543" s="176" t="s">
        <v>182</v>
      </c>
      <c r="BG543" s="176">
        <v>20</v>
      </c>
      <c r="BH543" s="177" t="s">
        <v>184</v>
      </c>
      <c r="BJ543" s="253"/>
      <c r="BK543" s="160" t="s">
        <v>188</v>
      </c>
      <c r="BL543" s="193" t="s">
        <v>317</v>
      </c>
      <c r="BM543" s="194" t="s">
        <v>317</v>
      </c>
      <c r="BN543" s="194" t="s">
        <v>317</v>
      </c>
      <c r="BO543" s="195" t="s">
        <v>317</v>
      </c>
      <c r="BP543" s="160" t="s">
        <v>188</v>
      </c>
      <c r="BQ543" s="187"/>
      <c r="BR543" s="185"/>
      <c r="BS543" s="185"/>
      <c r="BT543" s="254"/>
      <c r="BU543" s="160" t="s">
        <v>188</v>
      </c>
      <c r="BV543" s="187"/>
      <c r="BW543" s="185"/>
      <c r="BX543" s="185"/>
      <c r="BY543" s="185"/>
      <c r="BZ543" s="254"/>
      <c r="CA543" s="160" t="s">
        <v>188</v>
      </c>
      <c r="CB543" s="187"/>
      <c r="CC543" s="185"/>
      <c r="CD543" s="185"/>
      <c r="CE543" s="185"/>
      <c r="CF543" s="254"/>
      <c r="CH543" s="253" t="s">
        <v>324</v>
      </c>
    </row>
    <row r="544" spans="1:86">
      <c r="A544" s="1563"/>
      <c r="B544" s="168"/>
      <c r="C544" s="241"/>
      <c r="D544" s="177" t="s">
        <v>318</v>
      </c>
      <c r="F544" s="242">
        <v>48440</v>
      </c>
      <c r="G544" s="243">
        <v>103640</v>
      </c>
      <c r="H544" s="242">
        <v>43350</v>
      </c>
      <c r="I544" s="243">
        <v>98550</v>
      </c>
      <c r="J544" s="179" t="s">
        <v>182</v>
      </c>
      <c r="K544" s="244">
        <v>450</v>
      </c>
      <c r="L544" s="245">
        <v>920</v>
      </c>
      <c r="M544" s="246" t="s">
        <v>795</v>
      </c>
      <c r="N544" s="244">
        <v>400</v>
      </c>
      <c r="O544" s="245">
        <v>870</v>
      </c>
      <c r="P544" s="246" t="s">
        <v>795</v>
      </c>
      <c r="Q544" s="160" t="s">
        <v>182</v>
      </c>
      <c r="R544" s="187">
        <v>6700</v>
      </c>
      <c r="S544" s="185">
        <v>60</v>
      </c>
      <c r="T544" s="247" t="s">
        <v>184</v>
      </c>
      <c r="V544" s="280"/>
      <c r="W544" s="284" t="s">
        <v>709</v>
      </c>
      <c r="X544" s="176"/>
      <c r="Y544" s="284" t="s">
        <v>709</v>
      </c>
      <c r="Z544" s="284"/>
      <c r="AA544" s="176" t="s">
        <v>332</v>
      </c>
      <c r="AB544" s="177" t="s">
        <v>333</v>
      </c>
      <c r="AD544" s="1547"/>
      <c r="AE544" s="248">
        <v>10440</v>
      </c>
      <c r="AF544" s="176"/>
      <c r="AG544" s="176"/>
      <c r="AH544" s="177"/>
      <c r="AJ544" s="187"/>
      <c r="AK544" s="185"/>
      <c r="AL544" s="176"/>
      <c r="AM544" s="176"/>
      <c r="AN544" s="177"/>
      <c r="AP544" s="1551"/>
      <c r="AQ544" s="1554"/>
      <c r="AR544" s="1551"/>
      <c r="AS544" s="1554"/>
      <c r="AT544" s="1544"/>
      <c r="AU544" s="172" t="s">
        <v>699</v>
      </c>
      <c r="AV544" s="249">
        <v>3500</v>
      </c>
      <c r="AW544" s="250">
        <v>3900</v>
      </c>
      <c r="AX544" s="267">
        <v>2400</v>
      </c>
      <c r="AY544" s="252">
        <v>2400</v>
      </c>
      <c r="BA544" s="235" t="s">
        <v>671</v>
      </c>
      <c r="BC544" s="1557"/>
      <c r="BE544" s="187"/>
      <c r="BF544" s="176"/>
      <c r="BG544" s="176"/>
      <c r="BH544" s="177"/>
      <c r="BJ544" s="253"/>
      <c r="BL544" s="193"/>
      <c r="BM544" s="194"/>
      <c r="BN544" s="194"/>
      <c r="BO544" s="195"/>
      <c r="BQ544" s="187">
        <v>1410</v>
      </c>
      <c r="BR544" s="185" t="s">
        <v>199</v>
      </c>
      <c r="BS544" s="185">
        <v>10</v>
      </c>
      <c r="BT544" s="254" t="s">
        <v>184</v>
      </c>
      <c r="BV544" s="187">
        <v>4470</v>
      </c>
      <c r="BW544" s="185" t="s">
        <v>189</v>
      </c>
      <c r="BX544" s="185">
        <v>40</v>
      </c>
      <c r="BY544" s="185" t="s">
        <v>184</v>
      </c>
      <c r="BZ544" s="254" t="s">
        <v>190</v>
      </c>
      <c r="CB544" s="187">
        <v>2670</v>
      </c>
      <c r="CC544" s="185" t="s">
        <v>189</v>
      </c>
      <c r="CD544" s="185">
        <v>20</v>
      </c>
      <c r="CE544" s="185" t="s">
        <v>184</v>
      </c>
      <c r="CF544" s="254" t="s">
        <v>190</v>
      </c>
      <c r="CH544" s="253"/>
    </row>
    <row r="545" spans="1:86">
      <c r="A545" s="1563"/>
      <c r="B545" s="168"/>
      <c r="C545" s="241" t="s">
        <v>319</v>
      </c>
      <c r="D545" s="177" t="s">
        <v>320</v>
      </c>
      <c r="F545" s="242">
        <v>103640</v>
      </c>
      <c r="G545" s="243">
        <v>170700</v>
      </c>
      <c r="H545" s="242">
        <v>98550</v>
      </c>
      <c r="I545" s="243">
        <v>165610</v>
      </c>
      <c r="J545" s="179" t="s">
        <v>182</v>
      </c>
      <c r="K545" s="244">
        <v>920</v>
      </c>
      <c r="L545" s="245">
        <v>1590</v>
      </c>
      <c r="M545" s="246" t="s">
        <v>795</v>
      </c>
      <c r="N545" s="244">
        <v>870</v>
      </c>
      <c r="O545" s="245">
        <v>1540</v>
      </c>
      <c r="P545" s="246" t="s">
        <v>795</v>
      </c>
      <c r="R545" s="182"/>
      <c r="S545" s="176"/>
      <c r="T545" s="177"/>
      <c r="V545" s="182"/>
      <c r="W545" s="185">
        <v>411400</v>
      </c>
      <c r="X545" s="176"/>
      <c r="Y545" s="185">
        <v>4110</v>
      </c>
      <c r="Z545" s="176" t="s">
        <v>184</v>
      </c>
      <c r="AA545" s="176"/>
      <c r="AB545" s="177" t="s">
        <v>334</v>
      </c>
      <c r="AC545" s="160" t="s">
        <v>182</v>
      </c>
      <c r="AD545" s="1548">
        <v>10440</v>
      </c>
      <c r="AE545" s="255"/>
      <c r="AF545" s="176"/>
      <c r="AG545" s="176">
        <v>0</v>
      </c>
      <c r="AH545" s="177"/>
      <c r="AJ545" s="187">
        <v>3440</v>
      </c>
      <c r="AK545" s="185" t="s">
        <v>321</v>
      </c>
      <c r="AL545" s="176"/>
      <c r="AM545" s="176"/>
      <c r="AN545" s="177"/>
      <c r="AP545" s="1551"/>
      <c r="AQ545" s="1554"/>
      <c r="AR545" s="1551"/>
      <c r="AS545" s="1554"/>
      <c r="AT545" s="1544"/>
      <c r="AU545" s="172" t="s">
        <v>700</v>
      </c>
      <c r="AV545" s="249">
        <v>3000</v>
      </c>
      <c r="AW545" s="250">
        <v>3400</v>
      </c>
      <c r="AX545" s="267">
        <v>2100</v>
      </c>
      <c r="AY545" s="252">
        <v>2100</v>
      </c>
      <c r="BA545" s="235">
        <v>4660</v>
      </c>
      <c r="BC545" s="358"/>
      <c r="BE545" s="187"/>
      <c r="BF545" s="176"/>
      <c r="BG545" s="176"/>
      <c r="BH545" s="177"/>
      <c r="BJ545" s="253" t="s">
        <v>335</v>
      </c>
      <c r="BL545" s="193">
        <v>0.02</v>
      </c>
      <c r="BM545" s="194">
        <v>0.03</v>
      </c>
      <c r="BN545" s="194">
        <v>0.05</v>
      </c>
      <c r="BO545" s="195">
        <v>0.06</v>
      </c>
      <c r="BQ545" s="187"/>
      <c r="BR545" s="185"/>
      <c r="BS545" s="185"/>
      <c r="BT545" s="254"/>
      <c r="BV545" s="187"/>
      <c r="BW545" s="185"/>
      <c r="BX545" s="185"/>
      <c r="BY545" s="185"/>
      <c r="BZ545" s="254"/>
      <c r="CB545" s="187"/>
      <c r="CC545" s="185"/>
      <c r="CD545" s="185"/>
      <c r="CE545" s="185"/>
      <c r="CF545" s="254"/>
      <c r="CH545" s="253">
        <v>0.91</v>
      </c>
    </row>
    <row r="546" spans="1:86">
      <c r="A546" s="1563"/>
      <c r="B546" s="168"/>
      <c r="C546" s="241"/>
      <c r="D546" s="177" t="s">
        <v>322</v>
      </c>
      <c r="F546" s="256">
        <v>170700</v>
      </c>
      <c r="G546" s="257"/>
      <c r="H546" s="256">
        <v>165610</v>
      </c>
      <c r="I546" s="257"/>
      <c r="J546" s="179" t="s">
        <v>182</v>
      </c>
      <c r="K546" s="258">
        <v>1590</v>
      </c>
      <c r="L546" s="259"/>
      <c r="M546" s="260" t="s">
        <v>795</v>
      </c>
      <c r="N546" s="258">
        <v>1540</v>
      </c>
      <c r="O546" s="259"/>
      <c r="P546" s="260" t="s">
        <v>795</v>
      </c>
      <c r="R546" s="182"/>
      <c r="S546" s="176"/>
      <c r="T546" s="177"/>
      <c r="V546" s="182"/>
      <c r="W546" s="185"/>
      <c r="X546" s="176"/>
      <c r="Y546" s="185"/>
      <c r="Z546" s="176"/>
      <c r="AA546" s="176"/>
      <c r="AB546" s="177"/>
      <c r="AD546" s="1549"/>
      <c r="AE546" s="261"/>
      <c r="AF546" s="271"/>
      <c r="AG546" s="271"/>
      <c r="AH546" s="184"/>
      <c r="AJ546" s="187"/>
      <c r="AK546" s="185"/>
      <c r="AL546" s="176"/>
      <c r="AM546" s="176"/>
      <c r="AN546" s="177"/>
      <c r="AP546" s="1552"/>
      <c r="AQ546" s="1555"/>
      <c r="AR546" s="1552"/>
      <c r="AS546" s="1555"/>
      <c r="AT546" s="1544"/>
      <c r="AU546" s="262" t="s">
        <v>701</v>
      </c>
      <c r="AV546" s="263">
        <v>2700</v>
      </c>
      <c r="AW546" s="264">
        <v>3000</v>
      </c>
      <c r="AX546" s="265">
        <v>1900</v>
      </c>
      <c r="AY546" s="266">
        <v>1900</v>
      </c>
      <c r="BA546" s="277"/>
      <c r="BC546" s="359"/>
      <c r="BE546" s="187"/>
      <c r="BF546" s="176"/>
      <c r="BG546" s="176"/>
      <c r="BH546" s="177"/>
      <c r="BJ546" s="253"/>
      <c r="BL546" s="193"/>
      <c r="BM546" s="194"/>
      <c r="BN546" s="194"/>
      <c r="BO546" s="195"/>
      <c r="BQ546" s="187"/>
      <c r="BR546" s="185"/>
      <c r="BS546" s="185"/>
      <c r="BT546" s="254"/>
      <c r="BV546" s="187"/>
      <c r="BW546" s="185"/>
      <c r="BX546" s="185"/>
      <c r="BY546" s="185"/>
      <c r="BZ546" s="254"/>
      <c r="CB546" s="187"/>
      <c r="CC546" s="185"/>
      <c r="CD546" s="185"/>
      <c r="CE546" s="185"/>
      <c r="CF546" s="254"/>
      <c r="CH546" s="253"/>
    </row>
    <row r="547" spans="1:86" ht="63">
      <c r="A547" s="1563"/>
      <c r="B547" s="215" t="s">
        <v>336</v>
      </c>
      <c r="C547" s="216" t="s">
        <v>313</v>
      </c>
      <c r="D547" s="217" t="s">
        <v>314</v>
      </c>
      <c r="F547" s="218">
        <v>36320</v>
      </c>
      <c r="G547" s="219">
        <v>43020</v>
      </c>
      <c r="H547" s="218">
        <v>31740</v>
      </c>
      <c r="I547" s="219">
        <v>38440</v>
      </c>
      <c r="J547" s="179" t="s">
        <v>182</v>
      </c>
      <c r="K547" s="220">
        <v>340</v>
      </c>
      <c r="L547" s="221">
        <v>400</v>
      </c>
      <c r="M547" s="222" t="s">
        <v>795</v>
      </c>
      <c r="N547" s="220">
        <v>290</v>
      </c>
      <c r="O547" s="221">
        <v>350</v>
      </c>
      <c r="P547" s="222" t="s">
        <v>795</v>
      </c>
      <c r="Q547" s="160" t="s">
        <v>182</v>
      </c>
      <c r="R547" s="223">
        <v>6700</v>
      </c>
      <c r="S547" s="224">
        <v>60</v>
      </c>
      <c r="T547" s="225" t="s">
        <v>184</v>
      </c>
      <c r="V547" s="280"/>
      <c r="W547" s="284" t="s">
        <v>710</v>
      </c>
      <c r="X547" s="176"/>
      <c r="Y547" s="284" t="s">
        <v>710</v>
      </c>
      <c r="Z547" s="284"/>
      <c r="AA547" s="176"/>
      <c r="AB547" s="177"/>
      <c r="AD547" s="281"/>
      <c r="AE547" s="281"/>
      <c r="AF547" s="176"/>
      <c r="AG547" s="176"/>
      <c r="AH547" s="177"/>
      <c r="AJ547" s="187" t="s">
        <v>211</v>
      </c>
      <c r="AK547" s="185"/>
      <c r="AL547" s="176" t="s">
        <v>182</v>
      </c>
      <c r="AM547" s="176">
        <v>30</v>
      </c>
      <c r="AN547" s="177" t="s">
        <v>316</v>
      </c>
      <c r="AO547" s="160" t="s">
        <v>182</v>
      </c>
      <c r="AP547" s="1550">
        <v>2800</v>
      </c>
      <c r="AQ547" s="1553">
        <v>3100</v>
      </c>
      <c r="AR547" s="1550">
        <v>2000</v>
      </c>
      <c r="AS547" s="1553">
        <v>2000</v>
      </c>
      <c r="AT547" s="1544" t="s">
        <v>664</v>
      </c>
      <c r="AU547" s="230" t="s">
        <v>697</v>
      </c>
      <c r="AV547" s="231">
        <v>5500</v>
      </c>
      <c r="AW547" s="232">
        <v>6200</v>
      </c>
      <c r="AX547" s="267">
        <v>3900</v>
      </c>
      <c r="AY547" s="252">
        <v>3900</v>
      </c>
      <c r="BA547" s="235" t="s">
        <v>672</v>
      </c>
      <c r="BB547" s="160" t="s">
        <v>182</v>
      </c>
      <c r="BC547" s="1556">
        <v>4700</v>
      </c>
      <c r="BD547" s="160" t="s">
        <v>182</v>
      </c>
      <c r="BE547" s="228">
        <v>2100</v>
      </c>
      <c r="BF547" s="226" t="s">
        <v>182</v>
      </c>
      <c r="BG547" s="226">
        <v>20</v>
      </c>
      <c r="BH547" s="217" t="s">
        <v>184</v>
      </c>
      <c r="BJ547" s="253">
        <v>0.1</v>
      </c>
      <c r="BK547" s="160" t="s">
        <v>188</v>
      </c>
      <c r="BL547" s="237" t="s">
        <v>317</v>
      </c>
      <c r="BM547" s="238" t="s">
        <v>317</v>
      </c>
      <c r="BN547" s="238" t="s">
        <v>317</v>
      </c>
      <c r="BO547" s="239" t="s">
        <v>317</v>
      </c>
      <c r="BP547" s="160" t="s">
        <v>188</v>
      </c>
      <c r="BQ547" s="228"/>
      <c r="BR547" s="229"/>
      <c r="BS547" s="229"/>
      <c r="BT547" s="240"/>
      <c r="BU547" s="160" t="s">
        <v>188</v>
      </c>
      <c r="BV547" s="228"/>
      <c r="BW547" s="229"/>
      <c r="BX547" s="229"/>
      <c r="BY547" s="229"/>
      <c r="BZ547" s="240"/>
      <c r="CA547" s="160" t="s">
        <v>188</v>
      </c>
      <c r="CB547" s="228"/>
      <c r="CC547" s="229"/>
      <c r="CD547" s="229"/>
      <c r="CE547" s="229"/>
      <c r="CF547" s="240"/>
      <c r="CH547" s="236" t="s">
        <v>324</v>
      </c>
    </row>
    <row r="548" spans="1:86">
      <c r="A548" s="1563"/>
      <c r="B548" s="168"/>
      <c r="C548" s="241"/>
      <c r="D548" s="177" t="s">
        <v>318</v>
      </c>
      <c r="F548" s="242">
        <v>43020</v>
      </c>
      <c r="G548" s="243">
        <v>98220</v>
      </c>
      <c r="H548" s="242">
        <v>38440</v>
      </c>
      <c r="I548" s="243">
        <v>93640</v>
      </c>
      <c r="J548" s="179" t="s">
        <v>182</v>
      </c>
      <c r="K548" s="244">
        <v>400</v>
      </c>
      <c r="L548" s="245">
        <v>860</v>
      </c>
      <c r="M548" s="246" t="s">
        <v>795</v>
      </c>
      <c r="N548" s="244">
        <v>350</v>
      </c>
      <c r="O548" s="245">
        <v>820</v>
      </c>
      <c r="P548" s="246" t="s">
        <v>795</v>
      </c>
      <c r="Q548" s="160" t="s">
        <v>182</v>
      </c>
      <c r="R548" s="187">
        <v>6700</v>
      </c>
      <c r="S548" s="185">
        <v>60</v>
      </c>
      <c r="T548" s="247" t="s">
        <v>184</v>
      </c>
      <c r="V548" s="182"/>
      <c r="W548" s="185">
        <v>444100</v>
      </c>
      <c r="X548" s="176"/>
      <c r="Y548" s="185">
        <v>4440</v>
      </c>
      <c r="Z548" s="176" t="s">
        <v>184</v>
      </c>
      <c r="AA548" s="176"/>
      <c r="AB548" s="177"/>
      <c r="AD548" s="281"/>
      <c r="AE548" s="281"/>
      <c r="AF548" s="176"/>
      <c r="AG548" s="176"/>
      <c r="AH548" s="177"/>
      <c r="AJ548" s="187"/>
      <c r="AK548" s="185"/>
      <c r="AL548" s="176"/>
      <c r="AM548" s="176"/>
      <c r="AN548" s="177"/>
      <c r="AP548" s="1551"/>
      <c r="AQ548" s="1554"/>
      <c r="AR548" s="1551"/>
      <c r="AS548" s="1554"/>
      <c r="AT548" s="1544"/>
      <c r="AU548" s="172" t="s">
        <v>699</v>
      </c>
      <c r="AV548" s="249">
        <v>3000</v>
      </c>
      <c r="AW548" s="250">
        <v>3400</v>
      </c>
      <c r="AX548" s="267">
        <v>2100</v>
      </c>
      <c r="AY548" s="252">
        <v>2100</v>
      </c>
      <c r="BA548" s="235">
        <v>4250</v>
      </c>
      <c r="BC548" s="1557"/>
      <c r="BE548" s="187"/>
      <c r="BF548" s="176"/>
      <c r="BG548" s="176"/>
      <c r="BH548" s="177"/>
      <c r="BJ548" s="253"/>
      <c r="BL548" s="193"/>
      <c r="BM548" s="194"/>
      <c r="BN548" s="194"/>
      <c r="BO548" s="195"/>
      <c r="BQ548" s="187">
        <v>1270</v>
      </c>
      <c r="BR548" s="185" t="s">
        <v>199</v>
      </c>
      <c r="BS548" s="185">
        <v>10</v>
      </c>
      <c r="BT548" s="254" t="s">
        <v>184</v>
      </c>
      <c r="BV548" s="187">
        <v>4020</v>
      </c>
      <c r="BW548" s="185" t="s">
        <v>189</v>
      </c>
      <c r="BX548" s="185">
        <v>40</v>
      </c>
      <c r="BY548" s="185" t="s">
        <v>184</v>
      </c>
      <c r="BZ548" s="254" t="s">
        <v>190</v>
      </c>
      <c r="CB548" s="187">
        <v>2410</v>
      </c>
      <c r="CC548" s="185" t="s">
        <v>189</v>
      </c>
      <c r="CD548" s="185">
        <v>20</v>
      </c>
      <c r="CE548" s="185" t="s">
        <v>184</v>
      </c>
      <c r="CF548" s="254" t="s">
        <v>190</v>
      </c>
      <c r="CH548" s="253"/>
    </row>
    <row r="549" spans="1:86">
      <c r="A549" s="1563"/>
      <c r="B549" s="168"/>
      <c r="C549" s="241" t="s">
        <v>319</v>
      </c>
      <c r="D549" s="177" t="s">
        <v>320</v>
      </c>
      <c r="F549" s="242">
        <v>98220</v>
      </c>
      <c r="G549" s="243">
        <v>165280</v>
      </c>
      <c r="H549" s="242">
        <v>93640</v>
      </c>
      <c r="I549" s="243">
        <v>160700</v>
      </c>
      <c r="J549" s="179" t="s">
        <v>182</v>
      </c>
      <c r="K549" s="244">
        <v>860</v>
      </c>
      <c r="L549" s="245">
        <v>1530</v>
      </c>
      <c r="M549" s="246" t="s">
        <v>795</v>
      </c>
      <c r="N549" s="244">
        <v>820</v>
      </c>
      <c r="O549" s="245">
        <v>1490</v>
      </c>
      <c r="P549" s="246" t="s">
        <v>795</v>
      </c>
      <c r="R549" s="182"/>
      <c r="S549" s="176"/>
      <c r="T549" s="177"/>
      <c r="V549" s="182"/>
      <c r="W549" s="185"/>
      <c r="X549" s="176"/>
      <c r="Y549" s="185"/>
      <c r="Z549" s="176"/>
      <c r="AA549" s="176"/>
      <c r="AB549" s="177"/>
      <c r="AD549" s="281"/>
      <c r="AE549" s="281"/>
      <c r="AF549" s="176"/>
      <c r="AG549" s="176"/>
      <c r="AH549" s="177"/>
      <c r="AJ549" s="187">
        <v>3060</v>
      </c>
      <c r="AK549" s="185" t="s">
        <v>321</v>
      </c>
      <c r="AL549" s="176"/>
      <c r="AM549" s="176"/>
      <c r="AN549" s="177"/>
      <c r="AP549" s="1551"/>
      <c r="AQ549" s="1554"/>
      <c r="AR549" s="1551"/>
      <c r="AS549" s="1554"/>
      <c r="AT549" s="1544"/>
      <c r="AU549" s="172" t="s">
        <v>700</v>
      </c>
      <c r="AV549" s="249">
        <v>2600</v>
      </c>
      <c r="AW549" s="250">
        <v>2900</v>
      </c>
      <c r="AX549" s="267">
        <v>1800</v>
      </c>
      <c r="AY549" s="252">
        <v>1800</v>
      </c>
      <c r="BA549" s="277"/>
      <c r="BC549" s="359"/>
      <c r="BE549" s="187"/>
      <c r="BF549" s="176"/>
      <c r="BG549" s="176"/>
      <c r="BH549" s="177"/>
      <c r="BJ549" s="253"/>
      <c r="BL549" s="193">
        <v>0.02</v>
      </c>
      <c r="BM549" s="194">
        <v>0.03</v>
      </c>
      <c r="BN549" s="194">
        <v>0.05</v>
      </c>
      <c r="BO549" s="195">
        <v>7.0000000000000007E-2</v>
      </c>
      <c r="BQ549" s="187"/>
      <c r="BR549" s="185"/>
      <c r="BS549" s="185"/>
      <c r="BT549" s="254"/>
      <c r="BV549" s="187"/>
      <c r="BW549" s="185"/>
      <c r="BX549" s="185"/>
      <c r="BY549" s="185"/>
      <c r="BZ549" s="254"/>
      <c r="CB549" s="187"/>
      <c r="CC549" s="185"/>
      <c r="CD549" s="185"/>
      <c r="CE549" s="185"/>
      <c r="CF549" s="254"/>
      <c r="CH549" s="253">
        <v>0.96</v>
      </c>
    </row>
    <row r="550" spans="1:86">
      <c r="A550" s="1563"/>
      <c r="B550" s="269"/>
      <c r="C550" s="270"/>
      <c r="D550" s="184" t="s">
        <v>322</v>
      </c>
      <c r="F550" s="256">
        <v>165280</v>
      </c>
      <c r="G550" s="257"/>
      <c r="H550" s="256">
        <v>160700</v>
      </c>
      <c r="I550" s="257"/>
      <c r="J550" s="179" t="s">
        <v>182</v>
      </c>
      <c r="K550" s="258">
        <v>1530</v>
      </c>
      <c r="L550" s="259"/>
      <c r="M550" s="260" t="s">
        <v>795</v>
      </c>
      <c r="N550" s="258">
        <v>1490</v>
      </c>
      <c r="O550" s="259"/>
      <c r="P550" s="260" t="s">
        <v>795</v>
      </c>
      <c r="R550" s="183"/>
      <c r="S550" s="271"/>
      <c r="T550" s="184"/>
      <c r="V550" s="280"/>
      <c r="W550" s="284" t="s">
        <v>711</v>
      </c>
      <c r="X550" s="176"/>
      <c r="Y550" s="284" t="s">
        <v>711</v>
      </c>
      <c r="Z550" s="284"/>
      <c r="AA550" s="176"/>
      <c r="AB550" s="177"/>
      <c r="AD550" s="281"/>
      <c r="AE550" s="281"/>
      <c r="AF550" s="176"/>
      <c r="AG550" s="176"/>
      <c r="AH550" s="177"/>
      <c r="AJ550" s="187"/>
      <c r="AK550" s="185"/>
      <c r="AL550" s="176"/>
      <c r="AM550" s="176"/>
      <c r="AN550" s="177"/>
      <c r="AP550" s="1552"/>
      <c r="AQ550" s="1555"/>
      <c r="AR550" s="1552"/>
      <c r="AS550" s="1555"/>
      <c r="AT550" s="1544"/>
      <c r="AU550" s="262" t="s">
        <v>701</v>
      </c>
      <c r="AV550" s="263">
        <v>2400</v>
      </c>
      <c r="AW550" s="264">
        <v>2600</v>
      </c>
      <c r="AX550" s="265">
        <v>1600</v>
      </c>
      <c r="AY550" s="266">
        <v>1600</v>
      </c>
      <c r="BA550" s="235" t="s">
        <v>673</v>
      </c>
      <c r="BC550" s="359"/>
      <c r="BE550" s="186"/>
      <c r="BF550" s="271"/>
      <c r="BG550" s="271"/>
      <c r="BH550" s="184"/>
      <c r="BJ550" s="253"/>
      <c r="BL550" s="272"/>
      <c r="BM550" s="273"/>
      <c r="BN550" s="273"/>
      <c r="BO550" s="274"/>
      <c r="BQ550" s="186"/>
      <c r="BR550" s="196"/>
      <c r="BS550" s="196"/>
      <c r="BT550" s="197"/>
      <c r="BV550" s="186"/>
      <c r="BW550" s="196"/>
      <c r="BX550" s="196"/>
      <c r="BY550" s="196"/>
      <c r="BZ550" s="197"/>
      <c r="CB550" s="186"/>
      <c r="CC550" s="196"/>
      <c r="CD550" s="196"/>
      <c r="CE550" s="196"/>
      <c r="CF550" s="197"/>
      <c r="CH550" s="198"/>
    </row>
    <row r="551" spans="1:86" ht="63">
      <c r="A551" s="1563"/>
      <c r="B551" s="168" t="s">
        <v>337</v>
      </c>
      <c r="C551" s="241" t="s">
        <v>313</v>
      </c>
      <c r="D551" s="177" t="s">
        <v>314</v>
      </c>
      <c r="F551" s="218">
        <v>34510</v>
      </c>
      <c r="G551" s="219">
        <v>41210</v>
      </c>
      <c r="H551" s="218">
        <v>30350</v>
      </c>
      <c r="I551" s="219">
        <v>37050</v>
      </c>
      <c r="J551" s="179" t="s">
        <v>182</v>
      </c>
      <c r="K551" s="220">
        <v>320</v>
      </c>
      <c r="L551" s="221">
        <v>380</v>
      </c>
      <c r="M551" s="222" t="s">
        <v>795</v>
      </c>
      <c r="N551" s="220">
        <v>280</v>
      </c>
      <c r="O551" s="221">
        <v>340</v>
      </c>
      <c r="P551" s="222" t="s">
        <v>795</v>
      </c>
      <c r="Q551" s="160" t="s">
        <v>182</v>
      </c>
      <c r="R551" s="275">
        <v>6700</v>
      </c>
      <c r="S551" s="276">
        <v>60</v>
      </c>
      <c r="T551" s="247" t="s">
        <v>184</v>
      </c>
      <c r="V551" s="182"/>
      <c r="W551" s="185">
        <v>476800</v>
      </c>
      <c r="X551" s="176"/>
      <c r="Y551" s="185">
        <v>4760</v>
      </c>
      <c r="Z551" s="176" t="s">
        <v>184</v>
      </c>
      <c r="AA551" s="176"/>
      <c r="AB551" s="177"/>
      <c r="AD551" s="281"/>
      <c r="AE551" s="281"/>
      <c r="AF551" s="176"/>
      <c r="AG551" s="176"/>
      <c r="AH551" s="177"/>
      <c r="AJ551" s="187" t="s">
        <v>213</v>
      </c>
      <c r="AK551" s="185"/>
      <c r="AL551" s="176" t="s">
        <v>182</v>
      </c>
      <c r="AM551" s="176">
        <v>20</v>
      </c>
      <c r="AN551" s="177" t="s">
        <v>316</v>
      </c>
      <c r="AO551" s="160" t="s">
        <v>182</v>
      </c>
      <c r="AP551" s="1550">
        <v>3100</v>
      </c>
      <c r="AQ551" s="1553">
        <v>3400</v>
      </c>
      <c r="AR551" s="1550">
        <v>2100</v>
      </c>
      <c r="AS551" s="1553">
        <v>2100</v>
      </c>
      <c r="AT551" s="1544" t="s">
        <v>664</v>
      </c>
      <c r="AU551" s="230" t="s">
        <v>697</v>
      </c>
      <c r="AV551" s="231">
        <v>6100</v>
      </c>
      <c r="AW551" s="232">
        <v>6800</v>
      </c>
      <c r="AX551" s="267">
        <v>4200</v>
      </c>
      <c r="AY551" s="252">
        <v>4200</v>
      </c>
      <c r="BA551" s="235">
        <v>3920</v>
      </c>
      <c r="BB551" s="160" t="s">
        <v>182</v>
      </c>
      <c r="BC551" s="1556">
        <v>4700</v>
      </c>
      <c r="BD551" s="160" t="s">
        <v>182</v>
      </c>
      <c r="BE551" s="187">
        <v>1900</v>
      </c>
      <c r="BF551" s="176" t="s">
        <v>182</v>
      </c>
      <c r="BG551" s="176">
        <v>10</v>
      </c>
      <c r="BH551" s="177" t="s">
        <v>184</v>
      </c>
      <c r="BJ551" s="253"/>
      <c r="BK551" s="160" t="s">
        <v>188</v>
      </c>
      <c r="BL551" s="193" t="s">
        <v>317</v>
      </c>
      <c r="BM551" s="194" t="s">
        <v>317</v>
      </c>
      <c r="BN551" s="194" t="s">
        <v>317</v>
      </c>
      <c r="BO551" s="195" t="s">
        <v>317</v>
      </c>
      <c r="BP551" s="160" t="s">
        <v>188</v>
      </c>
      <c r="BQ551" s="187"/>
      <c r="BR551" s="185"/>
      <c r="BS551" s="185"/>
      <c r="BT551" s="254"/>
      <c r="BU551" s="160" t="s">
        <v>188</v>
      </c>
      <c r="BV551" s="187"/>
      <c r="BW551" s="185"/>
      <c r="BX551" s="185"/>
      <c r="BY551" s="185"/>
      <c r="BZ551" s="254"/>
      <c r="CA551" s="160" t="s">
        <v>188</v>
      </c>
      <c r="CB551" s="187"/>
      <c r="CC551" s="185"/>
      <c r="CD551" s="185"/>
      <c r="CE551" s="185"/>
      <c r="CF551" s="254"/>
      <c r="CH551" s="253" t="s">
        <v>324</v>
      </c>
    </row>
    <row r="552" spans="1:86">
      <c r="A552" s="1563"/>
      <c r="B552" s="168"/>
      <c r="C552" s="241"/>
      <c r="D552" s="177" t="s">
        <v>318</v>
      </c>
      <c r="F552" s="242">
        <v>41210</v>
      </c>
      <c r="G552" s="243">
        <v>96410</v>
      </c>
      <c r="H552" s="242">
        <v>37050</v>
      </c>
      <c r="I552" s="243">
        <v>92250</v>
      </c>
      <c r="J552" s="179" t="s">
        <v>182</v>
      </c>
      <c r="K552" s="244">
        <v>380</v>
      </c>
      <c r="L552" s="245">
        <v>840</v>
      </c>
      <c r="M552" s="246" t="s">
        <v>795</v>
      </c>
      <c r="N552" s="244">
        <v>340</v>
      </c>
      <c r="O552" s="245">
        <v>800</v>
      </c>
      <c r="P552" s="246" t="s">
        <v>795</v>
      </c>
      <c r="Q552" s="160" t="s">
        <v>182</v>
      </c>
      <c r="R552" s="187">
        <v>6700</v>
      </c>
      <c r="S552" s="185">
        <v>60</v>
      </c>
      <c r="T552" s="247" t="s">
        <v>184</v>
      </c>
      <c r="V552" s="182"/>
      <c r="W552" s="185"/>
      <c r="X552" s="176"/>
      <c r="Y552" s="185"/>
      <c r="Z552" s="176"/>
      <c r="AA552" s="176"/>
      <c r="AB552" s="177"/>
      <c r="AD552" s="281"/>
      <c r="AE552" s="281"/>
      <c r="AF552" s="176"/>
      <c r="AG552" s="176"/>
      <c r="AH552" s="177"/>
      <c r="AJ552" s="187"/>
      <c r="AK552" s="185"/>
      <c r="AL552" s="176"/>
      <c r="AM552" s="176"/>
      <c r="AN552" s="177"/>
      <c r="AP552" s="1551"/>
      <c r="AQ552" s="1554"/>
      <c r="AR552" s="1551"/>
      <c r="AS552" s="1554"/>
      <c r="AT552" s="1544"/>
      <c r="AU552" s="172" t="s">
        <v>699</v>
      </c>
      <c r="AV552" s="249">
        <v>3300</v>
      </c>
      <c r="AW552" s="250">
        <v>3700</v>
      </c>
      <c r="AX552" s="267">
        <v>2300</v>
      </c>
      <c r="AY552" s="252">
        <v>2300</v>
      </c>
      <c r="BA552" s="277"/>
      <c r="BC552" s="1557"/>
      <c r="BE552" s="187"/>
      <c r="BF552" s="176"/>
      <c r="BG552" s="176"/>
      <c r="BH552" s="177"/>
      <c r="BJ552" s="253"/>
      <c r="BL552" s="193"/>
      <c r="BM552" s="194"/>
      <c r="BN552" s="194"/>
      <c r="BO552" s="195"/>
      <c r="BQ552" s="187">
        <v>1150</v>
      </c>
      <c r="BR552" s="185" t="s">
        <v>199</v>
      </c>
      <c r="BS552" s="185">
        <v>10</v>
      </c>
      <c r="BT552" s="254" t="s">
        <v>184</v>
      </c>
      <c r="BV552" s="187">
        <v>3650</v>
      </c>
      <c r="BW552" s="185" t="s">
        <v>189</v>
      </c>
      <c r="BX552" s="185">
        <v>30</v>
      </c>
      <c r="BY552" s="185" t="s">
        <v>184</v>
      </c>
      <c r="BZ552" s="254" t="s">
        <v>190</v>
      </c>
      <c r="CB552" s="187">
        <v>2190</v>
      </c>
      <c r="CC552" s="185" t="s">
        <v>189</v>
      </c>
      <c r="CD552" s="185">
        <v>20</v>
      </c>
      <c r="CE552" s="185" t="s">
        <v>184</v>
      </c>
      <c r="CF552" s="254" t="s">
        <v>190</v>
      </c>
      <c r="CH552" s="253"/>
    </row>
    <row r="553" spans="1:86">
      <c r="A553" s="1563"/>
      <c r="B553" s="168"/>
      <c r="C553" s="241" t="s">
        <v>319</v>
      </c>
      <c r="D553" s="177" t="s">
        <v>320</v>
      </c>
      <c r="F553" s="242">
        <v>96410</v>
      </c>
      <c r="G553" s="243">
        <v>163470</v>
      </c>
      <c r="H553" s="242">
        <v>92250</v>
      </c>
      <c r="I553" s="243">
        <v>159310</v>
      </c>
      <c r="J553" s="179" t="s">
        <v>182</v>
      </c>
      <c r="K553" s="244">
        <v>840</v>
      </c>
      <c r="L553" s="245">
        <v>1510</v>
      </c>
      <c r="M553" s="246" t="s">
        <v>795</v>
      </c>
      <c r="N553" s="244">
        <v>800</v>
      </c>
      <c r="O553" s="245">
        <v>1470</v>
      </c>
      <c r="P553" s="246" t="s">
        <v>795</v>
      </c>
      <c r="R553" s="182"/>
      <c r="S553" s="176"/>
      <c r="T553" s="177"/>
      <c r="V553" s="280"/>
      <c r="W553" s="284" t="s">
        <v>712</v>
      </c>
      <c r="X553" s="176"/>
      <c r="Y553" s="284" t="s">
        <v>712</v>
      </c>
      <c r="Z553" s="284"/>
      <c r="AA553" s="176"/>
      <c r="AB553" s="177"/>
      <c r="AD553" s="281"/>
      <c r="AE553" s="281"/>
      <c r="AF553" s="176"/>
      <c r="AG553" s="176"/>
      <c r="AH553" s="177"/>
      <c r="AJ553" s="187">
        <v>2750</v>
      </c>
      <c r="AK553" s="185" t="s">
        <v>321</v>
      </c>
      <c r="AL553" s="176"/>
      <c r="AM553" s="176"/>
      <c r="AN553" s="177"/>
      <c r="AP553" s="1551"/>
      <c r="AQ553" s="1554"/>
      <c r="AR553" s="1551"/>
      <c r="AS553" s="1554"/>
      <c r="AT553" s="1544"/>
      <c r="AU553" s="172" t="s">
        <v>700</v>
      </c>
      <c r="AV553" s="249">
        <v>2900</v>
      </c>
      <c r="AW553" s="250">
        <v>3200</v>
      </c>
      <c r="AX553" s="267">
        <v>2000</v>
      </c>
      <c r="AY553" s="252">
        <v>2000</v>
      </c>
      <c r="BA553" s="235" t="s">
        <v>674</v>
      </c>
      <c r="BC553" s="359"/>
      <c r="BE553" s="187"/>
      <c r="BF553" s="176"/>
      <c r="BG553" s="176"/>
      <c r="BH553" s="177"/>
      <c r="BJ553" s="253"/>
      <c r="BL553" s="193">
        <v>0.02</v>
      </c>
      <c r="BM553" s="194">
        <v>0.03</v>
      </c>
      <c r="BN553" s="194">
        <v>0.05</v>
      </c>
      <c r="BO553" s="195">
        <v>7.0000000000000007E-2</v>
      </c>
      <c r="BQ553" s="187"/>
      <c r="BR553" s="185"/>
      <c r="BS553" s="185"/>
      <c r="BT553" s="254"/>
      <c r="BV553" s="187"/>
      <c r="BW553" s="185"/>
      <c r="BX553" s="185"/>
      <c r="BY553" s="185"/>
      <c r="BZ553" s="254"/>
      <c r="CB553" s="187"/>
      <c r="CC553" s="185"/>
      <c r="CD553" s="185"/>
      <c r="CE553" s="185"/>
      <c r="CF553" s="254"/>
      <c r="CH553" s="253">
        <v>0.95</v>
      </c>
    </row>
    <row r="554" spans="1:86">
      <c r="A554" s="1563"/>
      <c r="B554" s="168"/>
      <c r="C554" s="241"/>
      <c r="D554" s="177" t="s">
        <v>322</v>
      </c>
      <c r="F554" s="256">
        <v>163470</v>
      </c>
      <c r="G554" s="257"/>
      <c r="H554" s="256">
        <v>159310</v>
      </c>
      <c r="I554" s="257"/>
      <c r="J554" s="179" t="s">
        <v>182</v>
      </c>
      <c r="K554" s="258">
        <v>1510</v>
      </c>
      <c r="L554" s="259"/>
      <c r="M554" s="260" t="s">
        <v>795</v>
      </c>
      <c r="N554" s="258">
        <v>1470</v>
      </c>
      <c r="O554" s="259"/>
      <c r="P554" s="260" t="s">
        <v>795</v>
      </c>
      <c r="R554" s="182"/>
      <c r="S554" s="176"/>
      <c r="T554" s="177"/>
      <c r="V554" s="182"/>
      <c r="W554" s="185">
        <v>509400</v>
      </c>
      <c r="X554" s="176"/>
      <c r="Y554" s="185">
        <v>5090</v>
      </c>
      <c r="Z554" s="176" t="s">
        <v>184</v>
      </c>
      <c r="AA554" s="176"/>
      <c r="AB554" s="177"/>
      <c r="AD554" s="281"/>
      <c r="AE554" s="281"/>
      <c r="AF554" s="176"/>
      <c r="AG554" s="176"/>
      <c r="AH554" s="177"/>
      <c r="AJ554" s="187"/>
      <c r="AK554" s="185"/>
      <c r="AL554" s="176"/>
      <c r="AM554" s="176"/>
      <c r="AN554" s="177"/>
      <c r="AP554" s="1552"/>
      <c r="AQ554" s="1555"/>
      <c r="AR554" s="1552"/>
      <c r="AS554" s="1555"/>
      <c r="AT554" s="1544"/>
      <c r="AU554" s="262" t="s">
        <v>701</v>
      </c>
      <c r="AV554" s="263">
        <v>2600</v>
      </c>
      <c r="AW554" s="264">
        <v>2900</v>
      </c>
      <c r="AX554" s="265">
        <v>1800</v>
      </c>
      <c r="AY554" s="266">
        <v>1800</v>
      </c>
      <c r="BA554" s="235">
        <v>3660</v>
      </c>
      <c r="BC554" s="359"/>
      <c r="BE554" s="187"/>
      <c r="BF554" s="176"/>
      <c r="BG554" s="176"/>
      <c r="BH554" s="177"/>
      <c r="BJ554" s="253"/>
      <c r="BL554" s="193"/>
      <c r="BM554" s="194"/>
      <c r="BN554" s="194"/>
      <c r="BO554" s="195"/>
      <c r="BQ554" s="187"/>
      <c r="BR554" s="185"/>
      <c r="BS554" s="185"/>
      <c r="BT554" s="254"/>
      <c r="BV554" s="187"/>
      <c r="BW554" s="185"/>
      <c r="BX554" s="185"/>
      <c r="BY554" s="185"/>
      <c r="BZ554" s="254"/>
      <c r="CB554" s="187"/>
      <c r="CC554" s="185"/>
      <c r="CD554" s="185"/>
      <c r="CE554" s="185"/>
      <c r="CF554" s="254"/>
      <c r="CH554" s="253"/>
    </row>
    <row r="555" spans="1:86" ht="63">
      <c r="A555" s="1563"/>
      <c r="B555" s="215" t="s">
        <v>338</v>
      </c>
      <c r="C555" s="216" t="s">
        <v>313</v>
      </c>
      <c r="D555" s="217" t="s">
        <v>314</v>
      </c>
      <c r="F555" s="218">
        <v>32970</v>
      </c>
      <c r="G555" s="219">
        <v>39670</v>
      </c>
      <c r="H555" s="218">
        <v>29150</v>
      </c>
      <c r="I555" s="219">
        <v>35850</v>
      </c>
      <c r="J555" s="179" t="s">
        <v>182</v>
      </c>
      <c r="K555" s="220">
        <v>310</v>
      </c>
      <c r="L555" s="221">
        <v>370</v>
      </c>
      <c r="M555" s="222" t="s">
        <v>795</v>
      </c>
      <c r="N555" s="220">
        <v>270</v>
      </c>
      <c r="O555" s="221">
        <v>330</v>
      </c>
      <c r="P555" s="222" t="s">
        <v>795</v>
      </c>
      <c r="Q555" s="160" t="s">
        <v>182</v>
      </c>
      <c r="R555" s="223">
        <v>6700</v>
      </c>
      <c r="S555" s="224">
        <v>60</v>
      </c>
      <c r="T555" s="225" t="s">
        <v>184</v>
      </c>
      <c r="V555" s="182"/>
      <c r="W555" s="185"/>
      <c r="X555" s="176"/>
      <c r="Y555" s="185"/>
      <c r="Z555" s="176"/>
      <c r="AA555" s="176"/>
      <c r="AB555" s="177"/>
      <c r="AD555" s="281"/>
      <c r="AE555" s="281"/>
      <c r="AF555" s="176"/>
      <c r="AG555" s="176"/>
      <c r="AH555" s="177"/>
      <c r="AJ555" s="187" t="s">
        <v>215</v>
      </c>
      <c r="AK555" s="185"/>
      <c r="AL555" s="176" t="s">
        <v>182</v>
      </c>
      <c r="AM555" s="176">
        <v>20</v>
      </c>
      <c r="AN555" s="177" t="s">
        <v>316</v>
      </c>
      <c r="AO555" s="160" t="s">
        <v>182</v>
      </c>
      <c r="AP555" s="1550">
        <v>2800</v>
      </c>
      <c r="AQ555" s="1553">
        <v>3100</v>
      </c>
      <c r="AR555" s="1550">
        <v>2000</v>
      </c>
      <c r="AS555" s="1553">
        <v>2000</v>
      </c>
      <c r="AT555" s="1544" t="s">
        <v>664</v>
      </c>
      <c r="AU555" s="230" t="s">
        <v>697</v>
      </c>
      <c r="AV555" s="231">
        <v>5500</v>
      </c>
      <c r="AW555" s="232">
        <v>6200</v>
      </c>
      <c r="AX555" s="267">
        <v>3900</v>
      </c>
      <c r="AY555" s="252">
        <v>3900</v>
      </c>
      <c r="BA555" s="277"/>
      <c r="BB555" s="160" t="s">
        <v>182</v>
      </c>
      <c r="BC555" s="1556">
        <v>4700</v>
      </c>
      <c r="BD555" s="160" t="s">
        <v>182</v>
      </c>
      <c r="BE555" s="228">
        <v>1740</v>
      </c>
      <c r="BF555" s="226" t="s">
        <v>182</v>
      </c>
      <c r="BG555" s="226">
        <v>10</v>
      </c>
      <c r="BH555" s="217" t="s">
        <v>184</v>
      </c>
      <c r="BJ555" s="253"/>
      <c r="BK555" s="160" t="s">
        <v>188</v>
      </c>
      <c r="BL555" s="237" t="s">
        <v>317</v>
      </c>
      <c r="BM555" s="238" t="s">
        <v>317</v>
      </c>
      <c r="BN555" s="238" t="s">
        <v>317</v>
      </c>
      <c r="BO555" s="239" t="s">
        <v>317</v>
      </c>
      <c r="BP555" s="160" t="s">
        <v>188</v>
      </c>
      <c r="BQ555" s="228"/>
      <c r="BR555" s="229"/>
      <c r="BS555" s="229"/>
      <c r="BT555" s="240"/>
      <c r="BU555" s="160" t="s">
        <v>188</v>
      </c>
      <c r="BV555" s="228"/>
      <c r="BW555" s="229"/>
      <c r="BX555" s="229"/>
      <c r="BY555" s="229"/>
      <c r="BZ555" s="240"/>
      <c r="CA555" s="160" t="s">
        <v>188</v>
      </c>
      <c r="CB555" s="228"/>
      <c r="CC555" s="229"/>
      <c r="CD555" s="229"/>
      <c r="CE555" s="229"/>
      <c r="CF555" s="240"/>
      <c r="CH555" s="236" t="s">
        <v>324</v>
      </c>
    </row>
    <row r="556" spans="1:86">
      <c r="A556" s="1563"/>
      <c r="B556" s="168"/>
      <c r="C556" s="241"/>
      <c r="D556" s="177" t="s">
        <v>318</v>
      </c>
      <c r="F556" s="242">
        <v>39670</v>
      </c>
      <c r="G556" s="243">
        <v>94870</v>
      </c>
      <c r="H556" s="242">
        <v>35850</v>
      </c>
      <c r="I556" s="243">
        <v>91050</v>
      </c>
      <c r="J556" s="179" t="s">
        <v>182</v>
      </c>
      <c r="K556" s="244">
        <v>370</v>
      </c>
      <c r="L556" s="245">
        <v>830</v>
      </c>
      <c r="M556" s="246" t="s">
        <v>795</v>
      </c>
      <c r="N556" s="244">
        <v>330</v>
      </c>
      <c r="O556" s="245">
        <v>790</v>
      </c>
      <c r="P556" s="246" t="s">
        <v>795</v>
      </c>
      <c r="Q556" s="160" t="s">
        <v>182</v>
      </c>
      <c r="R556" s="187">
        <v>6700</v>
      </c>
      <c r="S556" s="185">
        <v>60</v>
      </c>
      <c r="T556" s="247" t="s">
        <v>184</v>
      </c>
      <c r="V556" s="280"/>
      <c r="W556" s="284" t="s">
        <v>713</v>
      </c>
      <c r="X556" s="176"/>
      <c r="Y556" s="284" t="s">
        <v>713</v>
      </c>
      <c r="Z556" s="284"/>
      <c r="AA556" s="176"/>
      <c r="AB556" s="177"/>
      <c r="AD556" s="281"/>
      <c r="AE556" s="281"/>
      <c r="AF556" s="176"/>
      <c r="AG556" s="176"/>
      <c r="AH556" s="177"/>
      <c r="AJ556" s="187"/>
      <c r="AK556" s="185"/>
      <c r="AL556" s="176"/>
      <c r="AM556" s="176"/>
      <c r="AN556" s="177"/>
      <c r="AP556" s="1551"/>
      <c r="AQ556" s="1554"/>
      <c r="AR556" s="1551"/>
      <c r="AS556" s="1554"/>
      <c r="AT556" s="1544"/>
      <c r="AU556" s="172" t="s">
        <v>699</v>
      </c>
      <c r="AV556" s="249">
        <v>3000</v>
      </c>
      <c r="AW556" s="250">
        <v>3400</v>
      </c>
      <c r="AX556" s="267">
        <v>2100</v>
      </c>
      <c r="AY556" s="252">
        <v>2100</v>
      </c>
      <c r="BA556" s="235" t="s">
        <v>675</v>
      </c>
      <c r="BC556" s="1557"/>
      <c r="BE556" s="187"/>
      <c r="BF556" s="176"/>
      <c r="BG556" s="176"/>
      <c r="BH556" s="177"/>
      <c r="BJ556" s="253"/>
      <c r="BL556" s="193"/>
      <c r="BM556" s="194"/>
      <c r="BN556" s="194"/>
      <c r="BO556" s="195"/>
      <c r="BQ556" s="187">
        <v>1060</v>
      </c>
      <c r="BR556" s="185" t="s">
        <v>199</v>
      </c>
      <c r="BS556" s="185">
        <v>10</v>
      </c>
      <c r="BT556" s="254" t="s">
        <v>184</v>
      </c>
      <c r="BV556" s="187">
        <v>3350</v>
      </c>
      <c r="BW556" s="185" t="s">
        <v>189</v>
      </c>
      <c r="BX556" s="185">
        <v>30</v>
      </c>
      <c r="BY556" s="185" t="s">
        <v>184</v>
      </c>
      <c r="BZ556" s="254" t="s">
        <v>190</v>
      </c>
      <c r="CB556" s="187">
        <v>2000</v>
      </c>
      <c r="CC556" s="185" t="s">
        <v>189</v>
      </c>
      <c r="CD556" s="185">
        <v>20</v>
      </c>
      <c r="CE556" s="185" t="s">
        <v>184</v>
      </c>
      <c r="CF556" s="254" t="s">
        <v>190</v>
      </c>
      <c r="CH556" s="253"/>
    </row>
    <row r="557" spans="1:86">
      <c r="A557" s="1563"/>
      <c r="B557" s="168"/>
      <c r="C557" s="241" t="s">
        <v>319</v>
      </c>
      <c r="D557" s="177" t="s">
        <v>320</v>
      </c>
      <c r="F557" s="242">
        <v>94870</v>
      </c>
      <c r="G557" s="243">
        <v>161930</v>
      </c>
      <c r="H557" s="242">
        <v>91050</v>
      </c>
      <c r="I557" s="243">
        <v>158110</v>
      </c>
      <c r="J557" s="179" t="s">
        <v>182</v>
      </c>
      <c r="K557" s="244">
        <v>830</v>
      </c>
      <c r="L557" s="245">
        <v>1500</v>
      </c>
      <c r="M557" s="246" t="s">
        <v>795</v>
      </c>
      <c r="N557" s="244">
        <v>790</v>
      </c>
      <c r="O557" s="245">
        <v>1460</v>
      </c>
      <c r="P557" s="246" t="s">
        <v>795</v>
      </c>
      <c r="R557" s="182"/>
      <c r="S557" s="176"/>
      <c r="T557" s="177"/>
      <c r="V557" s="182"/>
      <c r="W557" s="185">
        <v>542100</v>
      </c>
      <c r="X557" s="176"/>
      <c r="Y557" s="185">
        <v>5420</v>
      </c>
      <c r="Z557" s="176" t="s">
        <v>184</v>
      </c>
      <c r="AA557" s="176"/>
      <c r="AB557" s="177"/>
      <c r="AD557" s="281"/>
      <c r="AE557" s="281"/>
      <c r="AF557" s="176"/>
      <c r="AG557" s="176"/>
      <c r="AH557" s="177"/>
      <c r="AJ557" s="187">
        <v>2290</v>
      </c>
      <c r="AK557" s="185" t="s">
        <v>321</v>
      </c>
      <c r="AL557" s="176"/>
      <c r="AM557" s="176"/>
      <c r="AN557" s="177"/>
      <c r="AP557" s="1551"/>
      <c r="AQ557" s="1554"/>
      <c r="AR557" s="1551"/>
      <c r="AS557" s="1554"/>
      <c r="AT557" s="1544"/>
      <c r="AU557" s="172" t="s">
        <v>700</v>
      </c>
      <c r="AV557" s="249">
        <v>2600</v>
      </c>
      <c r="AW557" s="250">
        <v>2900</v>
      </c>
      <c r="AX557" s="267">
        <v>1800</v>
      </c>
      <c r="AY557" s="252">
        <v>1800</v>
      </c>
      <c r="BA557" s="235">
        <v>3160</v>
      </c>
      <c r="BC557" s="359"/>
      <c r="BE557" s="187"/>
      <c r="BF557" s="176"/>
      <c r="BG557" s="176"/>
      <c r="BH557" s="177"/>
      <c r="BJ557" s="253"/>
      <c r="BL557" s="193">
        <v>0.02</v>
      </c>
      <c r="BM557" s="194">
        <v>0.03</v>
      </c>
      <c r="BN557" s="194">
        <v>0.05</v>
      </c>
      <c r="BO557" s="195">
        <v>7.0000000000000007E-2</v>
      </c>
      <c r="BQ557" s="187"/>
      <c r="BR557" s="185"/>
      <c r="BS557" s="185"/>
      <c r="BT557" s="254"/>
      <c r="BV557" s="187"/>
      <c r="BW557" s="185"/>
      <c r="BX557" s="185"/>
      <c r="BY557" s="185"/>
      <c r="BZ557" s="254"/>
      <c r="CB557" s="187"/>
      <c r="CC557" s="185"/>
      <c r="CD557" s="185"/>
      <c r="CE557" s="185"/>
      <c r="CF557" s="254"/>
      <c r="CH557" s="253">
        <v>0.95</v>
      </c>
    </row>
    <row r="558" spans="1:86">
      <c r="A558" s="1563"/>
      <c r="B558" s="269"/>
      <c r="C558" s="270"/>
      <c r="D558" s="184" t="s">
        <v>322</v>
      </c>
      <c r="F558" s="256">
        <v>161930</v>
      </c>
      <c r="G558" s="257"/>
      <c r="H558" s="256">
        <v>158110</v>
      </c>
      <c r="I558" s="257"/>
      <c r="J558" s="179" t="s">
        <v>182</v>
      </c>
      <c r="K558" s="258">
        <v>1500</v>
      </c>
      <c r="L558" s="259"/>
      <c r="M558" s="260" t="s">
        <v>795</v>
      </c>
      <c r="N558" s="258">
        <v>1460</v>
      </c>
      <c r="O558" s="259"/>
      <c r="P558" s="260" t="s">
        <v>795</v>
      </c>
      <c r="R558" s="183"/>
      <c r="S558" s="271"/>
      <c r="T558" s="184"/>
      <c r="V558" s="182"/>
      <c r="W558" s="185"/>
      <c r="X558" s="176"/>
      <c r="Y558" s="185"/>
      <c r="Z558" s="176"/>
      <c r="AA558" s="176"/>
      <c r="AB558" s="177"/>
      <c r="AD558" s="281"/>
      <c r="AE558" s="281"/>
      <c r="AF558" s="176"/>
      <c r="AG558" s="176"/>
      <c r="AH558" s="177"/>
      <c r="AJ558" s="187"/>
      <c r="AK558" s="185"/>
      <c r="AL558" s="176"/>
      <c r="AM558" s="176"/>
      <c r="AN558" s="177"/>
      <c r="AP558" s="1552"/>
      <c r="AQ558" s="1555"/>
      <c r="AR558" s="1552"/>
      <c r="AS558" s="1555"/>
      <c r="AT558" s="1544"/>
      <c r="AU558" s="262" t="s">
        <v>701</v>
      </c>
      <c r="AV558" s="263">
        <v>2400</v>
      </c>
      <c r="AW558" s="264">
        <v>2600</v>
      </c>
      <c r="AX558" s="265">
        <v>1600</v>
      </c>
      <c r="AY558" s="266">
        <v>1600</v>
      </c>
      <c r="BA558" s="277"/>
      <c r="BC558" s="359"/>
      <c r="BE558" s="186"/>
      <c r="BF558" s="271"/>
      <c r="BG558" s="271"/>
      <c r="BH558" s="184"/>
      <c r="BJ558" s="253"/>
      <c r="BL558" s="272"/>
      <c r="BM558" s="273"/>
      <c r="BN558" s="273"/>
      <c r="BO558" s="274"/>
      <c r="BQ558" s="186"/>
      <c r="BR558" s="196"/>
      <c r="BS558" s="196"/>
      <c r="BT558" s="197"/>
      <c r="BV558" s="186"/>
      <c r="BW558" s="196"/>
      <c r="BX558" s="196"/>
      <c r="BY558" s="196"/>
      <c r="BZ558" s="197"/>
      <c r="CB558" s="186"/>
      <c r="CC558" s="196"/>
      <c r="CD558" s="196"/>
      <c r="CE558" s="196"/>
      <c r="CF558" s="197"/>
      <c r="CH558" s="198"/>
    </row>
    <row r="559" spans="1:86" ht="63">
      <c r="A559" s="1563"/>
      <c r="B559" s="168" t="s">
        <v>339</v>
      </c>
      <c r="C559" s="241" t="s">
        <v>313</v>
      </c>
      <c r="D559" s="177" t="s">
        <v>314</v>
      </c>
      <c r="F559" s="218">
        <v>31660</v>
      </c>
      <c r="G559" s="219">
        <v>38360</v>
      </c>
      <c r="H559" s="218">
        <v>28140</v>
      </c>
      <c r="I559" s="219">
        <v>34840</v>
      </c>
      <c r="J559" s="179" t="s">
        <v>182</v>
      </c>
      <c r="K559" s="220">
        <v>290</v>
      </c>
      <c r="L559" s="221">
        <v>350</v>
      </c>
      <c r="M559" s="222" t="s">
        <v>795</v>
      </c>
      <c r="N559" s="220">
        <v>260</v>
      </c>
      <c r="O559" s="221">
        <v>320</v>
      </c>
      <c r="P559" s="222" t="s">
        <v>795</v>
      </c>
      <c r="Q559" s="160" t="s">
        <v>182</v>
      </c>
      <c r="R559" s="275">
        <v>6700</v>
      </c>
      <c r="S559" s="276">
        <v>60</v>
      </c>
      <c r="T559" s="247" t="s">
        <v>184</v>
      </c>
      <c r="V559" s="280"/>
      <c r="W559" s="284" t="s">
        <v>714</v>
      </c>
      <c r="X559" s="176"/>
      <c r="Y559" s="284" t="s">
        <v>714</v>
      </c>
      <c r="Z559" s="284"/>
      <c r="AA559" s="176"/>
      <c r="AB559" s="177"/>
      <c r="AD559" s="281"/>
      <c r="AE559" s="281"/>
      <c r="AF559" s="176"/>
      <c r="AG559" s="176"/>
      <c r="AH559" s="177"/>
      <c r="AJ559" s="187" t="s">
        <v>217</v>
      </c>
      <c r="AK559" s="185"/>
      <c r="AL559" s="176" t="s">
        <v>182</v>
      </c>
      <c r="AM559" s="176">
        <v>10</v>
      </c>
      <c r="AN559" s="177" t="s">
        <v>316</v>
      </c>
      <c r="AO559" s="160" t="s">
        <v>182</v>
      </c>
      <c r="AP559" s="1550">
        <v>2600</v>
      </c>
      <c r="AQ559" s="1553">
        <v>2900</v>
      </c>
      <c r="AR559" s="1550">
        <v>1800</v>
      </c>
      <c r="AS559" s="1553">
        <v>1800</v>
      </c>
      <c r="AT559" s="1544" t="s">
        <v>664</v>
      </c>
      <c r="AU559" s="230" t="s">
        <v>697</v>
      </c>
      <c r="AV559" s="231">
        <v>5100</v>
      </c>
      <c r="AW559" s="232">
        <v>5700</v>
      </c>
      <c r="AX559" s="267">
        <v>3500</v>
      </c>
      <c r="AY559" s="252">
        <v>3500</v>
      </c>
      <c r="BA559" s="235" t="s">
        <v>676</v>
      </c>
      <c r="BB559" s="160" t="s">
        <v>182</v>
      </c>
      <c r="BC559" s="1556">
        <v>4700</v>
      </c>
      <c r="BD559" s="160" t="s">
        <v>182</v>
      </c>
      <c r="BE559" s="187">
        <v>1610</v>
      </c>
      <c r="BF559" s="176" t="s">
        <v>182</v>
      </c>
      <c r="BG559" s="176">
        <v>10</v>
      </c>
      <c r="BH559" s="177" t="s">
        <v>184</v>
      </c>
      <c r="BJ559" s="253"/>
      <c r="BK559" s="160" t="s">
        <v>188</v>
      </c>
      <c r="BL559" s="193" t="s">
        <v>317</v>
      </c>
      <c r="BM559" s="194" t="s">
        <v>317</v>
      </c>
      <c r="BN559" s="194" t="s">
        <v>317</v>
      </c>
      <c r="BO559" s="195" t="s">
        <v>317</v>
      </c>
      <c r="BP559" s="160" t="s">
        <v>188</v>
      </c>
      <c r="BQ559" s="187"/>
      <c r="BR559" s="185"/>
      <c r="BS559" s="185"/>
      <c r="BT559" s="254"/>
      <c r="BU559" s="160" t="s">
        <v>188</v>
      </c>
      <c r="BV559" s="187"/>
      <c r="BW559" s="185"/>
      <c r="BX559" s="185"/>
      <c r="BY559" s="185"/>
      <c r="BZ559" s="254"/>
      <c r="CA559" s="160" t="s">
        <v>188</v>
      </c>
      <c r="CB559" s="187"/>
      <c r="CC559" s="185"/>
      <c r="CD559" s="185"/>
      <c r="CE559" s="185"/>
      <c r="CF559" s="254"/>
      <c r="CH559" s="253" t="s">
        <v>324</v>
      </c>
    </row>
    <row r="560" spans="1:86">
      <c r="A560" s="1563"/>
      <c r="B560" s="168"/>
      <c r="C560" s="241"/>
      <c r="D560" s="177" t="s">
        <v>318</v>
      </c>
      <c r="F560" s="242">
        <v>38360</v>
      </c>
      <c r="G560" s="243">
        <v>93560</v>
      </c>
      <c r="H560" s="242">
        <v>34840</v>
      </c>
      <c r="I560" s="243">
        <v>90040</v>
      </c>
      <c r="J560" s="179" t="s">
        <v>182</v>
      </c>
      <c r="K560" s="244">
        <v>350</v>
      </c>
      <c r="L560" s="245">
        <v>820</v>
      </c>
      <c r="M560" s="246" t="s">
        <v>795</v>
      </c>
      <c r="N560" s="244">
        <v>320</v>
      </c>
      <c r="O560" s="245">
        <v>780</v>
      </c>
      <c r="P560" s="246" t="s">
        <v>795</v>
      </c>
      <c r="Q560" s="160" t="s">
        <v>182</v>
      </c>
      <c r="R560" s="187">
        <v>6700</v>
      </c>
      <c r="S560" s="185">
        <v>60</v>
      </c>
      <c r="T560" s="247" t="s">
        <v>184</v>
      </c>
      <c r="V560" s="182"/>
      <c r="W560" s="185">
        <v>574800</v>
      </c>
      <c r="X560" s="176"/>
      <c r="Y560" s="185">
        <v>5740</v>
      </c>
      <c r="Z560" s="176" t="s">
        <v>184</v>
      </c>
      <c r="AA560" s="176"/>
      <c r="AB560" s="177"/>
      <c r="AD560" s="281"/>
      <c r="AE560" s="281"/>
      <c r="AF560" s="176"/>
      <c r="AG560" s="176"/>
      <c r="AH560" s="177"/>
      <c r="AJ560" s="187"/>
      <c r="AK560" s="185"/>
      <c r="AL560" s="176"/>
      <c r="AM560" s="176"/>
      <c r="AN560" s="177"/>
      <c r="AP560" s="1551"/>
      <c r="AQ560" s="1554"/>
      <c r="AR560" s="1551"/>
      <c r="AS560" s="1554"/>
      <c r="AT560" s="1544"/>
      <c r="AU560" s="172" t="s">
        <v>699</v>
      </c>
      <c r="AV560" s="249">
        <v>2800</v>
      </c>
      <c r="AW560" s="250">
        <v>3100</v>
      </c>
      <c r="AX560" s="267">
        <v>1900</v>
      </c>
      <c r="AY560" s="252">
        <v>1900</v>
      </c>
      <c r="BA560" s="235">
        <v>2810</v>
      </c>
      <c r="BC560" s="1557"/>
      <c r="BE560" s="187"/>
      <c r="BF560" s="176"/>
      <c r="BG560" s="176"/>
      <c r="BH560" s="177"/>
      <c r="BJ560" s="253"/>
      <c r="BL560" s="193"/>
      <c r="BM560" s="194"/>
      <c r="BN560" s="194"/>
      <c r="BO560" s="195"/>
      <c r="BQ560" s="187">
        <v>970</v>
      </c>
      <c r="BR560" s="185" t="s">
        <v>199</v>
      </c>
      <c r="BS560" s="185">
        <v>10</v>
      </c>
      <c r="BT560" s="254" t="s">
        <v>184</v>
      </c>
      <c r="BV560" s="187">
        <v>3090</v>
      </c>
      <c r="BW560" s="185" t="s">
        <v>189</v>
      </c>
      <c r="BX560" s="185">
        <v>30</v>
      </c>
      <c r="BY560" s="185" t="s">
        <v>184</v>
      </c>
      <c r="BZ560" s="254" t="s">
        <v>190</v>
      </c>
      <c r="CB560" s="187">
        <v>1850</v>
      </c>
      <c r="CC560" s="185" t="s">
        <v>189</v>
      </c>
      <c r="CD560" s="185">
        <v>10</v>
      </c>
      <c r="CE560" s="185" t="s">
        <v>184</v>
      </c>
      <c r="CF560" s="254" t="s">
        <v>190</v>
      </c>
      <c r="CH560" s="253"/>
    </row>
    <row r="561" spans="1:86">
      <c r="A561" s="1563"/>
      <c r="B561" s="168"/>
      <c r="C561" s="241" t="s">
        <v>319</v>
      </c>
      <c r="D561" s="177" t="s">
        <v>320</v>
      </c>
      <c r="F561" s="242">
        <v>93560</v>
      </c>
      <c r="G561" s="243">
        <v>160620</v>
      </c>
      <c r="H561" s="242">
        <v>90040</v>
      </c>
      <c r="I561" s="243">
        <v>157100</v>
      </c>
      <c r="J561" s="179" t="s">
        <v>182</v>
      </c>
      <c r="K561" s="244">
        <v>820</v>
      </c>
      <c r="L561" s="245">
        <v>1490</v>
      </c>
      <c r="M561" s="246" t="s">
        <v>795</v>
      </c>
      <c r="N561" s="244">
        <v>780</v>
      </c>
      <c r="O561" s="245">
        <v>1450</v>
      </c>
      <c r="P561" s="246" t="s">
        <v>795</v>
      </c>
      <c r="R561" s="182"/>
      <c r="S561" s="176"/>
      <c r="T561" s="177"/>
      <c r="V561" s="182"/>
      <c r="W561" s="185"/>
      <c r="X561" s="176"/>
      <c r="Y561" s="185"/>
      <c r="Z561" s="176"/>
      <c r="AA561" s="176"/>
      <c r="AB561" s="177"/>
      <c r="AD561" s="281"/>
      <c r="AE561" s="281"/>
      <c r="AF561" s="176"/>
      <c r="AG561" s="176"/>
      <c r="AH561" s="177"/>
      <c r="AJ561" s="187">
        <v>1960</v>
      </c>
      <c r="AK561" s="185" t="s">
        <v>321</v>
      </c>
      <c r="AL561" s="176"/>
      <c r="AM561" s="176"/>
      <c r="AN561" s="177"/>
      <c r="AP561" s="1551"/>
      <c r="AQ561" s="1554"/>
      <c r="AR561" s="1551"/>
      <c r="AS561" s="1554"/>
      <c r="AT561" s="1544"/>
      <c r="AU561" s="172" t="s">
        <v>700</v>
      </c>
      <c r="AV561" s="249">
        <v>2400</v>
      </c>
      <c r="AW561" s="250">
        <v>2700</v>
      </c>
      <c r="AX561" s="267">
        <v>1700</v>
      </c>
      <c r="AY561" s="252">
        <v>1700</v>
      </c>
      <c r="BA561" s="277"/>
      <c r="BC561" s="358"/>
      <c r="BE561" s="187"/>
      <c r="BF561" s="176"/>
      <c r="BG561" s="176"/>
      <c r="BH561" s="177"/>
      <c r="BJ561" s="253"/>
      <c r="BL561" s="193">
        <v>0.02</v>
      </c>
      <c r="BM561" s="194">
        <v>0.03</v>
      </c>
      <c r="BN561" s="194">
        <v>0.05</v>
      </c>
      <c r="BO561" s="195">
        <v>7.0000000000000007E-2</v>
      </c>
      <c r="BQ561" s="187"/>
      <c r="BR561" s="185"/>
      <c r="BS561" s="185"/>
      <c r="BT561" s="254"/>
      <c r="BV561" s="187"/>
      <c r="BW561" s="185"/>
      <c r="BX561" s="185"/>
      <c r="BY561" s="185"/>
      <c r="BZ561" s="254"/>
      <c r="CB561" s="187"/>
      <c r="CC561" s="185"/>
      <c r="CD561" s="185"/>
      <c r="CE561" s="185"/>
      <c r="CF561" s="254"/>
      <c r="CH561" s="253">
        <v>0.97</v>
      </c>
    </row>
    <row r="562" spans="1:86">
      <c r="A562" s="1563"/>
      <c r="B562" s="168"/>
      <c r="C562" s="241"/>
      <c r="D562" s="177" t="s">
        <v>322</v>
      </c>
      <c r="F562" s="256">
        <v>160620</v>
      </c>
      <c r="G562" s="257"/>
      <c r="H562" s="256">
        <v>157100</v>
      </c>
      <c r="I562" s="257"/>
      <c r="J562" s="179" t="s">
        <v>182</v>
      </c>
      <c r="K562" s="258">
        <v>1490</v>
      </c>
      <c r="L562" s="259"/>
      <c r="M562" s="260" t="s">
        <v>795</v>
      </c>
      <c r="N562" s="258">
        <v>1450</v>
      </c>
      <c r="O562" s="259"/>
      <c r="P562" s="260" t="s">
        <v>795</v>
      </c>
      <c r="R562" s="182"/>
      <c r="S562" s="176"/>
      <c r="T562" s="177"/>
      <c r="V562" s="280"/>
      <c r="W562" s="284" t="s">
        <v>715</v>
      </c>
      <c r="X562" s="176"/>
      <c r="Y562" s="284" t="s">
        <v>715</v>
      </c>
      <c r="Z562" s="284"/>
      <c r="AA562" s="176"/>
      <c r="AB562" s="177"/>
      <c r="AD562" s="281"/>
      <c r="AE562" s="281"/>
      <c r="AF562" s="176"/>
      <c r="AG562" s="176"/>
      <c r="AH562" s="177"/>
      <c r="AJ562" s="187"/>
      <c r="AK562" s="185"/>
      <c r="AL562" s="176"/>
      <c r="AM562" s="176"/>
      <c r="AN562" s="177"/>
      <c r="AP562" s="1552"/>
      <c r="AQ562" s="1555"/>
      <c r="AR562" s="1552"/>
      <c r="AS562" s="1555"/>
      <c r="AT562" s="1544"/>
      <c r="AU562" s="262" t="s">
        <v>701</v>
      </c>
      <c r="AV562" s="263">
        <v>2200</v>
      </c>
      <c r="AW562" s="264">
        <v>2400</v>
      </c>
      <c r="AX562" s="265">
        <v>1500</v>
      </c>
      <c r="AY562" s="266">
        <v>1500</v>
      </c>
      <c r="BA562" s="235" t="s">
        <v>677</v>
      </c>
      <c r="BC562" s="359"/>
      <c r="BE562" s="187"/>
      <c r="BF562" s="176"/>
      <c r="BG562" s="176"/>
      <c r="BH562" s="177"/>
      <c r="BJ562" s="253"/>
      <c r="BL562" s="193"/>
      <c r="BM562" s="194"/>
      <c r="BN562" s="194"/>
      <c r="BO562" s="195"/>
      <c r="BQ562" s="187"/>
      <c r="BR562" s="185"/>
      <c r="BS562" s="185"/>
      <c r="BT562" s="254"/>
      <c r="BV562" s="187"/>
      <c r="BW562" s="185"/>
      <c r="BX562" s="185"/>
      <c r="BY562" s="185"/>
      <c r="BZ562" s="254"/>
      <c r="CB562" s="187"/>
      <c r="CC562" s="185"/>
      <c r="CD562" s="185"/>
      <c r="CE562" s="185"/>
      <c r="CF562" s="254"/>
      <c r="CH562" s="253"/>
    </row>
    <row r="563" spans="1:86" ht="63">
      <c r="A563" s="1563"/>
      <c r="B563" s="215" t="s">
        <v>340</v>
      </c>
      <c r="C563" s="216" t="s">
        <v>313</v>
      </c>
      <c r="D563" s="217" t="s">
        <v>314</v>
      </c>
      <c r="F563" s="218">
        <v>30570</v>
      </c>
      <c r="G563" s="219">
        <v>37270</v>
      </c>
      <c r="H563" s="218">
        <v>27300</v>
      </c>
      <c r="I563" s="219">
        <v>34000</v>
      </c>
      <c r="J563" s="179" t="s">
        <v>182</v>
      </c>
      <c r="K563" s="220">
        <v>280</v>
      </c>
      <c r="L563" s="221">
        <v>340</v>
      </c>
      <c r="M563" s="222" t="s">
        <v>795</v>
      </c>
      <c r="N563" s="220">
        <v>250</v>
      </c>
      <c r="O563" s="221">
        <v>310</v>
      </c>
      <c r="P563" s="222" t="s">
        <v>795</v>
      </c>
      <c r="Q563" s="160" t="s">
        <v>182</v>
      </c>
      <c r="R563" s="223">
        <v>6700</v>
      </c>
      <c r="S563" s="224">
        <v>60</v>
      </c>
      <c r="T563" s="225" t="s">
        <v>184</v>
      </c>
      <c r="V563" s="182"/>
      <c r="W563" s="185">
        <v>607400</v>
      </c>
      <c r="X563" s="176"/>
      <c r="Y563" s="185">
        <v>6070</v>
      </c>
      <c r="Z563" s="176" t="s">
        <v>184</v>
      </c>
      <c r="AA563" s="176"/>
      <c r="AB563" s="177"/>
      <c r="AD563" s="281"/>
      <c r="AE563" s="281"/>
      <c r="AF563" s="176"/>
      <c r="AG563" s="176"/>
      <c r="AH563" s="177"/>
      <c r="AJ563" s="187" t="s">
        <v>219</v>
      </c>
      <c r="AK563" s="185"/>
      <c r="AL563" s="176" t="s">
        <v>182</v>
      </c>
      <c r="AM563" s="176">
        <v>10</v>
      </c>
      <c r="AN563" s="177" t="s">
        <v>316</v>
      </c>
      <c r="AO563" s="160" t="s">
        <v>182</v>
      </c>
      <c r="AP563" s="1550">
        <v>2800</v>
      </c>
      <c r="AQ563" s="1553">
        <v>3100</v>
      </c>
      <c r="AR563" s="1550">
        <v>1900</v>
      </c>
      <c r="AS563" s="1553">
        <v>1900</v>
      </c>
      <c r="AT563" s="1544" t="s">
        <v>664</v>
      </c>
      <c r="AU563" s="230" t="s">
        <v>697</v>
      </c>
      <c r="AV563" s="231">
        <v>5500</v>
      </c>
      <c r="AW563" s="232">
        <v>6200</v>
      </c>
      <c r="AX563" s="267">
        <v>3900</v>
      </c>
      <c r="AY563" s="252">
        <v>3900</v>
      </c>
      <c r="BA563" s="235">
        <v>2540</v>
      </c>
      <c r="BB563" s="160" t="s">
        <v>182</v>
      </c>
      <c r="BC563" s="1556">
        <v>4700</v>
      </c>
      <c r="BD563" s="160" t="s">
        <v>182</v>
      </c>
      <c r="BE563" s="228">
        <v>1500</v>
      </c>
      <c r="BF563" s="226" t="s">
        <v>182</v>
      </c>
      <c r="BG563" s="226">
        <v>10</v>
      </c>
      <c r="BH563" s="217" t="s">
        <v>184</v>
      </c>
      <c r="BJ563" s="253"/>
      <c r="BK563" s="160" t="s">
        <v>188</v>
      </c>
      <c r="BL563" s="237" t="s">
        <v>317</v>
      </c>
      <c r="BM563" s="238" t="s">
        <v>317</v>
      </c>
      <c r="BN563" s="238" t="s">
        <v>317</v>
      </c>
      <c r="BO563" s="239" t="s">
        <v>317</v>
      </c>
      <c r="BP563" s="160" t="s">
        <v>188</v>
      </c>
      <c r="BQ563" s="228"/>
      <c r="BR563" s="229"/>
      <c r="BS563" s="229"/>
      <c r="BT563" s="240"/>
      <c r="BU563" s="160" t="s">
        <v>188</v>
      </c>
      <c r="BV563" s="228"/>
      <c r="BW563" s="229"/>
      <c r="BX563" s="229"/>
      <c r="BY563" s="229"/>
      <c r="BZ563" s="240"/>
      <c r="CA563" s="160" t="s">
        <v>188</v>
      </c>
      <c r="CB563" s="228"/>
      <c r="CC563" s="229"/>
      <c r="CD563" s="229"/>
      <c r="CE563" s="229"/>
      <c r="CF563" s="240"/>
      <c r="CH563" s="236" t="s">
        <v>324</v>
      </c>
    </row>
    <row r="564" spans="1:86">
      <c r="A564" s="1563"/>
      <c r="B564" s="168"/>
      <c r="C564" s="241"/>
      <c r="D564" s="177" t="s">
        <v>318</v>
      </c>
      <c r="F564" s="242">
        <v>37270</v>
      </c>
      <c r="G564" s="243">
        <v>92470</v>
      </c>
      <c r="H564" s="242">
        <v>34000</v>
      </c>
      <c r="I564" s="243">
        <v>89200</v>
      </c>
      <c r="J564" s="179" t="s">
        <v>182</v>
      </c>
      <c r="K564" s="244">
        <v>340</v>
      </c>
      <c r="L564" s="245">
        <v>810</v>
      </c>
      <c r="M564" s="246" t="s">
        <v>795</v>
      </c>
      <c r="N564" s="244">
        <v>310</v>
      </c>
      <c r="O564" s="245">
        <v>770</v>
      </c>
      <c r="P564" s="246" t="s">
        <v>795</v>
      </c>
      <c r="Q564" s="160" t="s">
        <v>182</v>
      </c>
      <c r="R564" s="187">
        <v>6700</v>
      </c>
      <c r="S564" s="185">
        <v>60</v>
      </c>
      <c r="T564" s="247" t="s">
        <v>184</v>
      </c>
      <c r="V564" s="182"/>
      <c r="W564" s="185"/>
      <c r="X564" s="176"/>
      <c r="Y564" s="185"/>
      <c r="Z564" s="176"/>
      <c r="AA564" s="176"/>
      <c r="AB564" s="177"/>
      <c r="AD564" s="281"/>
      <c r="AE564" s="281"/>
      <c r="AF564" s="176"/>
      <c r="AG564" s="176"/>
      <c r="AH564" s="177"/>
      <c r="AJ564" s="187"/>
      <c r="AK564" s="185"/>
      <c r="AL564" s="176"/>
      <c r="AM564" s="176"/>
      <c r="AN564" s="177"/>
      <c r="AP564" s="1551"/>
      <c r="AQ564" s="1554"/>
      <c r="AR564" s="1551"/>
      <c r="AS564" s="1554"/>
      <c r="AT564" s="1544"/>
      <c r="AU564" s="172" t="s">
        <v>699</v>
      </c>
      <c r="AV564" s="249">
        <v>3000</v>
      </c>
      <c r="AW564" s="250">
        <v>3400</v>
      </c>
      <c r="AX564" s="267">
        <v>2100</v>
      </c>
      <c r="AY564" s="252">
        <v>2100</v>
      </c>
      <c r="BA564" s="277"/>
      <c r="BC564" s="1557"/>
      <c r="BE564" s="187"/>
      <c r="BF564" s="176"/>
      <c r="BG564" s="176"/>
      <c r="BH564" s="177"/>
      <c r="BJ564" s="253"/>
      <c r="BL564" s="193"/>
      <c r="BM564" s="194"/>
      <c r="BN564" s="194"/>
      <c r="BO564" s="195"/>
      <c r="BQ564" s="187">
        <v>900</v>
      </c>
      <c r="BR564" s="185" t="s">
        <v>199</v>
      </c>
      <c r="BS564" s="185">
        <v>9</v>
      </c>
      <c r="BT564" s="254" t="s">
        <v>184</v>
      </c>
      <c r="BV564" s="187">
        <v>2870</v>
      </c>
      <c r="BW564" s="185" t="s">
        <v>189</v>
      </c>
      <c r="BX564" s="185">
        <v>20</v>
      </c>
      <c r="BY564" s="185" t="s">
        <v>184</v>
      </c>
      <c r="BZ564" s="254" t="s">
        <v>190</v>
      </c>
      <c r="CB564" s="187">
        <v>1720</v>
      </c>
      <c r="CC564" s="185" t="s">
        <v>189</v>
      </c>
      <c r="CD564" s="185">
        <v>10</v>
      </c>
      <c r="CE564" s="185" t="s">
        <v>184</v>
      </c>
      <c r="CF564" s="254" t="s">
        <v>190</v>
      </c>
      <c r="CH564" s="253"/>
    </row>
    <row r="565" spans="1:86">
      <c r="A565" s="1563"/>
      <c r="B565" s="168"/>
      <c r="C565" s="241" t="s">
        <v>319</v>
      </c>
      <c r="D565" s="177" t="s">
        <v>320</v>
      </c>
      <c r="F565" s="242">
        <v>92470</v>
      </c>
      <c r="G565" s="243">
        <v>159530</v>
      </c>
      <c r="H565" s="242">
        <v>89200</v>
      </c>
      <c r="I565" s="243">
        <v>156260</v>
      </c>
      <c r="J565" s="179" t="s">
        <v>182</v>
      </c>
      <c r="K565" s="244">
        <v>810</v>
      </c>
      <c r="L565" s="245">
        <v>1480</v>
      </c>
      <c r="M565" s="246" t="s">
        <v>795</v>
      </c>
      <c r="N565" s="244">
        <v>770</v>
      </c>
      <c r="O565" s="245">
        <v>1440</v>
      </c>
      <c r="P565" s="246" t="s">
        <v>795</v>
      </c>
      <c r="R565" s="182"/>
      <c r="S565" s="176"/>
      <c r="T565" s="177"/>
      <c r="V565" s="280"/>
      <c r="W565" s="284" t="s">
        <v>716</v>
      </c>
      <c r="X565" s="176"/>
      <c r="Y565" s="284" t="s">
        <v>716</v>
      </c>
      <c r="Z565" s="284"/>
      <c r="AA565" s="176"/>
      <c r="AB565" s="177"/>
      <c r="AD565" s="281"/>
      <c r="AE565" s="281"/>
      <c r="AF565" s="176"/>
      <c r="AG565" s="176"/>
      <c r="AH565" s="177"/>
      <c r="AJ565" s="187">
        <v>1720</v>
      </c>
      <c r="AK565" s="185" t="s">
        <v>321</v>
      </c>
      <c r="AL565" s="176"/>
      <c r="AM565" s="176"/>
      <c r="AN565" s="177"/>
      <c r="AP565" s="1551"/>
      <c r="AQ565" s="1554"/>
      <c r="AR565" s="1551"/>
      <c r="AS565" s="1554"/>
      <c r="AT565" s="1544"/>
      <c r="AU565" s="172" t="s">
        <v>700</v>
      </c>
      <c r="AV565" s="249">
        <v>2600</v>
      </c>
      <c r="AW565" s="250">
        <v>2900</v>
      </c>
      <c r="AX565" s="267">
        <v>1800</v>
      </c>
      <c r="AY565" s="252">
        <v>1800</v>
      </c>
      <c r="BA565" s="235" t="s">
        <v>678</v>
      </c>
      <c r="BC565" s="359"/>
      <c r="BE565" s="187"/>
      <c r="BF565" s="176"/>
      <c r="BG565" s="176"/>
      <c r="BH565" s="177"/>
      <c r="BJ565" s="253"/>
      <c r="BL565" s="193">
        <v>0.02</v>
      </c>
      <c r="BM565" s="194">
        <v>0.03</v>
      </c>
      <c r="BN565" s="194">
        <v>0.05</v>
      </c>
      <c r="BO565" s="195">
        <v>7.0000000000000007E-2</v>
      </c>
      <c r="BQ565" s="187"/>
      <c r="BR565" s="185"/>
      <c r="BS565" s="185"/>
      <c r="BT565" s="254"/>
      <c r="BV565" s="187"/>
      <c r="BW565" s="185"/>
      <c r="BX565" s="185"/>
      <c r="BY565" s="185"/>
      <c r="BZ565" s="254"/>
      <c r="CB565" s="187"/>
      <c r="CC565" s="185"/>
      <c r="CD565" s="185"/>
      <c r="CE565" s="185"/>
      <c r="CF565" s="254"/>
      <c r="CH565" s="253">
        <v>0.98</v>
      </c>
    </row>
    <row r="566" spans="1:86">
      <c r="A566" s="1563"/>
      <c r="B566" s="269"/>
      <c r="C566" s="270"/>
      <c r="D566" s="184" t="s">
        <v>322</v>
      </c>
      <c r="F566" s="256">
        <v>159530</v>
      </c>
      <c r="G566" s="257"/>
      <c r="H566" s="256">
        <v>156260</v>
      </c>
      <c r="I566" s="257"/>
      <c r="J566" s="179" t="s">
        <v>182</v>
      </c>
      <c r="K566" s="258">
        <v>1480</v>
      </c>
      <c r="L566" s="259"/>
      <c r="M566" s="260" t="s">
        <v>795</v>
      </c>
      <c r="N566" s="258">
        <v>1440</v>
      </c>
      <c r="O566" s="259"/>
      <c r="P566" s="260" t="s">
        <v>795</v>
      </c>
      <c r="R566" s="183"/>
      <c r="S566" s="271"/>
      <c r="T566" s="184"/>
      <c r="V566" s="182"/>
      <c r="W566" s="185">
        <v>640100</v>
      </c>
      <c r="X566" s="176"/>
      <c r="Y566" s="185">
        <v>6400</v>
      </c>
      <c r="Z566" s="176" t="s">
        <v>184</v>
      </c>
      <c r="AA566" s="176"/>
      <c r="AB566" s="177"/>
      <c r="AD566" s="281"/>
      <c r="AE566" s="281"/>
      <c r="AF566" s="176"/>
      <c r="AG566" s="176"/>
      <c r="AH566" s="177"/>
      <c r="AJ566" s="187"/>
      <c r="AK566" s="185"/>
      <c r="AL566" s="176"/>
      <c r="AM566" s="176"/>
      <c r="AN566" s="177"/>
      <c r="AP566" s="1552"/>
      <c r="AQ566" s="1555"/>
      <c r="AR566" s="1552"/>
      <c r="AS566" s="1555"/>
      <c r="AT566" s="1544"/>
      <c r="AU566" s="262" t="s">
        <v>701</v>
      </c>
      <c r="AV566" s="263">
        <v>2400</v>
      </c>
      <c r="AW566" s="264">
        <v>2600</v>
      </c>
      <c r="AX566" s="265">
        <v>1600</v>
      </c>
      <c r="AY566" s="266">
        <v>1600</v>
      </c>
      <c r="BA566" s="235">
        <v>2440</v>
      </c>
      <c r="BC566" s="359"/>
      <c r="BE566" s="186"/>
      <c r="BF566" s="271"/>
      <c r="BG566" s="271"/>
      <c r="BH566" s="184"/>
      <c r="BJ566" s="253"/>
      <c r="BL566" s="272"/>
      <c r="BM566" s="273"/>
      <c r="BN566" s="273"/>
      <c r="BO566" s="274"/>
      <c r="BQ566" s="186"/>
      <c r="BR566" s="196"/>
      <c r="BS566" s="196"/>
      <c r="BT566" s="197"/>
      <c r="BV566" s="186"/>
      <c r="BW566" s="196"/>
      <c r="BX566" s="196"/>
      <c r="BY566" s="196"/>
      <c r="BZ566" s="197"/>
      <c r="CB566" s="186"/>
      <c r="CC566" s="196"/>
      <c r="CD566" s="196"/>
      <c r="CE566" s="196"/>
      <c r="CF566" s="197"/>
      <c r="CH566" s="198"/>
    </row>
    <row r="567" spans="1:86" ht="63">
      <c r="A567" s="1563"/>
      <c r="B567" s="168" t="s">
        <v>341</v>
      </c>
      <c r="C567" s="241" t="s">
        <v>313</v>
      </c>
      <c r="D567" s="177" t="s">
        <v>314</v>
      </c>
      <c r="F567" s="218">
        <v>29600</v>
      </c>
      <c r="G567" s="219">
        <v>36300</v>
      </c>
      <c r="H567" s="218">
        <v>26550</v>
      </c>
      <c r="I567" s="219">
        <v>33250</v>
      </c>
      <c r="J567" s="179" t="s">
        <v>182</v>
      </c>
      <c r="K567" s="220">
        <v>270</v>
      </c>
      <c r="L567" s="221">
        <v>330</v>
      </c>
      <c r="M567" s="222" t="s">
        <v>795</v>
      </c>
      <c r="N567" s="220">
        <v>240</v>
      </c>
      <c r="O567" s="221">
        <v>300</v>
      </c>
      <c r="P567" s="222" t="s">
        <v>795</v>
      </c>
      <c r="Q567" s="160" t="s">
        <v>182</v>
      </c>
      <c r="R567" s="275">
        <v>6700</v>
      </c>
      <c r="S567" s="276">
        <v>60</v>
      </c>
      <c r="T567" s="247" t="s">
        <v>184</v>
      </c>
      <c r="V567" s="182"/>
      <c r="W567" s="185"/>
      <c r="X567" s="176"/>
      <c r="Y567" s="185"/>
      <c r="Z567" s="176"/>
      <c r="AA567" s="176"/>
      <c r="AB567" s="177"/>
      <c r="AD567" s="281"/>
      <c r="AE567" s="281"/>
      <c r="AF567" s="176"/>
      <c r="AG567" s="176"/>
      <c r="AH567" s="177"/>
      <c r="AJ567" s="187" t="s">
        <v>221</v>
      </c>
      <c r="AK567" s="185"/>
      <c r="AL567" s="176" t="s">
        <v>182</v>
      </c>
      <c r="AM567" s="176">
        <v>10</v>
      </c>
      <c r="AN567" s="177" t="s">
        <v>316</v>
      </c>
      <c r="AO567" s="160" t="s">
        <v>182</v>
      </c>
      <c r="AP567" s="1550">
        <v>2600</v>
      </c>
      <c r="AQ567" s="1553">
        <v>2900</v>
      </c>
      <c r="AR567" s="1550">
        <v>1800</v>
      </c>
      <c r="AS567" s="1553">
        <v>1800</v>
      </c>
      <c r="AT567" s="1544" t="s">
        <v>664</v>
      </c>
      <c r="AU567" s="230" t="s">
        <v>697</v>
      </c>
      <c r="AV567" s="231">
        <v>5400</v>
      </c>
      <c r="AW567" s="232">
        <v>6000</v>
      </c>
      <c r="AX567" s="267">
        <v>3700</v>
      </c>
      <c r="AY567" s="252">
        <v>3700</v>
      </c>
      <c r="BA567" s="235"/>
      <c r="BB567" s="160" t="s">
        <v>182</v>
      </c>
      <c r="BC567" s="1556">
        <v>4700</v>
      </c>
      <c r="BD567" s="160" t="s">
        <v>182</v>
      </c>
      <c r="BE567" s="187">
        <v>1400</v>
      </c>
      <c r="BF567" s="176" t="s">
        <v>182</v>
      </c>
      <c r="BG567" s="176">
        <v>10</v>
      </c>
      <c r="BH567" s="177" t="s">
        <v>184</v>
      </c>
      <c r="BJ567" s="253"/>
      <c r="BK567" s="160" t="s">
        <v>188</v>
      </c>
      <c r="BL567" s="193" t="s">
        <v>317</v>
      </c>
      <c r="BM567" s="194" t="s">
        <v>317</v>
      </c>
      <c r="BN567" s="194" t="s">
        <v>317</v>
      </c>
      <c r="BO567" s="195" t="s">
        <v>317</v>
      </c>
      <c r="BP567" s="160" t="s">
        <v>188</v>
      </c>
      <c r="BQ567" s="187"/>
      <c r="BR567" s="185"/>
      <c r="BS567" s="185"/>
      <c r="BT567" s="254"/>
      <c r="BU567" s="160" t="s">
        <v>188</v>
      </c>
      <c r="BV567" s="187"/>
      <c r="BW567" s="185"/>
      <c r="BX567" s="185"/>
      <c r="BY567" s="185"/>
      <c r="BZ567" s="254"/>
      <c r="CA567" s="160" t="s">
        <v>188</v>
      </c>
      <c r="CB567" s="187"/>
      <c r="CC567" s="185"/>
      <c r="CD567" s="185"/>
      <c r="CE567" s="185"/>
      <c r="CF567" s="254"/>
      <c r="CH567" s="253" t="s">
        <v>324</v>
      </c>
    </row>
    <row r="568" spans="1:86">
      <c r="A568" s="1563"/>
      <c r="B568" s="168"/>
      <c r="C568" s="241"/>
      <c r="D568" s="177" t="s">
        <v>318</v>
      </c>
      <c r="F568" s="242">
        <v>36300</v>
      </c>
      <c r="G568" s="243">
        <v>91500</v>
      </c>
      <c r="H568" s="242">
        <v>33250</v>
      </c>
      <c r="I568" s="243">
        <v>88450</v>
      </c>
      <c r="J568" s="179" t="s">
        <v>182</v>
      </c>
      <c r="K568" s="244">
        <v>330</v>
      </c>
      <c r="L568" s="245">
        <v>800</v>
      </c>
      <c r="M568" s="246" t="s">
        <v>795</v>
      </c>
      <c r="N568" s="244">
        <v>300</v>
      </c>
      <c r="O568" s="245">
        <v>770</v>
      </c>
      <c r="P568" s="246" t="s">
        <v>795</v>
      </c>
      <c r="Q568" s="160" t="s">
        <v>182</v>
      </c>
      <c r="R568" s="187">
        <v>6700</v>
      </c>
      <c r="S568" s="185">
        <v>60</v>
      </c>
      <c r="T568" s="247" t="s">
        <v>184</v>
      </c>
      <c r="V568" s="182"/>
      <c r="W568" s="185"/>
      <c r="X568" s="176"/>
      <c r="Y568" s="185"/>
      <c r="Z568" s="176"/>
      <c r="AA568" s="176"/>
      <c r="AB568" s="177"/>
      <c r="AD568" s="281"/>
      <c r="AE568" s="281"/>
      <c r="AF568" s="176"/>
      <c r="AG568" s="176"/>
      <c r="AH568" s="177"/>
      <c r="AJ568" s="187"/>
      <c r="AK568" s="185"/>
      <c r="AL568" s="176"/>
      <c r="AM568" s="176"/>
      <c r="AN568" s="177"/>
      <c r="AP568" s="1551"/>
      <c r="AQ568" s="1554"/>
      <c r="AR568" s="1551"/>
      <c r="AS568" s="1554"/>
      <c r="AT568" s="1544"/>
      <c r="AU568" s="172" t="s">
        <v>699</v>
      </c>
      <c r="AV568" s="249">
        <v>2900</v>
      </c>
      <c r="AW568" s="250">
        <v>3300</v>
      </c>
      <c r="AX568" s="267">
        <v>2000</v>
      </c>
      <c r="AY568" s="252">
        <v>2000</v>
      </c>
      <c r="BA568" s="235" t="s">
        <v>679</v>
      </c>
      <c r="BC568" s="1557"/>
      <c r="BE568" s="187"/>
      <c r="BF568" s="176"/>
      <c r="BG568" s="176"/>
      <c r="BH568" s="177"/>
      <c r="BJ568" s="253"/>
      <c r="BL568" s="193"/>
      <c r="BM568" s="194"/>
      <c r="BN568" s="194"/>
      <c r="BO568" s="195"/>
      <c r="BQ568" s="187">
        <v>840</v>
      </c>
      <c r="BR568" s="185" t="s">
        <v>199</v>
      </c>
      <c r="BS568" s="185">
        <v>8</v>
      </c>
      <c r="BT568" s="254" t="s">
        <v>184</v>
      </c>
      <c r="BV568" s="187">
        <v>2680</v>
      </c>
      <c r="BW568" s="185" t="s">
        <v>189</v>
      </c>
      <c r="BX568" s="185">
        <v>20</v>
      </c>
      <c r="BY568" s="185" t="s">
        <v>184</v>
      </c>
      <c r="BZ568" s="254" t="s">
        <v>190</v>
      </c>
      <c r="CB568" s="187">
        <v>1600</v>
      </c>
      <c r="CC568" s="185" t="s">
        <v>189</v>
      </c>
      <c r="CD568" s="185">
        <v>10</v>
      </c>
      <c r="CE568" s="185" t="s">
        <v>184</v>
      </c>
      <c r="CF568" s="254" t="s">
        <v>190</v>
      </c>
      <c r="CH568" s="253"/>
    </row>
    <row r="569" spans="1:86">
      <c r="A569" s="1563"/>
      <c r="B569" s="168"/>
      <c r="C569" s="241" t="s">
        <v>319</v>
      </c>
      <c r="D569" s="177" t="s">
        <v>320</v>
      </c>
      <c r="F569" s="242">
        <v>91500</v>
      </c>
      <c r="G569" s="243">
        <v>158560</v>
      </c>
      <c r="H569" s="242">
        <v>88450</v>
      </c>
      <c r="I569" s="243">
        <v>155510</v>
      </c>
      <c r="J569" s="179" t="s">
        <v>182</v>
      </c>
      <c r="K569" s="244">
        <v>800</v>
      </c>
      <c r="L569" s="245">
        <v>1470</v>
      </c>
      <c r="M569" s="246" t="s">
        <v>795</v>
      </c>
      <c r="N569" s="244">
        <v>770</v>
      </c>
      <c r="O569" s="245">
        <v>1440</v>
      </c>
      <c r="P569" s="246" t="s">
        <v>795</v>
      </c>
      <c r="R569" s="182"/>
      <c r="S569" s="176"/>
      <c r="T569" s="177"/>
      <c r="V569" s="182"/>
      <c r="W569" s="185"/>
      <c r="X569" s="176"/>
      <c r="Y569" s="185"/>
      <c r="Z569" s="176"/>
      <c r="AA569" s="176"/>
      <c r="AB569" s="177"/>
      <c r="AD569" s="281"/>
      <c r="AE569" s="281"/>
      <c r="AF569" s="176"/>
      <c r="AG569" s="176"/>
      <c r="AH569" s="177"/>
      <c r="AJ569" s="187">
        <v>1530</v>
      </c>
      <c r="AK569" s="185" t="s">
        <v>321</v>
      </c>
      <c r="AL569" s="176"/>
      <c r="AM569" s="176"/>
      <c r="AN569" s="177"/>
      <c r="AP569" s="1551"/>
      <c r="AQ569" s="1554"/>
      <c r="AR569" s="1551"/>
      <c r="AS569" s="1554"/>
      <c r="AT569" s="1544"/>
      <c r="AU569" s="172" t="s">
        <v>700</v>
      </c>
      <c r="AV569" s="249">
        <v>2500</v>
      </c>
      <c r="AW569" s="250">
        <v>2800</v>
      </c>
      <c r="AX569" s="267">
        <v>1800</v>
      </c>
      <c r="AY569" s="252">
        <v>1800</v>
      </c>
      <c r="BA569" s="235">
        <v>2360</v>
      </c>
      <c r="BC569" s="359"/>
      <c r="BE569" s="187"/>
      <c r="BF569" s="176"/>
      <c r="BG569" s="176"/>
      <c r="BH569" s="177"/>
      <c r="BJ569" s="253"/>
      <c r="BL569" s="193">
        <v>0.02</v>
      </c>
      <c r="BM569" s="194">
        <v>0.03</v>
      </c>
      <c r="BN569" s="194">
        <v>0.05</v>
      </c>
      <c r="BO569" s="195">
        <v>7.0000000000000007E-2</v>
      </c>
      <c r="BQ569" s="187"/>
      <c r="BR569" s="185"/>
      <c r="BS569" s="185"/>
      <c r="BT569" s="254"/>
      <c r="BV569" s="187"/>
      <c r="BW569" s="185"/>
      <c r="BX569" s="185"/>
      <c r="BY569" s="185"/>
      <c r="BZ569" s="254"/>
      <c r="CB569" s="187"/>
      <c r="CC569" s="185"/>
      <c r="CD569" s="185"/>
      <c r="CE569" s="185"/>
      <c r="CF569" s="254"/>
      <c r="CH569" s="253">
        <v>0.98</v>
      </c>
    </row>
    <row r="570" spans="1:86">
      <c r="A570" s="1563"/>
      <c r="B570" s="168"/>
      <c r="C570" s="241"/>
      <c r="D570" s="177" t="s">
        <v>322</v>
      </c>
      <c r="F570" s="256">
        <v>158560</v>
      </c>
      <c r="G570" s="257"/>
      <c r="H570" s="256">
        <v>155510</v>
      </c>
      <c r="I570" s="257"/>
      <c r="J570" s="179" t="s">
        <v>182</v>
      </c>
      <c r="K570" s="258">
        <v>1470</v>
      </c>
      <c r="L570" s="259"/>
      <c r="M570" s="260" t="s">
        <v>795</v>
      </c>
      <c r="N570" s="258">
        <v>1440</v>
      </c>
      <c r="O570" s="259"/>
      <c r="P570" s="260" t="s">
        <v>795</v>
      </c>
      <c r="R570" s="182"/>
      <c r="S570" s="176"/>
      <c r="T570" s="177"/>
      <c r="V570" s="182"/>
      <c r="W570" s="185"/>
      <c r="X570" s="176"/>
      <c r="Y570" s="185"/>
      <c r="Z570" s="176"/>
      <c r="AA570" s="176"/>
      <c r="AB570" s="177"/>
      <c r="AD570" s="281"/>
      <c r="AE570" s="281"/>
      <c r="AF570" s="176"/>
      <c r="AG570" s="176"/>
      <c r="AH570" s="177"/>
      <c r="AJ570" s="187"/>
      <c r="AK570" s="185"/>
      <c r="AL570" s="176"/>
      <c r="AM570" s="176"/>
      <c r="AN570" s="177"/>
      <c r="AP570" s="1552"/>
      <c r="AQ570" s="1555"/>
      <c r="AR570" s="1552"/>
      <c r="AS570" s="1555"/>
      <c r="AT570" s="1544"/>
      <c r="AU570" s="262" t="s">
        <v>701</v>
      </c>
      <c r="AV570" s="263">
        <v>2300</v>
      </c>
      <c r="AW570" s="264">
        <v>2500</v>
      </c>
      <c r="AX570" s="265">
        <v>1600</v>
      </c>
      <c r="AY570" s="266">
        <v>1600</v>
      </c>
      <c r="BA570" s="235"/>
      <c r="BC570" s="359"/>
      <c r="BE570" s="187"/>
      <c r="BF570" s="176"/>
      <c r="BG570" s="176"/>
      <c r="BH570" s="177"/>
      <c r="BJ570" s="253"/>
      <c r="BL570" s="193"/>
      <c r="BM570" s="194"/>
      <c r="BN570" s="194"/>
      <c r="BO570" s="195"/>
      <c r="BQ570" s="187"/>
      <c r="BR570" s="185"/>
      <c r="BS570" s="185"/>
      <c r="BT570" s="254"/>
      <c r="BV570" s="187"/>
      <c r="BW570" s="185"/>
      <c r="BX570" s="185"/>
      <c r="BY570" s="185"/>
      <c r="BZ570" s="254"/>
      <c r="CB570" s="187"/>
      <c r="CC570" s="185"/>
      <c r="CD570" s="185"/>
      <c r="CE570" s="185"/>
      <c r="CF570" s="254"/>
      <c r="CH570" s="253"/>
    </row>
    <row r="571" spans="1:86" ht="63">
      <c r="A571" s="1563"/>
      <c r="B571" s="215" t="s">
        <v>342</v>
      </c>
      <c r="C571" s="216" t="s">
        <v>313</v>
      </c>
      <c r="D571" s="217" t="s">
        <v>314</v>
      </c>
      <c r="F571" s="218">
        <v>29620</v>
      </c>
      <c r="G571" s="219">
        <v>36320</v>
      </c>
      <c r="H571" s="218">
        <v>26760</v>
      </c>
      <c r="I571" s="219">
        <v>33460</v>
      </c>
      <c r="J571" s="179" t="s">
        <v>182</v>
      </c>
      <c r="K571" s="220">
        <v>270</v>
      </c>
      <c r="L571" s="221">
        <v>330</v>
      </c>
      <c r="M571" s="222" t="s">
        <v>795</v>
      </c>
      <c r="N571" s="220">
        <v>240</v>
      </c>
      <c r="O571" s="221">
        <v>300</v>
      </c>
      <c r="P571" s="222" t="s">
        <v>795</v>
      </c>
      <c r="Q571" s="160" t="s">
        <v>182</v>
      </c>
      <c r="R571" s="223">
        <v>6700</v>
      </c>
      <c r="S571" s="224">
        <v>60</v>
      </c>
      <c r="T571" s="225" t="s">
        <v>184</v>
      </c>
      <c r="V571" s="182"/>
      <c r="W571" s="185"/>
      <c r="X571" s="176"/>
      <c r="Y571" s="185"/>
      <c r="Z571" s="176"/>
      <c r="AA571" s="176"/>
      <c r="AB571" s="177"/>
      <c r="AD571" s="281"/>
      <c r="AE571" s="281"/>
      <c r="AF571" s="176"/>
      <c r="AG571" s="176"/>
      <c r="AH571" s="177"/>
      <c r="AJ571" s="187" t="s">
        <v>223</v>
      </c>
      <c r="AK571" s="185"/>
      <c r="AL571" s="176" t="s">
        <v>182</v>
      </c>
      <c r="AM571" s="176">
        <v>10</v>
      </c>
      <c r="AN571" s="177" t="s">
        <v>316</v>
      </c>
      <c r="AO571" s="160" t="s">
        <v>182</v>
      </c>
      <c r="AP571" s="1550">
        <v>2400</v>
      </c>
      <c r="AQ571" s="1553">
        <v>2700</v>
      </c>
      <c r="AR571" s="1550">
        <v>1700</v>
      </c>
      <c r="AS571" s="1553">
        <v>1700</v>
      </c>
      <c r="AT571" s="1544" t="s">
        <v>664</v>
      </c>
      <c r="AU571" s="230" t="s">
        <v>697</v>
      </c>
      <c r="AV571" s="231">
        <v>4800</v>
      </c>
      <c r="AW571" s="232">
        <v>5400</v>
      </c>
      <c r="AX571" s="267">
        <v>3400</v>
      </c>
      <c r="AY571" s="252">
        <v>3400</v>
      </c>
      <c r="BA571" s="235" t="s">
        <v>680</v>
      </c>
      <c r="BB571" s="160" t="s">
        <v>182</v>
      </c>
      <c r="BC571" s="1556">
        <v>4700</v>
      </c>
      <c r="BD571" s="160" t="s">
        <v>182</v>
      </c>
      <c r="BE571" s="228">
        <v>1310</v>
      </c>
      <c r="BF571" s="226" t="s">
        <v>182</v>
      </c>
      <c r="BG571" s="226">
        <v>10</v>
      </c>
      <c r="BH571" s="217" t="s">
        <v>184</v>
      </c>
      <c r="BJ571" s="253"/>
      <c r="BK571" s="160" t="s">
        <v>188</v>
      </c>
      <c r="BL571" s="237" t="s">
        <v>317</v>
      </c>
      <c r="BM571" s="238" t="s">
        <v>317</v>
      </c>
      <c r="BN571" s="238" t="s">
        <v>317</v>
      </c>
      <c r="BO571" s="239" t="s">
        <v>317</v>
      </c>
      <c r="BP571" s="160" t="s">
        <v>188</v>
      </c>
      <c r="BQ571" s="228"/>
      <c r="BR571" s="229"/>
      <c r="BS571" s="229"/>
      <c r="BT571" s="240"/>
      <c r="BU571" s="160" t="s">
        <v>188</v>
      </c>
      <c r="BV571" s="228"/>
      <c r="BW571" s="229"/>
      <c r="BX571" s="229"/>
      <c r="BY571" s="229"/>
      <c r="BZ571" s="240"/>
      <c r="CA571" s="160" t="s">
        <v>188</v>
      </c>
      <c r="CB571" s="228"/>
      <c r="CC571" s="229"/>
      <c r="CD571" s="229"/>
      <c r="CE571" s="229"/>
      <c r="CF571" s="240"/>
      <c r="CH571" s="236" t="s">
        <v>324</v>
      </c>
    </row>
    <row r="572" spans="1:86">
      <c r="A572" s="1563"/>
      <c r="B572" s="168"/>
      <c r="C572" s="241"/>
      <c r="D572" s="177" t="s">
        <v>318</v>
      </c>
      <c r="F572" s="242">
        <v>36320</v>
      </c>
      <c r="G572" s="243">
        <v>91520</v>
      </c>
      <c r="H572" s="242">
        <v>33460</v>
      </c>
      <c r="I572" s="243">
        <v>88660</v>
      </c>
      <c r="J572" s="179" t="s">
        <v>182</v>
      </c>
      <c r="K572" s="244">
        <v>330</v>
      </c>
      <c r="L572" s="245">
        <v>800</v>
      </c>
      <c r="M572" s="246" t="s">
        <v>795</v>
      </c>
      <c r="N572" s="244">
        <v>300</v>
      </c>
      <c r="O572" s="245">
        <v>770</v>
      </c>
      <c r="P572" s="246" t="s">
        <v>795</v>
      </c>
      <c r="Q572" s="160" t="s">
        <v>182</v>
      </c>
      <c r="R572" s="187">
        <v>6700</v>
      </c>
      <c r="S572" s="185">
        <v>60</v>
      </c>
      <c r="T572" s="247" t="s">
        <v>184</v>
      </c>
      <c r="V572" s="182"/>
      <c r="W572" s="185"/>
      <c r="X572" s="176"/>
      <c r="Y572" s="185"/>
      <c r="Z572" s="176"/>
      <c r="AA572" s="176"/>
      <c r="AB572" s="177"/>
      <c r="AD572" s="281"/>
      <c r="AE572" s="281"/>
      <c r="AF572" s="176"/>
      <c r="AG572" s="176"/>
      <c r="AH572" s="177"/>
      <c r="AJ572" s="187"/>
      <c r="AK572" s="185"/>
      <c r="AL572" s="176"/>
      <c r="AM572" s="176"/>
      <c r="AN572" s="177"/>
      <c r="AP572" s="1551"/>
      <c r="AQ572" s="1554"/>
      <c r="AR572" s="1551"/>
      <c r="AS572" s="1554"/>
      <c r="AT572" s="1544"/>
      <c r="AU572" s="172" t="s">
        <v>699</v>
      </c>
      <c r="AV572" s="249">
        <v>2600</v>
      </c>
      <c r="AW572" s="250">
        <v>2900</v>
      </c>
      <c r="AX572" s="267">
        <v>1800</v>
      </c>
      <c r="AY572" s="252">
        <v>1800</v>
      </c>
      <c r="BA572" s="235">
        <v>2150</v>
      </c>
      <c r="BC572" s="1557"/>
      <c r="BE572" s="187"/>
      <c r="BF572" s="176"/>
      <c r="BG572" s="176"/>
      <c r="BH572" s="177"/>
      <c r="BJ572" s="253"/>
      <c r="BL572" s="193"/>
      <c r="BM572" s="194"/>
      <c r="BN572" s="194"/>
      <c r="BO572" s="195"/>
      <c r="BQ572" s="187">
        <v>790</v>
      </c>
      <c r="BR572" s="185" t="s">
        <v>199</v>
      </c>
      <c r="BS572" s="185">
        <v>8</v>
      </c>
      <c r="BT572" s="254" t="s">
        <v>184</v>
      </c>
      <c r="BV572" s="187">
        <v>2510</v>
      </c>
      <c r="BW572" s="185" t="s">
        <v>189</v>
      </c>
      <c r="BX572" s="185">
        <v>20</v>
      </c>
      <c r="BY572" s="185" t="s">
        <v>184</v>
      </c>
      <c r="BZ572" s="254" t="s">
        <v>190</v>
      </c>
      <c r="CB572" s="187">
        <v>1500</v>
      </c>
      <c r="CC572" s="185" t="s">
        <v>189</v>
      </c>
      <c r="CD572" s="185">
        <v>10</v>
      </c>
      <c r="CE572" s="185" t="s">
        <v>184</v>
      </c>
      <c r="CF572" s="254" t="s">
        <v>190</v>
      </c>
      <c r="CH572" s="253"/>
    </row>
    <row r="573" spans="1:86">
      <c r="A573" s="1563"/>
      <c r="B573" s="168"/>
      <c r="C573" s="241" t="s">
        <v>319</v>
      </c>
      <c r="D573" s="177" t="s">
        <v>320</v>
      </c>
      <c r="F573" s="242">
        <v>91520</v>
      </c>
      <c r="G573" s="243">
        <v>158580</v>
      </c>
      <c r="H573" s="242">
        <v>88660</v>
      </c>
      <c r="I573" s="243">
        <v>155720</v>
      </c>
      <c r="J573" s="179" t="s">
        <v>182</v>
      </c>
      <c r="K573" s="244">
        <v>800</v>
      </c>
      <c r="L573" s="245">
        <v>1470</v>
      </c>
      <c r="M573" s="246" t="s">
        <v>795</v>
      </c>
      <c r="N573" s="244">
        <v>770</v>
      </c>
      <c r="O573" s="245">
        <v>1440</v>
      </c>
      <c r="P573" s="246" t="s">
        <v>795</v>
      </c>
      <c r="R573" s="182"/>
      <c r="S573" s="176"/>
      <c r="T573" s="177"/>
      <c r="V573" s="182"/>
      <c r="W573" s="185"/>
      <c r="X573" s="176"/>
      <c r="Y573" s="185"/>
      <c r="Z573" s="176"/>
      <c r="AA573" s="176"/>
      <c r="AB573" s="177"/>
      <c r="AD573" s="281"/>
      <c r="AE573" s="281"/>
      <c r="AF573" s="176"/>
      <c r="AG573" s="176"/>
      <c r="AH573" s="177"/>
      <c r="AJ573" s="187">
        <v>1370</v>
      </c>
      <c r="AK573" s="185" t="s">
        <v>321</v>
      </c>
      <c r="AL573" s="176"/>
      <c r="AM573" s="176"/>
      <c r="AN573" s="177"/>
      <c r="AP573" s="1551"/>
      <c r="AQ573" s="1554"/>
      <c r="AR573" s="1551"/>
      <c r="AS573" s="1554"/>
      <c r="AT573" s="1544"/>
      <c r="AU573" s="172" t="s">
        <v>700</v>
      </c>
      <c r="AV573" s="249">
        <v>2300</v>
      </c>
      <c r="AW573" s="250">
        <v>2500</v>
      </c>
      <c r="AX573" s="267">
        <v>1600</v>
      </c>
      <c r="AY573" s="252">
        <v>1600</v>
      </c>
      <c r="BA573" s="235"/>
      <c r="BC573" s="359"/>
      <c r="BE573" s="187"/>
      <c r="BF573" s="176"/>
      <c r="BG573" s="176"/>
      <c r="BH573" s="177"/>
      <c r="BJ573" s="253"/>
      <c r="BL573" s="193">
        <v>0.02</v>
      </c>
      <c r="BM573" s="194">
        <v>0.03</v>
      </c>
      <c r="BN573" s="194">
        <v>0.05</v>
      </c>
      <c r="BO573" s="195">
        <v>7.0000000000000007E-2</v>
      </c>
      <c r="BQ573" s="187"/>
      <c r="BR573" s="185"/>
      <c r="BS573" s="185"/>
      <c r="BT573" s="254"/>
      <c r="BV573" s="187"/>
      <c r="BW573" s="185"/>
      <c r="BX573" s="185"/>
      <c r="BY573" s="185"/>
      <c r="BZ573" s="254"/>
      <c r="CB573" s="187"/>
      <c r="CC573" s="185"/>
      <c r="CD573" s="185"/>
      <c r="CE573" s="185"/>
      <c r="CF573" s="254"/>
      <c r="CH573" s="253">
        <v>0.98</v>
      </c>
    </row>
    <row r="574" spans="1:86">
      <c r="A574" s="1563"/>
      <c r="B574" s="269"/>
      <c r="C574" s="270"/>
      <c r="D574" s="184" t="s">
        <v>322</v>
      </c>
      <c r="F574" s="256">
        <v>158580</v>
      </c>
      <c r="G574" s="257"/>
      <c r="H574" s="256">
        <v>155720</v>
      </c>
      <c r="I574" s="257"/>
      <c r="J574" s="179" t="s">
        <v>182</v>
      </c>
      <c r="K574" s="258">
        <v>1470</v>
      </c>
      <c r="L574" s="259"/>
      <c r="M574" s="260" t="s">
        <v>795</v>
      </c>
      <c r="N574" s="258">
        <v>1440</v>
      </c>
      <c r="O574" s="259"/>
      <c r="P574" s="260" t="s">
        <v>795</v>
      </c>
      <c r="R574" s="183"/>
      <c r="S574" s="271"/>
      <c r="T574" s="184"/>
      <c r="V574" s="182"/>
      <c r="W574" s="185"/>
      <c r="X574" s="176"/>
      <c r="Y574" s="185"/>
      <c r="Z574" s="176"/>
      <c r="AA574" s="176"/>
      <c r="AB574" s="177"/>
      <c r="AD574" s="281"/>
      <c r="AE574" s="281"/>
      <c r="AF574" s="176"/>
      <c r="AG574" s="176"/>
      <c r="AH574" s="177"/>
      <c r="AJ574" s="187"/>
      <c r="AK574" s="185"/>
      <c r="AL574" s="176"/>
      <c r="AM574" s="176"/>
      <c r="AN574" s="177"/>
      <c r="AP574" s="1552"/>
      <c r="AQ574" s="1555"/>
      <c r="AR574" s="1552"/>
      <c r="AS574" s="1555"/>
      <c r="AT574" s="1544"/>
      <c r="AU574" s="262" t="s">
        <v>701</v>
      </c>
      <c r="AV574" s="263">
        <v>2000</v>
      </c>
      <c r="AW574" s="264">
        <v>2300</v>
      </c>
      <c r="AX574" s="265">
        <v>1400</v>
      </c>
      <c r="AY574" s="266">
        <v>1400</v>
      </c>
      <c r="BA574" s="235"/>
      <c r="BC574" s="359"/>
      <c r="BE574" s="186"/>
      <c r="BF574" s="271"/>
      <c r="BG574" s="271"/>
      <c r="BH574" s="184"/>
      <c r="BJ574" s="253"/>
      <c r="BL574" s="272"/>
      <c r="BM574" s="273"/>
      <c r="BN574" s="273"/>
      <c r="BO574" s="274"/>
      <c r="BQ574" s="186"/>
      <c r="BR574" s="196"/>
      <c r="BS574" s="196"/>
      <c r="BT574" s="197"/>
      <c r="BV574" s="186"/>
      <c r="BW574" s="196"/>
      <c r="BX574" s="196"/>
      <c r="BY574" s="196"/>
      <c r="BZ574" s="197"/>
      <c r="CB574" s="186"/>
      <c r="CC574" s="196"/>
      <c r="CD574" s="196"/>
      <c r="CE574" s="196"/>
      <c r="CF574" s="197"/>
      <c r="CH574" s="198"/>
    </row>
    <row r="575" spans="1:86" ht="63">
      <c r="A575" s="1563"/>
      <c r="B575" s="168" t="s">
        <v>343</v>
      </c>
      <c r="C575" s="241" t="s">
        <v>313</v>
      </c>
      <c r="D575" s="177" t="s">
        <v>314</v>
      </c>
      <c r="F575" s="218">
        <v>28850</v>
      </c>
      <c r="G575" s="219">
        <v>35550</v>
      </c>
      <c r="H575" s="218">
        <v>26150</v>
      </c>
      <c r="I575" s="219">
        <v>32850</v>
      </c>
      <c r="J575" s="179" t="s">
        <v>182</v>
      </c>
      <c r="K575" s="220">
        <v>260</v>
      </c>
      <c r="L575" s="221">
        <v>320</v>
      </c>
      <c r="M575" s="222" t="s">
        <v>795</v>
      </c>
      <c r="N575" s="220">
        <v>240</v>
      </c>
      <c r="O575" s="221">
        <v>300</v>
      </c>
      <c r="P575" s="222" t="s">
        <v>795</v>
      </c>
      <c r="Q575" s="160" t="s">
        <v>182</v>
      </c>
      <c r="R575" s="275">
        <v>6700</v>
      </c>
      <c r="S575" s="276">
        <v>60</v>
      </c>
      <c r="T575" s="247" t="s">
        <v>184</v>
      </c>
      <c r="V575" s="182"/>
      <c r="W575" s="185"/>
      <c r="X575" s="176"/>
      <c r="Y575" s="185"/>
      <c r="Z575" s="176"/>
      <c r="AA575" s="176"/>
      <c r="AB575" s="177"/>
      <c r="AD575" s="281"/>
      <c r="AE575" s="281"/>
      <c r="AF575" s="176"/>
      <c r="AG575" s="176"/>
      <c r="AH575" s="177"/>
      <c r="AJ575" s="187" t="s">
        <v>225</v>
      </c>
      <c r="AK575" s="185"/>
      <c r="AL575" s="176" t="s">
        <v>182</v>
      </c>
      <c r="AM575" s="176">
        <v>10</v>
      </c>
      <c r="AN575" s="177" t="s">
        <v>316</v>
      </c>
      <c r="AO575" s="160" t="s">
        <v>182</v>
      </c>
      <c r="AP575" s="1550">
        <v>2600</v>
      </c>
      <c r="AQ575" s="1553">
        <v>2900</v>
      </c>
      <c r="AR575" s="1550">
        <v>1800</v>
      </c>
      <c r="AS575" s="1553">
        <v>1800</v>
      </c>
      <c r="AT575" s="1544" t="s">
        <v>664</v>
      </c>
      <c r="AU575" s="230" t="s">
        <v>697</v>
      </c>
      <c r="AV575" s="231">
        <v>5400</v>
      </c>
      <c r="AW575" s="232">
        <v>6000</v>
      </c>
      <c r="AX575" s="267">
        <v>3700</v>
      </c>
      <c r="AY575" s="252">
        <v>3700</v>
      </c>
      <c r="BA575" s="1545" t="s">
        <v>717</v>
      </c>
      <c r="BB575" s="160" t="s">
        <v>182</v>
      </c>
      <c r="BC575" s="1556">
        <v>4700</v>
      </c>
      <c r="BD575" s="160" t="s">
        <v>182</v>
      </c>
      <c r="BE575" s="187">
        <v>1230</v>
      </c>
      <c r="BF575" s="176" t="s">
        <v>182</v>
      </c>
      <c r="BG575" s="176">
        <v>10</v>
      </c>
      <c r="BH575" s="177" t="s">
        <v>184</v>
      </c>
      <c r="BJ575" s="253"/>
      <c r="BK575" s="160" t="s">
        <v>188</v>
      </c>
      <c r="BL575" s="193" t="s">
        <v>317</v>
      </c>
      <c r="BM575" s="194" t="s">
        <v>317</v>
      </c>
      <c r="BN575" s="194" t="s">
        <v>317</v>
      </c>
      <c r="BO575" s="195" t="s">
        <v>317</v>
      </c>
      <c r="BP575" s="160" t="s">
        <v>188</v>
      </c>
      <c r="BQ575" s="187"/>
      <c r="BR575" s="185"/>
      <c r="BS575" s="185"/>
      <c r="BT575" s="254"/>
      <c r="BU575" s="160" t="s">
        <v>188</v>
      </c>
      <c r="BV575" s="187"/>
      <c r="BW575" s="185"/>
      <c r="BX575" s="185"/>
      <c r="BY575" s="185"/>
      <c r="BZ575" s="254"/>
      <c r="CA575" s="160" t="s">
        <v>188</v>
      </c>
      <c r="CB575" s="187"/>
      <c r="CC575" s="185"/>
      <c r="CD575" s="185"/>
      <c r="CE575" s="185"/>
      <c r="CF575" s="254"/>
      <c r="CH575" s="253" t="s">
        <v>324</v>
      </c>
    </row>
    <row r="576" spans="1:86">
      <c r="A576" s="1563"/>
      <c r="B576" s="168"/>
      <c r="C576" s="241"/>
      <c r="D576" s="177" t="s">
        <v>318</v>
      </c>
      <c r="F576" s="242">
        <v>35550</v>
      </c>
      <c r="G576" s="243">
        <v>90750</v>
      </c>
      <c r="H576" s="242">
        <v>32850</v>
      </c>
      <c r="I576" s="243">
        <v>88050</v>
      </c>
      <c r="J576" s="179" t="s">
        <v>182</v>
      </c>
      <c r="K576" s="244">
        <v>320</v>
      </c>
      <c r="L576" s="245">
        <v>790</v>
      </c>
      <c r="M576" s="246" t="s">
        <v>795</v>
      </c>
      <c r="N576" s="244">
        <v>300</v>
      </c>
      <c r="O576" s="245">
        <v>760</v>
      </c>
      <c r="P576" s="246" t="s">
        <v>795</v>
      </c>
      <c r="Q576" s="160" t="s">
        <v>182</v>
      </c>
      <c r="R576" s="187">
        <v>6700</v>
      </c>
      <c r="S576" s="185">
        <v>60</v>
      </c>
      <c r="T576" s="247" t="s">
        <v>184</v>
      </c>
      <c r="V576" s="182"/>
      <c r="W576" s="185"/>
      <c r="X576" s="176"/>
      <c r="Y576" s="185"/>
      <c r="Z576" s="176"/>
      <c r="AA576" s="176"/>
      <c r="AB576" s="177"/>
      <c r="AD576" s="281"/>
      <c r="AE576" s="281"/>
      <c r="AF576" s="176"/>
      <c r="AG576" s="176"/>
      <c r="AH576" s="177"/>
      <c r="AJ576" s="187"/>
      <c r="AK576" s="185"/>
      <c r="AL576" s="176"/>
      <c r="AM576" s="176"/>
      <c r="AN576" s="177"/>
      <c r="AP576" s="1551"/>
      <c r="AQ576" s="1554"/>
      <c r="AR576" s="1551"/>
      <c r="AS576" s="1554"/>
      <c r="AT576" s="1544"/>
      <c r="AU576" s="172" t="s">
        <v>699</v>
      </c>
      <c r="AV576" s="249">
        <v>2900</v>
      </c>
      <c r="AW576" s="250">
        <v>3300</v>
      </c>
      <c r="AX576" s="267">
        <v>2000</v>
      </c>
      <c r="AY576" s="252">
        <v>2000</v>
      </c>
      <c r="BA576" s="1545"/>
      <c r="BC576" s="1557"/>
      <c r="BE576" s="187"/>
      <c r="BF576" s="176"/>
      <c r="BG576" s="176"/>
      <c r="BH576" s="177"/>
      <c r="BJ576" s="253"/>
      <c r="BL576" s="193"/>
      <c r="BM576" s="194"/>
      <c r="BN576" s="194"/>
      <c r="BO576" s="195"/>
      <c r="BQ576" s="187">
        <v>740</v>
      </c>
      <c r="BR576" s="185" t="s">
        <v>199</v>
      </c>
      <c r="BS576" s="185">
        <v>7</v>
      </c>
      <c r="BT576" s="254" t="s">
        <v>184</v>
      </c>
      <c r="BV576" s="187">
        <v>2360</v>
      </c>
      <c r="BW576" s="185" t="s">
        <v>189</v>
      </c>
      <c r="BX576" s="185">
        <v>20</v>
      </c>
      <c r="BY576" s="185" t="s">
        <v>184</v>
      </c>
      <c r="BZ576" s="254" t="s">
        <v>190</v>
      </c>
      <c r="CB576" s="187">
        <v>1410</v>
      </c>
      <c r="CC576" s="185" t="s">
        <v>189</v>
      </c>
      <c r="CD576" s="185">
        <v>10</v>
      </c>
      <c r="CE576" s="185" t="s">
        <v>184</v>
      </c>
      <c r="CF576" s="254" t="s">
        <v>190</v>
      </c>
      <c r="CH576" s="253"/>
    </row>
    <row r="577" spans="1:86">
      <c r="A577" s="1563"/>
      <c r="B577" s="168"/>
      <c r="C577" s="241" t="s">
        <v>319</v>
      </c>
      <c r="D577" s="177" t="s">
        <v>320</v>
      </c>
      <c r="F577" s="242">
        <v>90750</v>
      </c>
      <c r="G577" s="243">
        <v>157810</v>
      </c>
      <c r="H577" s="242">
        <v>88050</v>
      </c>
      <c r="I577" s="243">
        <v>155110</v>
      </c>
      <c r="J577" s="179" t="s">
        <v>182</v>
      </c>
      <c r="K577" s="244">
        <v>790</v>
      </c>
      <c r="L577" s="245">
        <v>1460</v>
      </c>
      <c r="M577" s="246" t="s">
        <v>795</v>
      </c>
      <c r="N577" s="244">
        <v>760</v>
      </c>
      <c r="O577" s="245">
        <v>1430</v>
      </c>
      <c r="P577" s="246" t="s">
        <v>795</v>
      </c>
      <c r="R577" s="182"/>
      <c r="S577" s="176"/>
      <c r="T577" s="177"/>
      <c r="V577" s="182"/>
      <c r="W577" s="185"/>
      <c r="X577" s="176"/>
      <c r="Y577" s="185"/>
      <c r="Z577" s="176"/>
      <c r="AA577" s="176"/>
      <c r="AB577" s="177"/>
      <c r="AD577" s="281"/>
      <c r="AE577" s="281"/>
      <c r="AF577" s="176"/>
      <c r="AG577" s="176"/>
      <c r="AH577" s="177"/>
      <c r="AJ577" s="187">
        <v>1250</v>
      </c>
      <c r="AK577" s="185" t="s">
        <v>321</v>
      </c>
      <c r="AL577" s="176"/>
      <c r="AM577" s="176"/>
      <c r="AN577" s="177"/>
      <c r="AP577" s="1551"/>
      <c r="AQ577" s="1554"/>
      <c r="AR577" s="1551"/>
      <c r="AS577" s="1554"/>
      <c r="AT577" s="1544"/>
      <c r="AU577" s="172" t="s">
        <v>700</v>
      </c>
      <c r="AV577" s="249">
        <v>2500</v>
      </c>
      <c r="AW577" s="250">
        <v>2800</v>
      </c>
      <c r="AX577" s="267">
        <v>1800</v>
      </c>
      <c r="AY577" s="252">
        <v>1800</v>
      </c>
      <c r="BA577" s="235"/>
      <c r="BC577" s="358"/>
      <c r="BE577" s="187"/>
      <c r="BF577" s="176"/>
      <c r="BG577" s="176"/>
      <c r="BH577" s="177"/>
      <c r="BJ577" s="253"/>
      <c r="BL577" s="193">
        <v>0.02</v>
      </c>
      <c r="BM577" s="194">
        <v>0.03</v>
      </c>
      <c r="BN577" s="194">
        <v>0.05</v>
      </c>
      <c r="BO577" s="195">
        <v>7.0000000000000007E-2</v>
      </c>
      <c r="BQ577" s="187"/>
      <c r="BR577" s="185"/>
      <c r="BS577" s="185"/>
      <c r="BT577" s="254"/>
      <c r="BV577" s="187"/>
      <c r="BW577" s="185"/>
      <c r="BX577" s="185"/>
      <c r="BY577" s="185"/>
      <c r="BZ577" s="254"/>
      <c r="CB577" s="187"/>
      <c r="CC577" s="185"/>
      <c r="CD577" s="185"/>
      <c r="CE577" s="185"/>
      <c r="CF577" s="254"/>
      <c r="CH577" s="253">
        <v>0.99</v>
      </c>
    </row>
    <row r="578" spans="1:86">
      <c r="A578" s="1563"/>
      <c r="B578" s="168"/>
      <c r="C578" s="241"/>
      <c r="D578" s="177" t="s">
        <v>322</v>
      </c>
      <c r="F578" s="256">
        <v>157810</v>
      </c>
      <c r="G578" s="257"/>
      <c r="H578" s="256">
        <v>155110</v>
      </c>
      <c r="I578" s="257"/>
      <c r="J578" s="179" t="s">
        <v>182</v>
      </c>
      <c r="K578" s="258">
        <v>1460</v>
      </c>
      <c r="L578" s="259"/>
      <c r="M578" s="260" t="s">
        <v>795</v>
      </c>
      <c r="N578" s="258">
        <v>1430</v>
      </c>
      <c r="O578" s="259"/>
      <c r="P578" s="260" t="s">
        <v>795</v>
      </c>
      <c r="R578" s="182"/>
      <c r="S578" s="176"/>
      <c r="T578" s="177"/>
      <c r="V578" s="182"/>
      <c r="W578" s="185"/>
      <c r="X578" s="176"/>
      <c r="Y578" s="185"/>
      <c r="Z578" s="176"/>
      <c r="AA578" s="176"/>
      <c r="AB578" s="177"/>
      <c r="AD578" s="281"/>
      <c r="AE578" s="281"/>
      <c r="AF578" s="176"/>
      <c r="AG578" s="176"/>
      <c r="AH578" s="177"/>
      <c r="AJ578" s="187"/>
      <c r="AK578" s="185"/>
      <c r="AL578" s="176"/>
      <c r="AM578" s="176"/>
      <c r="AN578" s="177"/>
      <c r="AP578" s="1552"/>
      <c r="AQ578" s="1555"/>
      <c r="AR578" s="1552"/>
      <c r="AS578" s="1555"/>
      <c r="AT578" s="1544"/>
      <c r="AU578" s="262" t="s">
        <v>701</v>
      </c>
      <c r="AV578" s="263">
        <v>2300</v>
      </c>
      <c r="AW578" s="264">
        <v>2500</v>
      </c>
      <c r="AX578" s="265">
        <v>1600</v>
      </c>
      <c r="AY578" s="266">
        <v>1600</v>
      </c>
      <c r="BA578" s="235"/>
      <c r="BC578" s="359"/>
      <c r="BE578" s="187"/>
      <c r="BF578" s="176"/>
      <c r="BG578" s="176"/>
      <c r="BH578" s="177"/>
      <c r="BJ578" s="253"/>
      <c r="BL578" s="193"/>
      <c r="BM578" s="194"/>
      <c r="BN578" s="194"/>
      <c r="BO578" s="195"/>
      <c r="BQ578" s="187"/>
      <c r="BR578" s="185"/>
      <c r="BS578" s="185"/>
      <c r="BT578" s="254"/>
      <c r="BV578" s="187"/>
      <c r="BW578" s="185"/>
      <c r="BX578" s="185"/>
      <c r="BY578" s="185"/>
      <c r="BZ578" s="254"/>
      <c r="CB578" s="187"/>
      <c r="CC578" s="185"/>
      <c r="CD578" s="185"/>
      <c r="CE578" s="185"/>
      <c r="CF578" s="254"/>
      <c r="CH578" s="253"/>
    </row>
    <row r="579" spans="1:86" ht="31.5">
      <c r="A579" s="1563"/>
      <c r="B579" s="215" t="s">
        <v>344</v>
      </c>
      <c r="C579" s="216" t="s">
        <v>313</v>
      </c>
      <c r="D579" s="217" t="s">
        <v>314</v>
      </c>
      <c r="F579" s="218">
        <v>28140</v>
      </c>
      <c r="G579" s="219">
        <v>34840</v>
      </c>
      <c r="H579" s="218">
        <v>25590</v>
      </c>
      <c r="I579" s="219">
        <v>32290</v>
      </c>
      <c r="J579" s="179" t="s">
        <v>182</v>
      </c>
      <c r="K579" s="220">
        <v>260</v>
      </c>
      <c r="L579" s="221">
        <v>320</v>
      </c>
      <c r="M579" s="222" t="s">
        <v>795</v>
      </c>
      <c r="N579" s="220">
        <v>230</v>
      </c>
      <c r="O579" s="221">
        <v>290</v>
      </c>
      <c r="P579" s="222" t="s">
        <v>795</v>
      </c>
      <c r="Q579" s="160" t="s">
        <v>182</v>
      </c>
      <c r="R579" s="223">
        <v>6700</v>
      </c>
      <c r="S579" s="224">
        <v>60</v>
      </c>
      <c r="T579" s="225" t="s">
        <v>184</v>
      </c>
      <c r="V579" s="182"/>
      <c r="W579" s="185"/>
      <c r="X579" s="176"/>
      <c r="Y579" s="185"/>
      <c r="Z579" s="176"/>
      <c r="AA579" s="176"/>
      <c r="AB579" s="177"/>
      <c r="AD579" s="281"/>
      <c r="AE579" s="281"/>
      <c r="AF579" s="176"/>
      <c r="AG579" s="176"/>
      <c r="AH579" s="177"/>
      <c r="AJ579" s="187"/>
      <c r="AK579" s="185"/>
      <c r="AL579" s="176"/>
      <c r="AM579" s="176"/>
      <c r="AN579" s="177"/>
      <c r="AO579" s="160" t="s">
        <v>182</v>
      </c>
      <c r="AP579" s="1550">
        <v>2500</v>
      </c>
      <c r="AQ579" s="1553">
        <v>2700</v>
      </c>
      <c r="AR579" s="1550">
        <v>1700</v>
      </c>
      <c r="AS579" s="1553">
        <v>1700</v>
      </c>
      <c r="AT579" s="1544" t="s">
        <v>664</v>
      </c>
      <c r="AU579" s="230" t="s">
        <v>697</v>
      </c>
      <c r="AV579" s="231">
        <v>4800</v>
      </c>
      <c r="AW579" s="232">
        <v>5400</v>
      </c>
      <c r="AX579" s="267">
        <v>3400</v>
      </c>
      <c r="AY579" s="252">
        <v>3400</v>
      </c>
      <c r="BA579" s="235"/>
      <c r="BB579" s="160" t="s">
        <v>182</v>
      </c>
      <c r="BC579" s="1556">
        <v>4700</v>
      </c>
      <c r="BD579" s="160" t="s">
        <v>182</v>
      </c>
      <c r="BE579" s="228">
        <v>1160</v>
      </c>
      <c r="BF579" s="226" t="s">
        <v>182</v>
      </c>
      <c r="BG579" s="226">
        <v>10</v>
      </c>
      <c r="BH579" s="217" t="s">
        <v>184</v>
      </c>
      <c r="BJ579" s="253"/>
      <c r="BK579" s="160" t="s">
        <v>188</v>
      </c>
      <c r="BL579" s="237" t="s">
        <v>317</v>
      </c>
      <c r="BM579" s="238" t="s">
        <v>317</v>
      </c>
      <c r="BN579" s="238" t="s">
        <v>317</v>
      </c>
      <c r="BO579" s="239" t="s">
        <v>317</v>
      </c>
      <c r="BP579" s="160" t="s">
        <v>188</v>
      </c>
      <c r="BQ579" s="228"/>
      <c r="BR579" s="229"/>
      <c r="BS579" s="229"/>
      <c r="BT579" s="240"/>
      <c r="BU579" s="160" t="s">
        <v>188</v>
      </c>
      <c r="BV579" s="228"/>
      <c r="BW579" s="229"/>
      <c r="BX579" s="229"/>
      <c r="BY579" s="229"/>
      <c r="BZ579" s="240"/>
      <c r="CA579" s="160" t="s">
        <v>188</v>
      </c>
      <c r="CB579" s="228"/>
      <c r="CC579" s="229"/>
      <c r="CD579" s="229"/>
      <c r="CE579" s="229"/>
      <c r="CF579" s="240"/>
      <c r="CH579" s="236" t="s">
        <v>324</v>
      </c>
    </row>
    <row r="580" spans="1:86">
      <c r="A580" s="1563"/>
      <c r="B580" s="168"/>
      <c r="C580" s="241"/>
      <c r="D580" s="177" t="s">
        <v>318</v>
      </c>
      <c r="F580" s="242">
        <v>34840</v>
      </c>
      <c r="G580" s="243">
        <v>90040</v>
      </c>
      <c r="H580" s="242">
        <v>32290</v>
      </c>
      <c r="I580" s="243">
        <v>87490</v>
      </c>
      <c r="J580" s="179" t="s">
        <v>182</v>
      </c>
      <c r="K580" s="244">
        <v>320</v>
      </c>
      <c r="L580" s="245">
        <v>780</v>
      </c>
      <c r="M580" s="246" t="s">
        <v>795</v>
      </c>
      <c r="N580" s="244">
        <v>290</v>
      </c>
      <c r="O580" s="245">
        <v>760</v>
      </c>
      <c r="P580" s="246" t="s">
        <v>795</v>
      </c>
      <c r="Q580" s="160" t="s">
        <v>182</v>
      </c>
      <c r="R580" s="187">
        <v>6700</v>
      </c>
      <c r="S580" s="185">
        <v>60</v>
      </c>
      <c r="T580" s="247" t="s">
        <v>184</v>
      </c>
      <c r="V580" s="182"/>
      <c r="W580" s="185"/>
      <c r="X580" s="176"/>
      <c r="Y580" s="185"/>
      <c r="Z580" s="176"/>
      <c r="AA580" s="176"/>
      <c r="AB580" s="177"/>
      <c r="AD580" s="281"/>
      <c r="AE580" s="281"/>
      <c r="AF580" s="176"/>
      <c r="AG580" s="176"/>
      <c r="AH580" s="177"/>
      <c r="AJ580" s="187"/>
      <c r="AK580" s="185"/>
      <c r="AL580" s="176"/>
      <c r="AM580" s="176"/>
      <c r="AN580" s="177"/>
      <c r="AP580" s="1551"/>
      <c r="AQ580" s="1554"/>
      <c r="AR580" s="1551"/>
      <c r="AS580" s="1554"/>
      <c r="AT580" s="1544"/>
      <c r="AU580" s="172" t="s">
        <v>699</v>
      </c>
      <c r="AV580" s="249">
        <v>2600</v>
      </c>
      <c r="AW580" s="250">
        <v>2900</v>
      </c>
      <c r="AX580" s="267">
        <v>1800</v>
      </c>
      <c r="AY580" s="252">
        <v>1800</v>
      </c>
      <c r="BA580" s="235"/>
      <c r="BC580" s="1557"/>
      <c r="BE580" s="187"/>
      <c r="BF580" s="176"/>
      <c r="BG580" s="176"/>
      <c r="BH580" s="177"/>
      <c r="BJ580" s="253"/>
      <c r="BL580" s="193"/>
      <c r="BM580" s="194"/>
      <c r="BN580" s="194"/>
      <c r="BO580" s="195"/>
      <c r="BQ580" s="187">
        <v>700</v>
      </c>
      <c r="BR580" s="185" t="s">
        <v>199</v>
      </c>
      <c r="BS580" s="185">
        <v>7</v>
      </c>
      <c r="BT580" s="254" t="s">
        <v>184</v>
      </c>
      <c r="BV580" s="187">
        <v>2230</v>
      </c>
      <c r="BW580" s="185" t="s">
        <v>189</v>
      </c>
      <c r="BX580" s="185">
        <v>20</v>
      </c>
      <c r="BY580" s="185" t="s">
        <v>184</v>
      </c>
      <c r="BZ580" s="254" t="s">
        <v>190</v>
      </c>
      <c r="CB580" s="187">
        <v>1330</v>
      </c>
      <c r="CC580" s="185" t="s">
        <v>189</v>
      </c>
      <c r="CD580" s="185">
        <v>10</v>
      </c>
      <c r="CE580" s="185" t="s">
        <v>184</v>
      </c>
      <c r="CF580" s="254" t="s">
        <v>190</v>
      </c>
      <c r="CH580" s="253"/>
    </row>
    <row r="581" spans="1:86">
      <c r="A581" s="1563"/>
      <c r="B581" s="168"/>
      <c r="C581" s="241" t="s">
        <v>319</v>
      </c>
      <c r="D581" s="177" t="s">
        <v>320</v>
      </c>
      <c r="F581" s="242">
        <v>90040</v>
      </c>
      <c r="G581" s="243">
        <v>157100</v>
      </c>
      <c r="H581" s="242">
        <v>87490</v>
      </c>
      <c r="I581" s="243">
        <v>154550</v>
      </c>
      <c r="J581" s="179" t="s">
        <v>182</v>
      </c>
      <c r="K581" s="244">
        <v>780</v>
      </c>
      <c r="L581" s="245">
        <v>1450</v>
      </c>
      <c r="M581" s="246" t="s">
        <v>795</v>
      </c>
      <c r="N581" s="244">
        <v>760</v>
      </c>
      <c r="O581" s="245">
        <v>1430</v>
      </c>
      <c r="P581" s="246" t="s">
        <v>795</v>
      </c>
      <c r="R581" s="182"/>
      <c r="S581" s="176"/>
      <c r="T581" s="177"/>
      <c r="V581" s="182"/>
      <c r="W581" s="185"/>
      <c r="X581" s="176"/>
      <c r="Y581" s="185"/>
      <c r="Z581" s="176"/>
      <c r="AA581" s="176"/>
      <c r="AB581" s="177"/>
      <c r="AD581" s="281"/>
      <c r="AE581" s="281"/>
      <c r="AF581" s="176"/>
      <c r="AG581" s="176"/>
      <c r="AH581" s="177"/>
      <c r="AJ581" s="187"/>
      <c r="AK581" s="185"/>
      <c r="AL581" s="176"/>
      <c r="AM581" s="176"/>
      <c r="AN581" s="177"/>
      <c r="AP581" s="1551"/>
      <c r="AQ581" s="1554"/>
      <c r="AR581" s="1551"/>
      <c r="AS581" s="1554"/>
      <c r="AT581" s="1544"/>
      <c r="AU581" s="172" t="s">
        <v>700</v>
      </c>
      <c r="AV581" s="249">
        <v>2300</v>
      </c>
      <c r="AW581" s="250">
        <v>2500</v>
      </c>
      <c r="AX581" s="267">
        <v>1600</v>
      </c>
      <c r="AY581" s="252">
        <v>1600</v>
      </c>
      <c r="BA581" s="235"/>
      <c r="BC581" s="211"/>
      <c r="BE581" s="187"/>
      <c r="BF581" s="176"/>
      <c r="BG581" s="176"/>
      <c r="BH581" s="177"/>
      <c r="BJ581" s="253"/>
      <c r="BL581" s="193">
        <v>0.02</v>
      </c>
      <c r="BM581" s="194">
        <v>0.03</v>
      </c>
      <c r="BN581" s="194">
        <v>0.05</v>
      </c>
      <c r="BO581" s="195">
        <v>7.0000000000000007E-2</v>
      </c>
      <c r="BQ581" s="187"/>
      <c r="BR581" s="185"/>
      <c r="BS581" s="185"/>
      <c r="BT581" s="254"/>
      <c r="BV581" s="187"/>
      <c r="BW581" s="185"/>
      <c r="BX581" s="185"/>
      <c r="BY581" s="185"/>
      <c r="BZ581" s="254"/>
      <c r="CB581" s="187"/>
      <c r="CC581" s="185"/>
      <c r="CD581" s="185"/>
      <c r="CE581" s="185"/>
      <c r="CF581" s="254"/>
      <c r="CH581" s="253">
        <v>0.99</v>
      </c>
    </row>
    <row r="582" spans="1:86">
      <c r="A582" s="1563"/>
      <c r="B582" s="269"/>
      <c r="C582" s="270"/>
      <c r="D582" s="184" t="s">
        <v>322</v>
      </c>
      <c r="F582" s="256">
        <v>157100</v>
      </c>
      <c r="G582" s="257"/>
      <c r="H582" s="256">
        <v>154550</v>
      </c>
      <c r="I582" s="257"/>
      <c r="J582" s="179" t="s">
        <v>182</v>
      </c>
      <c r="K582" s="258">
        <v>1450</v>
      </c>
      <c r="L582" s="259"/>
      <c r="M582" s="260" t="s">
        <v>795</v>
      </c>
      <c r="N582" s="258">
        <v>1430</v>
      </c>
      <c r="O582" s="259"/>
      <c r="P582" s="260" t="s">
        <v>795</v>
      </c>
      <c r="R582" s="183"/>
      <c r="S582" s="271"/>
      <c r="T582" s="184"/>
      <c r="V582" s="183"/>
      <c r="W582" s="196"/>
      <c r="X582" s="271"/>
      <c r="Y582" s="196"/>
      <c r="Z582" s="271"/>
      <c r="AA582" s="271"/>
      <c r="AB582" s="184"/>
      <c r="AD582" s="281"/>
      <c r="AE582" s="281"/>
      <c r="AF582" s="271"/>
      <c r="AG582" s="271"/>
      <c r="AH582" s="184"/>
      <c r="AJ582" s="186"/>
      <c r="AK582" s="196"/>
      <c r="AL582" s="271"/>
      <c r="AM582" s="271"/>
      <c r="AN582" s="184"/>
      <c r="AP582" s="1552"/>
      <c r="AQ582" s="1555"/>
      <c r="AR582" s="1552"/>
      <c r="AS582" s="1555"/>
      <c r="AT582" s="1544"/>
      <c r="AU582" s="262" t="s">
        <v>701</v>
      </c>
      <c r="AV582" s="263">
        <v>2000</v>
      </c>
      <c r="AW582" s="264">
        <v>2300</v>
      </c>
      <c r="AX582" s="265">
        <v>1400</v>
      </c>
      <c r="AY582" s="266">
        <v>1400</v>
      </c>
      <c r="BA582" s="282"/>
      <c r="BC582" s="211"/>
      <c r="BE582" s="186"/>
      <c r="BF582" s="271"/>
      <c r="BG582" s="271"/>
      <c r="BH582" s="184"/>
      <c r="BJ582" s="198"/>
      <c r="BL582" s="272"/>
      <c r="BM582" s="273"/>
      <c r="BN582" s="273"/>
      <c r="BO582" s="274"/>
      <c r="BQ582" s="186"/>
      <c r="BR582" s="196"/>
      <c r="BS582" s="196"/>
      <c r="BT582" s="197"/>
      <c r="BV582" s="186"/>
      <c r="BW582" s="196"/>
      <c r="BX582" s="196"/>
      <c r="BY582" s="196"/>
      <c r="BZ582" s="197"/>
      <c r="CB582" s="186"/>
      <c r="CC582" s="196"/>
      <c r="CD582" s="196"/>
      <c r="CE582" s="196"/>
      <c r="CF582" s="197"/>
      <c r="CH582" s="198"/>
    </row>
    <row r="583" spans="1:86">
      <c r="AD583" s="281"/>
      <c r="AE583" s="281"/>
      <c r="BC583" s="277"/>
    </row>
    <row r="584" spans="1:86">
      <c r="BC584" s="175"/>
    </row>
    <row r="585" spans="1:86">
      <c r="BC585" s="175"/>
    </row>
    <row r="586" spans="1:86">
      <c r="BC586" s="1545" t="s">
        <v>718</v>
      </c>
    </row>
    <row r="587" spans="1:86">
      <c r="BC587" s="1545"/>
    </row>
    <row r="588" spans="1:86">
      <c r="F588" s="218">
        <v>9090</v>
      </c>
      <c r="G588" s="219">
        <v>9440</v>
      </c>
      <c r="H588" s="218">
        <v>7010</v>
      </c>
      <c r="I588" s="219">
        <v>7360</v>
      </c>
      <c r="J588" s="179" t="s">
        <v>664</v>
      </c>
      <c r="K588" s="220">
        <v>90</v>
      </c>
      <c r="L588" s="221">
        <v>90</v>
      </c>
      <c r="M588" s="222" t="s">
        <v>696</v>
      </c>
      <c r="N588" s="220">
        <v>70</v>
      </c>
      <c r="O588" s="221">
        <v>70</v>
      </c>
      <c r="P588" s="222" t="s">
        <v>696</v>
      </c>
      <c r="AD588" s="1546">
        <v>0</v>
      </c>
      <c r="AE588" s="227"/>
      <c r="AP588" s="231">
        <v>0</v>
      </c>
      <c r="AQ588" s="232">
        <v>0</v>
      </c>
      <c r="AR588" s="289">
        <v>0</v>
      </c>
      <c r="AS588" s="232">
        <v>0</v>
      </c>
      <c r="AT588" s="1544" t="s">
        <v>664</v>
      </c>
      <c r="AU588" s="230" t="s">
        <v>697</v>
      </c>
      <c r="AV588" s="231">
        <v>0</v>
      </c>
      <c r="AW588" s="232">
        <v>0</v>
      </c>
      <c r="AX588" s="233">
        <v>0</v>
      </c>
      <c r="AY588" s="234">
        <v>0</v>
      </c>
      <c r="BA588" s="235"/>
      <c r="BC588" s="290">
        <v>0</v>
      </c>
    </row>
    <row r="589" spans="1:86">
      <c r="F589" s="242">
        <v>9440</v>
      </c>
      <c r="G589" s="243">
        <v>11870</v>
      </c>
      <c r="H589" s="242">
        <v>7360</v>
      </c>
      <c r="I589" s="243">
        <v>9790</v>
      </c>
      <c r="J589" s="179" t="s">
        <v>664</v>
      </c>
      <c r="K589" s="244">
        <v>90</v>
      </c>
      <c r="L589" s="245">
        <v>130</v>
      </c>
      <c r="M589" s="246" t="s">
        <v>696</v>
      </c>
      <c r="N589" s="244">
        <v>70</v>
      </c>
      <c r="O589" s="245">
        <v>100</v>
      </c>
      <c r="P589" s="246" t="s">
        <v>696</v>
      </c>
      <c r="AD589" s="1547">
        <v>0</v>
      </c>
      <c r="AE589" s="248">
        <v>0</v>
      </c>
      <c r="AP589" s="249">
        <v>0</v>
      </c>
      <c r="AQ589" s="250">
        <v>0</v>
      </c>
      <c r="AR589" s="291">
        <v>0</v>
      </c>
      <c r="AS589" s="250">
        <v>0</v>
      </c>
      <c r="AT589" s="1544"/>
      <c r="AU589" s="172" t="s">
        <v>699</v>
      </c>
      <c r="AV589" s="249">
        <v>0</v>
      </c>
      <c r="AW589" s="250">
        <v>0</v>
      </c>
      <c r="AX589" s="251">
        <v>0</v>
      </c>
      <c r="AY589" s="252">
        <v>0</v>
      </c>
      <c r="BA589" s="235"/>
      <c r="BC589" s="290">
        <v>0</v>
      </c>
    </row>
    <row r="590" spans="1:86">
      <c r="F590" s="242">
        <v>11870</v>
      </c>
      <c r="G590" s="243">
        <v>15350</v>
      </c>
      <c r="H590" s="242">
        <v>9790</v>
      </c>
      <c r="I590" s="243">
        <v>13270</v>
      </c>
      <c r="J590" s="179" t="s">
        <v>664</v>
      </c>
      <c r="K590" s="244">
        <v>130</v>
      </c>
      <c r="L590" s="245">
        <v>160</v>
      </c>
      <c r="M590" s="246" t="s">
        <v>696</v>
      </c>
      <c r="N590" s="244">
        <v>100</v>
      </c>
      <c r="O590" s="245">
        <v>130</v>
      </c>
      <c r="P590" s="246" t="s">
        <v>696</v>
      </c>
      <c r="AD590" s="1548">
        <v>0</v>
      </c>
      <c r="AE590" s="255"/>
      <c r="AP590" s="249">
        <v>0</v>
      </c>
      <c r="AQ590" s="250">
        <v>0</v>
      </c>
      <c r="AR590" s="291">
        <v>0</v>
      </c>
      <c r="AS590" s="250">
        <v>0</v>
      </c>
      <c r="AT590" s="1544"/>
      <c r="AU590" s="172" t="s">
        <v>700</v>
      </c>
      <c r="AV590" s="249">
        <v>0</v>
      </c>
      <c r="AW590" s="250">
        <v>0</v>
      </c>
      <c r="AX590" s="251">
        <v>0</v>
      </c>
      <c r="AY590" s="252">
        <v>0</v>
      </c>
      <c r="BA590" s="235"/>
      <c r="BC590" s="175"/>
    </row>
    <row r="591" spans="1:86">
      <c r="F591" s="256">
        <v>15350</v>
      </c>
      <c r="G591" s="257">
        <v>0</v>
      </c>
      <c r="H591" s="256">
        <v>13270</v>
      </c>
      <c r="I591" s="257">
        <v>0</v>
      </c>
      <c r="J591" s="179" t="s">
        <v>664</v>
      </c>
      <c r="K591" s="258">
        <v>160</v>
      </c>
      <c r="L591" s="259">
        <v>0</v>
      </c>
      <c r="M591" s="260" t="s">
        <v>696</v>
      </c>
      <c r="N591" s="258">
        <v>130</v>
      </c>
      <c r="O591" s="259">
        <v>0</v>
      </c>
      <c r="P591" s="260" t="s">
        <v>696</v>
      </c>
      <c r="AD591" s="1549">
        <v>0</v>
      </c>
      <c r="AE591" s="261"/>
      <c r="AP591" s="263">
        <v>0</v>
      </c>
      <c r="AQ591" s="264">
        <v>0</v>
      </c>
      <c r="AR591" s="292">
        <v>0</v>
      </c>
      <c r="AS591" s="264">
        <v>0</v>
      </c>
      <c r="AT591" s="1544"/>
      <c r="AU591" s="262" t="s">
        <v>701</v>
      </c>
      <c r="AV591" s="263">
        <v>0</v>
      </c>
      <c r="AW591" s="264">
        <v>0</v>
      </c>
      <c r="AX591" s="265">
        <v>0</v>
      </c>
      <c r="AY591" s="266">
        <v>0</v>
      </c>
      <c r="BA591" s="235"/>
      <c r="BC591" s="175"/>
    </row>
    <row r="592" spans="1:86">
      <c r="F592" s="218">
        <v>4960</v>
      </c>
      <c r="G592" s="219">
        <v>5310</v>
      </c>
      <c r="H592" s="218">
        <v>3910</v>
      </c>
      <c r="I592" s="219">
        <v>4260</v>
      </c>
      <c r="J592" s="179" t="s">
        <v>664</v>
      </c>
      <c r="K592" s="220">
        <v>50</v>
      </c>
      <c r="L592" s="221">
        <v>50</v>
      </c>
      <c r="M592" s="222" t="s">
        <v>696</v>
      </c>
      <c r="N592" s="220">
        <v>40</v>
      </c>
      <c r="O592" s="221">
        <v>40</v>
      </c>
      <c r="P592" s="222" t="s">
        <v>696</v>
      </c>
      <c r="AD592" s="1546">
        <v>0</v>
      </c>
      <c r="AE592" s="227"/>
      <c r="AP592" s="231">
        <v>0</v>
      </c>
      <c r="AQ592" s="232">
        <v>0</v>
      </c>
      <c r="AR592" s="293">
        <v>0</v>
      </c>
      <c r="AS592" s="250">
        <v>0</v>
      </c>
      <c r="AT592" s="1544" t="s">
        <v>664</v>
      </c>
      <c r="AU592" s="230" t="s">
        <v>697</v>
      </c>
      <c r="AV592" s="231">
        <v>0</v>
      </c>
      <c r="AW592" s="232">
        <v>0</v>
      </c>
      <c r="AX592" s="267">
        <v>0</v>
      </c>
      <c r="AY592" s="252">
        <v>0</v>
      </c>
      <c r="BA592" s="235"/>
      <c r="BC592" s="175"/>
    </row>
    <row r="593" spans="6:55">
      <c r="F593" s="242">
        <v>5310</v>
      </c>
      <c r="G593" s="243">
        <v>7740</v>
      </c>
      <c r="H593" s="242">
        <v>4260</v>
      </c>
      <c r="I593" s="243">
        <v>6690</v>
      </c>
      <c r="J593" s="179" t="s">
        <v>664</v>
      </c>
      <c r="K593" s="244">
        <v>50</v>
      </c>
      <c r="L593" s="245">
        <v>80</v>
      </c>
      <c r="M593" s="246" t="s">
        <v>696</v>
      </c>
      <c r="N593" s="244">
        <v>40</v>
      </c>
      <c r="O593" s="245">
        <v>70</v>
      </c>
      <c r="P593" s="246" t="s">
        <v>696</v>
      </c>
      <c r="AD593" s="1547">
        <v>0</v>
      </c>
      <c r="AE593" s="248">
        <v>0</v>
      </c>
      <c r="AP593" s="249">
        <v>0</v>
      </c>
      <c r="AQ593" s="250">
        <v>0</v>
      </c>
      <c r="AR593" s="293">
        <v>0</v>
      </c>
      <c r="AS593" s="250">
        <v>0</v>
      </c>
      <c r="AT593" s="1544"/>
      <c r="AU593" s="172" t="s">
        <v>699</v>
      </c>
      <c r="AV593" s="249">
        <v>0</v>
      </c>
      <c r="AW593" s="250">
        <v>0</v>
      </c>
      <c r="AX593" s="267">
        <v>0</v>
      </c>
      <c r="AY593" s="252">
        <v>0</v>
      </c>
      <c r="BA593" s="235"/>
      <c r="BC593" s="175"/>
    </row>
    <row r="594" spans="6:55">
      <c r="F594" s="242">
        <v>7740</v>
      </c>
      <c r="G594" s="243">
        <v>11220</v>
      </c>
      <c r="H594" s="242">
        <v>6690</v>
      </c>
      <c r="I594" s="243">
        <v>10170</v>
      </c>
      <c r="J594" s="179" t="s">
        <v>664</v>
      </c>
      <c r="K594" s="244">
        <v>80</v>
      </c>
      <c r="L594" s="245">
        <v>110</v>
      </c>
      <c r="M594" s="246" t="s">
        <v>696</v>
      </c>
      <c r="N594" s="244">
        <v>70</v>
      </c>
      <c r="O594" s="245">
        <v>100</v>
      </c>
      <c r="P594" s="246" t="s">
        <v>696</v>
      </c>
      <c r="AD594" s="1548">
        <v>0</v>
      </c>
      <c r="AE594" s="255"/>
      <c r="AP594" s="249">
        <v>0</v>
      </c>
      <c r="AQ594" s="250">
        <v>0</v>
      </c>
      <c r="AR594" s="293">
        <v>0</v>
      </c>
      <c r="AS594" s="250">
        <v>0</v>
      </c>
      <c r="AT594" s="1544"/>
      <c r="AU594" s="172" t="s">
        <v>700</v>
      </c>
      <c r="AV594" s="249">
        <v>0</v>
      </c>
      <c r="AW594" s="250">
        <v>0</v>
      </c>
      <c r="AX594" s="267">
        <v>0</v>
      </c>
      <c r="AY594" s="252">
        <v>0</v>
      </c>
      <c r="BA594" s="268"/>
      <c r="BC594" s="175"/>
    </row>
    <row r="595" spans="6:55">
      <c r="F595" s="256">
        <v>11220</v>
      </c>
      <c r="G595" s="257">
        <v>0</v>
      </c>
      <c r="H595" s="256">
        <v>10170</v>
      </c>
      <c r="I595" s="257">
        <v>0</v>
      </c>
      <c r="J595" s="179" t="s">
        <v>664</v>
      </c>
      <c r="K595" s="258">
        <v>110</v>
      </c>
      <c r="L595" s="259">
        <v>0</v>
      </c>
      <c r="M595" s="260" t="s">
        <v>696</v>
      </c>
      <c r="N595" s="258">
        <v>100</v>
      </c>
      <c r="O595" s="259">
        <v>0</v>
      </c>
      <c r="P595" s="260" t="s">
        <v>696</v>
      </c>
      <c r="AD595" s="1549">
        <v>0</v>
      </c>
      <c r="AE595" s="261"/>
      <c r="AP595" s="263">
        <v>0</v>
      </c>
      <c r="AQ595" s="264">
        <v>0</v>
      </c>
      <c r="AR595" s="292">
        <v>0</v>
      </c>
      <c r="AS595" s="264">
        <v>0</v>
      </c>
      <c r="AT595" s="1544"/>
      <c r="AU595" s="262" t="s">
        <v>701</v>
      </c>
      <c r="AV595" s="263">
        <v>0</v>
      </c>
      <c r="AW595" s="264">
        <v>0</v>
      </c>
      <c r="AX595" s="265">
        <v>0</v>
      </c>
      <c r="AY595" s="266">
        <v>0</v>
      </c>
      <c r="BA595" s="268"/>
      <c r="BC595" s="175"/>
    </row>
    <row r="596" spans="6:55">
      <c r="F596" s="218">
        <v>3570</v>
      </c>
      <c r="G596" s="219">
        <v>3920</v>
      </c>
      <c r="H596" s="218">
        <v>2880</v>
      </c>
      <c r="I596" s="219">
        <v>3230</v>
      </c>
      <c r="J596" s="179" t="s">
        <v>664</v>
      </c>
      <c r="K596" s="220">
        <v>30</v>
      </c>
      <c r="L596" s="221">
        <v>30</v>
      </c>
      <c r="M596" s="222" t="s">
        <v>696</v>
      </c>
      <c r="N596" s="220">
        <v>30</v>
      </c>
      <c r="O596" s="221">
        <v>30</v>
      </c>
      <c r="P596" s="222" t="s">
        <v>696</v>
      </c>
      <c r="AD596" s="1546">
        <v>0</v>
      </c>
      <c r="AE596" s="227"/>
      <c r="AP596" s="231">
        <v>0</v>
      </c>
      <c r="AQ596" s="232">
        <v>0</v>
      </c>
      <c r="AR596" s="293">
        <v>0</v>
      </c>
      <c r="AS596" s="250">
        <v>0</v>
      </c>
      <c r="AT596" s="1544" t="s">
        <v>664</v>
      </c>
      <c r="AU596" s="230" t="s">
        <v>697</v>
      </c>
      <c r="AV596" s="231">
        <v>0</v>
      </c>
      <c r="AW596" s="232">
        <v>0</v>
      </c>
      <c r="AX596" s="267">
        <v>0</v>
      </c>
      <c r="AY596" s="252">
        <v>0</v>
      </c>
      <c r="BA596" s="268"/>
      <c r="BC596" s="175"/>
    </row>
    <row r="597" spans="6:55">
      <c r="F597" s="242">
        <v>3920</v>
      </c>
      <c r="G597" s="243">
        <v>6350</v>
      </c>
      <c r="H597" s="242">
        <v>3230</v>
      </c>
      <c r="I597" s="243">
        <v>5660</v>
      </c>
      <c r="J597" s="179" t="s">
        <v>664</v>
      </c>
      <c r="K597" s="244">
        <v>30</v>
      </c>
      <c r="L597" s="245">
        <v>70</v>
      </c>
      <c r="M597" s="246" t="s">
        <v>696</v>
      </c>
      <c r="N597" s="244">
        <v>30</v>
      </c>
      <c r="O597" s="245">
        <v>60</v>
      </c>
      <c r="P597" s="246" t="s">
        <v>696</v>
      </c>
      <c r="AD597" s="1547">
        <v>0</v>
      </c>
      <c r="AE597" s="248">
        <v>0</v>
      </c>
      <c r="AP597" s="249">
        <v>0</v>
      </c>
      <c r="AQ597" s="250">
        <v>0</v>
      </c>
      <c r="AR597" s="293">
        <v>0</v>
      </c>
      <c r="AS597" s="250">
        <v>0</v>
      </c>
      <c r="AT597" s="1544"/>
      <c r="AU597" s="172" t="s">
        <v>699</v>
      </c>
      <c r="AV597" s="249">
        <v>0</v>
      </c>
      <c r="AW597" s="250">
        <v>0</v>
      </c>
      <c r="AX597" s="267">
        <v>0</v>
      </c>
      <c r="AY597" s="252">
        <v>0</v>
      </c>
      <c r="BA597" s="1545" t="s">
        <v>702</v>
      </c>
      <c r="BC597" s="175"/>
    </row>
    <row r="598" spans="6:55">
      <c r="F598" s="242">
        <v>6350</v>
      </c>
      <c r="G598" s="243">
        <v>9830</v>
      </c>
      <c r="H598" s="242">
        <v>5660</v>
      </c>
      <c r="I598" s="243">
        <v>9140</v>
      </c>
      <c r="J598" s="179" t="s">
        <v>664</v>
      </c>
      <c r="K598" s="244">
        <v>70</v>
      </c>
      <c r="L598" s="245">
        <v>100</v>
      </c>
      <c r="M598" s="246" t="s">
        <v>696</v>
      </c>
      <c r="N598" s="244">
        <v>60</v>
      </c>
      <c r="O598" s="245">
        <v>90</v>
      </c>
      <c r="P598" s="246" t="s">
        <v>696</v>
      </c>
      <c r="AD598" s="1548">
        <v>0</v>
      </c>
      <c r="AE598" s="255"/>
      <c r="AP598" s="249">
        <v>0</v>
      </c>
      <c r="AQ598" s="250">
        <v>0</v>
      </c>
      <c r="AR598" s="293">
        <v>0</v>
      </c>
      <c r="AS598" s="250">
        <v>0</v>
      </c>
      <c r="AT598" s="1544"/>
      <c r="AU598" s="172" t="s">
        <v>700</v>
      </c>
      <c r="AV598" s="249">
        <v>0</v>
      </c>
      <c r="AW598" s="250">
        <v>0</v>
      </c>
      <c r="AX598" s="267">
        <v>0</v>
      </c>
      <c r="AY598" s="252">
        <v>0</v>
      </c>
      <c r="BA598" s="1545"/>
      <c r="BC598" s="175"/>
    </row>
    <row r="599" spans="6:55">
      <c r="F599" s="256">
        <v>9830</v>
      </c>
      <c r="G599" s="257">
        <v>0</v>
      </c>
      <c r="H599" s="256">
        <v>9140</v>
      </c>
      <c r="I599" s="257">
        <v>0</v>
      </c>
      <c r="J599" s="179" t="s">
        <v>664</v>
      </c>
      <c r="K599" s="258">
        <v>100</v>
      </c>
      <c r="L599" s="259">
        <v>0</v>
      </c>
      <c r="M599" s="260" t="s">
        <v>696</v>
      </c>
      <c r="N599" s="258">
        <v>90</v>
      </c>
      <c r="O599" s="259">
        <v>0</v>
      </c>
      <c r="P599" s="260" t="s">
        <v>696</v>
      </c>
      <c r="AD599" s="1549">
        <v>0</v>
      </c>
      <c r="AE599" s="261"/>
      <c r="AP599" s="263">
        <v>0</v>
      </c>
      <c r="AQ599" s="264">
        <v>0</v>
      </c>
      <c r="AR599" s="292">
        <v>0</v>
      </c>
      <c r="AS599" s="264">
        <v>0</v>
      </c>
      <c r="AT599" s="1544"/>
      <c r="AU599" s="262" t="s">
        <v>701</v>
      </c>
      <c r="AV599" s="263">
        <v>0</v>
      </c>
      <c r="AW599" s="264">
        <v>0</v>
      </c>
      <c r="AX599" s="265">
        <v>0</v>
      </c>
      <c r="AY599" s="266">
        <v>0</v>
      </c>
      <c r="BA599" s="1545"/>
      <c r="BC599" s="175"/>
    </row>
    <row r="600" spans="6:55">
      <c r="F600" s="218">
        <v>2950</v>
      </c>
      <c r="G600" s="219">
        <v>3300</v>
      </c>
      <c r="H600" s="218">
        <v>2420</v>
      </c>
      <c r="I600" s="219">
        <v>2770</v>
      </c>
      <c r="J600" s="179" t="s">
        <v>664</v>
      </c>
      <c r="K600" s="220">
        <v>30</v>
      </c>
      <c r="L600" s="221">
        <v>30</v>
      </c>
      <c r="M600" s="222" t="s">
        <v>696</v>
      </c>
      <c r="N600" s="220">
        <v>30</v>
      </c>
      <c r="O600" s="221">
        <v>30</v>
      </c>
      <c r="P600" s="222" t="s">
        <v>696</v>
      </c>
      <c r="AD600" s="1546">
        <v>0</v>
      </c>
      <c r="AE600" s="227"/>
      <c r="AP600" s="231">
        <v>0</v>
      </c>
      <c r="AQ600" s="232">
        <v>0</v>
      </c>
      <c r="AR600" s="293">
        <v>0</v>
      </c>
      <c r="AS600" s="250">
        <v>0</v>
      </c>
      <c r="AT600" s="1544" t="s">
        <v>664</v>
      </c>
      <c r="AU600" s="230" t="s">
        <v>697</v>
      </c>
      <c r="AV600" s="231">
        <v>0</v>
      </c>
      <c r="AW600" s="232">
        <v>0</v>
      </c>
      <c r="AX600" s="267">
        <v>0</v>
      </c>
      <c r="AY600" s="252">
        <v>0</v>
      </c>
      <c r="BA600" s="235" t="s">
        <v>662</v>
      </c>
      <c r="BC600" s="175"/>
    </row>
    <row r="601" spans="6:55">
      <c r="F601" s="242">
        <v>3300</v>
      </c>
      <c r="G601" s="243">
        <v>5730</v>
      </c>
      <c r="H601" s="242">
        <v>2770</v>
      </c>
      <c r="I601" s="243">
        <v>5200</v>
      </c>
      <c r="J601" s="179" t="s">
        <v>664</v>
      </c>
      <c r="K601" s="244">
        <v>30</v>
      </c>
      <c r="L601" s="245">
        <v>60</v>
      </c>
      <c r="M601" s="246" t="s">
        <v>696</v>
      </c>
      <c r="N601" s="244">
        <v>30</v>
      </c>
      <c r="O601" s="245">
        <v>50</v>
      </c>
      <c r="P601" s="246" t="s">
        <v>696</v>
      </c>
      <c r="AD601" s="1547">
        <v>0</v>
      </c>
      <c r="AE601" s="248">
        <v>0</v>
      </c>
      <c r="AP601" s="249">
        <v>0</v>
      </c>
      <c r="AQ601" s="250">
        <v>0</v>
      </c>
      <c r="AR601" s="293">
        <v>0</v>
      </c>
      <c r="AS601" s="250">
        <v>0</v>
      </c>
      <c r="AT601" s="1544"/>
      <c r="AU601" s="172" t="s">
        <v>699</v>
      </c>
      <c r="AV601" s="249">
        <v>0</v>
      </c>
      <c r="AW601" s="250">
        <v>0</v>
      </c>
      <c r="AX601" s="267">
        <v>0</v>
      </c>
      <c r="AY601" s="252">
        <v>0</v>
      </c>
      <c r="BA601" s="235">
        <v>0</v>
      </c>
      <c r="BC601" s="175"/>
    </row>
    <row r="602" spans="6:55">
      <c r="F602" s="242">
        <v>5730</v>
      </c>
      <c r="G602" s="243">
        <v>9210</v>
      </c>
      <c r="H602" s="242">
        <v>5200</v>
      </c>
      <c r="I602" s="243">
        <v>8680</v>
      </c>
      <c r="J602" s="179" t="s">
        <v>664</v>
      </c>
      <c r="K602" s="244">
        <v>60</v>
      </c>
      <c r="L602" s="245">
        <v>90</v>
      </c>
      <c r="M602" s="246" t="s">
        <v>696</v>
      </c>
      <c r="N602" s="244">
        <v>50</v>
      </c>
      <c r="O602" s="245">
        <v>80</v>
      </c>
      <c r="P602" s="246" t="s">
        <v>696</v>
      </c>
      <c r="AD602" s="1548">
        <v>0</v>
      </c>
      <c r="AE602" s="255"/>
      <c r="AP602" s="249">
        <v>0</v>
      </c>
      <c r="AQ602" s="250">
        <v>0</v>
      </c>
      <c r="AR602" s="293">
        <v>0</v>
      </c>
      <c r="AS602" s="250">
        <v>0</v>
      </c>
      <c r="AT602" s="1544"/>
      <c r="AU602" s="172" t="s">
        <v>700</v>
      </c>
      <c r="AV602" s="249">
        <v>0</v>
      </c>
      <c r="AW602" s="250">
        <v>0</v>
      </c>
      <c r="AX602" s="267">
        <v>0</v>
      </c>
      <c r="AY602" s="252">
        <v>0</v>
      </c>
      <c r="BA602" s="277"/>
      <c r="BC602" s="175"/>
    </row>
    <row r="603" spans="6:55">
      <c r="F603" s="256">
        <v>9210</v>
      </c>
      <c r="G603" s="257">
        <v>0</v>
      </c>
      <c r="H603" s="256">
        <v>8680</v>
      </c>
      <c r="I603" s="257">
        <v>0</v>
      </c>
      <c r="J603" s="179" t="s">
        <v>664</v>
      </c>
      <c r="K603" s="258">
        <v>90</v>
      </c>
      <c r="L603" s="259">
        <v>0</v>
      </c>
      <c r="M603" s="260" t="s">
        <v>696</v>
      </c>
      <c r="N603" s="258">
        <v>80</v>
      </c>
      <c r="O603" s="259">
        <v>0</v>
      </c>
      <c r="P603" s="260" t="s">
        <v>696</v>
      </c>
      <c r="AD603" s="1549">
        <v>0</v>
      </c>
      <c r="AE603" s="261"/>
      <c r="AP603" s="263">
        <v>0</v>
      </c>
      <c r="AQ603" s="264">
        <v>0</v>
      </c>
      <c r="AR603" s="292">
        <v>0</v>
      </c>
      <c r="AS603" s="264">
        <v>0</v>
      </c>
      <c r="AT603" s="1544"/>
      <c r="AU603" s="262" t="s">
        <v>701</v>
      </c>
      <c r="AV603" s="263">
        <v>0</v>
      </c>
      <c r="AW603" s="264">
        <v>0</v>
      </c>
      <c r="AX603" s="265">
        <v>0</v>
      </c>
      <c r="AY603" s="266">
        <v>0</v>
      </c>
      <c r="BA603" s="235" t="s">
        <v>665</v>
      </c>
      <c r="BC603" s="175"/>
    </row>
    <row r="604" spans="6:55">
      <c r="F604" s="218">
        <v>2770</v>
      </c>
      <c r="G604" s="219">
        <v>3120</v>
      </c>
      <c r="H604" s="218">
        <v>2350</v>
      </c>
      <c r="I604" s="219">
        <v>2700</v>
      </c>
      <c r="J604" s="179" t="s">
        <v>664</v>
      </c>
      <c r="K604" s="220">
        <v>30</v>
      </c>
      <c r="L604" s="221">
        <v>30</v>
      </c>
      <c r="M604" s="222" t="s">
        <v>696</v>
      </c>
      <c r="N604" s="220">
        <v>20</v>
      </c>
      <c r="O604" s="221">
        <v>20</v>
      </c>
      <c r="P604" s="222" t="s">
        <v>696</v>
      </c>
      <c r="AD604" s="1546">
        <v>0</v>
      </c>
      <c r="AE604" s="227"/>
      <c r="AP604" s="231">
        <v>0</v>
      </c>
      <c r="AQ604" s="232">
        <v>0</v>
      </c>
      <c r="AR604" s="293">
        <v>0</v>
      </c>
      <c r="AS604" s="250">
        <v>0</v>
      </c>
      <c r="AT604" s="1544" t="s">
        <v>664</v>
      </c>
      <c r="AU604" s="230" t="s">
        <v>697</v>
      </c>
      <c r="AV604" s="231">
        <v>0</v>
      </c>
      <c r="AW604" s="232">
        <v>0</v>
      </c>
      <c r="AX604" s="267">
        <v>0</v>
      </c>
      <c r="AY604" s="252">
        <v>0</v>
      </c>
      <c r="BA604" s="235">
        <v>0</v>
      </c>
      <c r="BC604" s="175"/>
    </row>
    <row r="605" spans="6:55">
      <c r="F605" s="242">
        <v>3120</v>
      </c>
      <c r="G605" s="243">
        <v>5550</v>
      </c>
      <c r="H605" s="242">
        <v>2700</v>
      </c>
      <c r="I605" s="243">
        <v>5130</v>
      </c>
      <c r="J605" s="179" t="s">
        <v>664</v>
      </c>
      <c r="K605" s="244">
        <v>30</v>
      </c>
      <c r="L605" s="245">
        <v>60</v>
      </c>
      <c r="M605" s="246" t="s">
        <v>696</v>
      </c>
      <c r="N605" s="244">
        <v>20</v>
      </c>
      <c r="O605" s="245">
        <v>60</v>
      </c>
      <c r="P605" s="246" t="s">
        <v>696</v>
      </c>
      <c r="AD605" s="1547">
        <v>0</v>
      </c>
      <c r="AE605" s="248">
        <v>0</v>
      </c>
      <c r="AP605" s="249">
        <v>0</v>
      </c>
      <c r="AQ605" s="250">
        <v>0</v>
      </c>
      <c r="AR605" s="293">
        <v>0</v>
      </c>
      <c r="AS605" s="250">
        <v>0</v>
      </c>
      <c r="AT605" s="1544"/>
      <c r="AU605" s="172" t="s">
        <v>699</v>
      </c>
      <c r="AV605" s="249">
        <v>0</v>
      </c>
      <c r="AW605" s="250">
        <v>0</v>
      </c>
      <c r="AX605" s="267">
        <v>0</v>
      </c>
      <c r="AY605" s="252">
        <v>0</v>
      </c>
      <c r="BA605" s="277"/>
      <c r="BC605" s="175"/>
    </row>
    <row r="606" spans="6:55">
      <c r="F606" s="242">
        <v>5550</v>
      </c>
      <c r="G606" s="243">
        <v>9030</v>
      </c>
      <c r="H606" s="242">
        <v>5130</v>
      </c>
      <c r="I606" s="243">
        <v>8610</v>
      </c>
      <c r="J606" s="179" t="s">
        <v>664</v>
      </c>
      <c r="K606" s="244">
        <v>60</v>
      </c>
      <c r="L606" s="245">
        <v>90</v>
      </c>
      <c r="M606" s="246" t="s">
        <v>696</v>
      </c>
      <c r="N606" s="244">
        <v>60</v>
      </c>
      <c r="O606" s="245">
        <v>90</v>
      </c>
      <c r="P606" s="246" t="s">
        <v>696</v>
      </c>
      <c r="AD606" s="1548">
        <v>0</v>
      </c>
      <c r="AE606" s="255"/>
      <c r="AP606" s="249">
        <v>0</v>
      </c>
      <c r="AQ606" s="250">
        <v>0</v>
      </c>
      <c r="AR606" s="293">
        <v>0</v>
      </c>
      <c r="AS606" s="250">
        <v>0</v>
      </c>
      <c r="AT606" s="1544"/>
      <c r="AU606" s="172" t="s">
        <v>700</v>
      </c>
      <c r="AV606" s="249">
        <v>0</v>
      </c>
      <c r="AW606" s="250">
        <v>0</v>
      </c>
      <c r="AX606" s="267">
        <v>0</v>
      </c>
      <c r="AY606" s="252">
        <v>0</v>
      </c>
      <c r="BA606" s="235" t="s">
        <v>666</v>
      </c>
      <c r="BC606" s="175"/>
    </row>
    <row r="607" spans="6:55">
      <c r="F607" s="256">
        <v>9030</v>
      </c>
      <c r="G607" s="257">
        <v>0</v>
      </c>
      <c r="H607" s="256">
        <v>8610</v>
      </c>
      <c r="I607" s="257">
        <v>0</v>
      </c>
      <c r="J607" s="179" t="s">
        <v>664</v>
      </c>
      <c r="K607" s="258">
        <v>90</v>
      </c>
      <c r="L607" s="259">
        <v>0</v>
      </c>
      <c r="M607" s="260" t="s">
        <v>696</v>
      </c>
      <c r="N607" s="258">
        <v>90</v>
      </c>
      <c r="O607" s="259">
        <v>0</v>
      </c>
      <c r="P607" s="260" t="s">
        <v>696</v>
      </c>
      <c r="AD607" s="1549">
        <v>0</v>
      </c>
      <c r="AE607" s="261"/>
      <c r="AP607" s="263">
        <v>0</v>
      </c>
      <c r="AQ607" s="264">
        <v>0</v>
      </c>
      <c r="AR607" s="292">
        <v>0</v>
      </c>
      <c r="AS607" s="264">
        <v>0</v>
      </c>
      <c r="AT607" s="1544"/>
      <c r="AU607" s="262" t="s">
        <v>701</v>
      </c>
      <c r="AV607" s="263">
        <v>0</v>
      </c>
      <c r="AW607" s="264">
        <v>0</v>
      </c>
      <c r="AX607" s="265">
        <v>0</v>
      </c>
      <c r="AY607" s="266">
        <v>0</v>
      </c>
      <c r="BA607" s="235">
        <v>0</v>
      </c>
      <c r="BC607" s="175"/>
    </row>
    <row r="608" spans="6:55">
      <c r="F608" s="218">
        <v>2420</v>
      </c>
      <c r="G608" s="219">
        <v>2770</v>
      </c>
      <c r="H608" s="218">
        <v>2070</v>
      </c>
      <c r="I608" s="219">
        <v>2420</v>
      </c>
      <c r="J608" s="179" t="s">
        <v>664</v>
      </c>
      <c r="K608" s="220">
        <v>30</v>
      </c>
      <c r="L608" s="221">
        <v>30</v>
      </c>
      <c r="M608" s="222" t="s">
        <v>696</v>
      </c>
      <c r="N608" s="220">
        <v>20</v>
      </c>
      <c r="O608" s="221">
        <v>20</v>
      </c>
      <c r="P608" s="222" t="s">
        <v>696</v>
      </c>
      <c r="AD608" s="1546">
        <v>0</v>
      </c>
      <c r="AE608" s="227"/>
      <c r="AP608" s="231">
        <v>0</v>
      </c>
      <c r="AQ608" s="232">
        <v>0</v>
      </c>
      <c r="AR608" s="293">
        <v>0</v>
      </c>
      <c r="AS608" s="250">
        <v>0</v>
      </c>
      <c r="AT608" s="1544" t="s">
        <v>664</v>
      </c>
      <c r="AU608" s="230" t="s">
        <v>697</v>
      </c>
      <c r="AV608" s="231">
        <v>0</v>
      </c>
      <c r="AW608" s="232">
        <v>0</v>
      </c>
      <c r="AX608" s="267">
        <v>0</v>
      </c>
      <c r="AY608" s="252">
        <v>0</v>
      </c>
      <c r="BA608" s="277"/>
      <c r="BC608" s="175"/>
    </row>
    <row r="609" spans="6:55">
      <c r="F609" s="242">
        <v>2770</v>
      </c>
      <c r="G609" s="243">
        <v>5200</v>
      </c>
      <c r="H609" s="242">
        <v>2420</v>
      </c>
      <c r="I609" s="243">
        <v>4850</v>
      </c>
      <c r="J609" s="179" t="s">
        <v>664</v>
      </c>
      <c r="K609" s="244">
        <v>30</v>
      </c>
      <c r="L609" s="245">
        <v>50</v>
      </c>
      <c r="M609" s="246" t="s">
        <v>696</v>
      </c>
      <c r="N609" s="244">
        <v>20</v>
      </c>
      <c r="O609" s="245">
        <v>50</v>
      </c>
      <c r="P609" s="246" t="s">
        <v>696</v>
      </c>
      <c r="AD609" s="1547">
        <v>0</v>
      </c>
      <c r="AE609" s="248">
        <v>0</v>
      </c>
      <c r="AP609" s="249">
        <v>0</v>
      </c>
      <c r="AQ609" s="250">
        <v>0</v>
      </c>
      <c r="AR609" s="293">
        <v>0</v>
      </c>
      <c r="AS609" s="250">
        <v>0</v>
      </c>
      <c r="AT609" s="1544"/>
      <c r="AU609" s="172" t="s">
        <v>699</v>
      </c>
      <c r="AV609" s="249">
        <v>0</v>
      </c>
      <c r="AW609" s="250">
        <v>0</v>
      </c>
      <c r="AX609" s="267">
        <v>0</v>
      </c>
      <c r="AY609" s="252">
        <v>0</v>
      </c>
      <c r="BA609" s="235" t="s">
        <v>667</v>
      </c>
      <c r="BC609" s="175"/>
    </row>
    <row r="610" spans="6:55">
      <c r="F610" s="242">
        <v>5200</v>
      </c>
      <c r="G610" s="243">
        <v>8680</v>
      </c>
      <c r="H610" s="242">
        <v>4850</v>
      </c>
      <c r="I610" s="243">
        <v>8330</v>
      </c>
      <c r="J610" s="179" t="s">
        <v>664</v>
      </c>
      <c r="K610" s="244">
        <v>50</v>
      </c>
      <c r="L610" s="245">
        <v>80</v>
      </c>
      <c r="M610" s="246" t="s">
        <v>696</v>
      </c>
      <c r="N610" s="244">
        <v>50</v>
      </c>
      <c r="O610" s="245">
        <v>80</v>
      </c>
      <c r="P610" s="246" t="s">
        <v>696</v>
      </c>
      <c r="AD610" s="1548">
        <v>0</v>
      </c>
      <c r="AE610" s="255"/>
      <c r="AP610" s="249">
        <v>0</v>
      </c>
      <c r="AQ610" s="250">
        <v>0</v>
      </c>
      <c r="AR610" s="293">
        <v>0</v>
      </c>
      <c r="AS610" s="250">
        <v>0</v>
      </c>
      <c r="AT610" s="1544"/>
      <c r="AU610" s="172" t="s">
        <v>700</v>
      </c>
      <c r="AV610" s="249">
        <v>0</v>
      </c>
      <c r="AW610" s="250">
        <v>0</v>
      </c>
      <c r="AX610" s="267">
        <v>0</v>
      </c>
      <c r="AY610" s="252">
        <v>0</v>
      </c>
      <c r="BA610" s="235">
        <v>0</v>
      </c>
      <c r="BC610" s="175"/>
    </row>
    <row r="611" spans="6:55">
      <c r="F611" s="256">
        <v>8680</v>
      </c>
      <c r="G611" s="257">
        <v>0</v>
      </c>
      <c r="H611" s="256">
        <v>8330</v>
      </c>
      <c r="I611" s="257">
        <v>0</v>
      </c>
      <c r="J611" s="179" t="s">
        <v>664</v>
      </c>
      <c r="K611" s="258">
        <v>80</v>
      </c>
      <c r="L611" s="259">
        <v>0</v>
      </c>
      <c r="M611" s="260" t="s">
        <v>696</v>
      </c>
      <c r="N611" s="258">
        <v>80</v>
      </c>
      <c r="O611" s="259">
        <v>0</v>
      </c>
      <c r="P611" s="260" t="s">
        <v>696</v>
      </c>
      <c r="AD611" s="1549">
        <v>0</v>
      </c>
      <c r="AE611" s="261"/>
      <c r="AP611" s="263">
        <v>0</v>
      </c>
      <c r="AQ611" s="264">
        <v>0</v>
      </c>
      <c r="AR611" s="292">
        <v>0</v>
      </c>
      <c r="AS611" s="264">
        <v>0</v>
      </c>
      <c r="AT611" s="1544"/>
      <c r="AU611" s="262" t="s">
        <v>701</v>
      </c>
      <c r="AV611" s="263">
        <v>0</v>
      </c>
      <c r="AW611" s="264">
        <v>0</v>
      </c>
      <c r="AX611" s="265">
        <v>0</v>
      </c>
      <c r="AY611" s="266">
        <v>0</v>
      </c>
      <c r="BA611" s="277"/>
      <c r="BC611" s="175"/>
    </row>
    <row r="612" spans="6:55">
      <c r="F612" s="218">
        <v>2170</v>
      </c>
      <c r="G612" s="219">
        <v>2520</v>
      </c>
      <c r="H612" s="218">
        <v>1880</v>
      </c>
      <c r="I612" s="219">
        <v>2230</v>
      </c>
      <c r="J612" s="179" t="s">
        <v>664</v>
      </c>
      <c r="K612" s="220">
        <v>20</v>
      </c>
      <c r="L612" s="221">
        <v>20</v>
      </c>
      <c r="M612" s="222" t="s">
        <v>696</v>
      </c>
      <c r="N612" s="220">
        <v>20</v>
      </c>
      <c r="O612" s="221">
        <v>20</v>
      </c>
      <c r="P612" s="222" t="s">
        <v>696</v>
      </c>
      <c r="AD612" s="1546">
        <v>0</v>
      </c>
      <c r="AE612" s="227"/>
      <c r="AP612" s="231">
        <v>0</v>
      </c>
      <c r="AQ612" s="232">
        <v>0</v>
      </c>
      <c r="AR612" s="293">
        <v>0</v>
      </c>
      <c r="AS612" s="250">
        <v>0</v>
      </c>
      <c r="AT612" s="1544" t="s">
        <v>664</v>
      </c>
      <c r="AU612" s="230" t="s">
        <v>697</v>
      </c>
      <c r="AV612" s="231">
        <v>0</v>
      </c>
      <c r="AW612" s="232">
        <v>0</v>
      </c>
      <c r="AX612" s="267">
        <v>0</v>
      </c>
      <c r="AY612" s="252">
        <v>0</v>
      </c>
      <c r="BA612" s="235" t="s">
        <v>668</v>
      </c>
      <c r="BC612" s="175"/>
    </row>
    <row r="613" spans="6:55">
      <c r="F613" s="242">
        <v>2520</v>
      </c>
      <c r="G613" s="243">
        <v>4950</v>
      </c>
      <c r="H613" s="242">
        <v>2230</v>
      </c>
      <c r="I613" s="243">
        <v>4660</v>
      </c>
      <c r="J613" s="179" t="s">
        <v>664</v>
      </c>
      <c r="K613" s="244">
        <v>20</v>
      </c>
      <c r="L613" s="245">
        <v>50</v>
      </c>
      <c r="M613" s="246" t="s">
        <v>696</v>
      </c>
      <c r="N613" s="244">
        <v>20</v>
      </c>
      <c r="O613" s="245">
        <v>50</v>
      </c>
      <c r="P613" s="246" t="s">
        <v>696</v>
      </c>
      <c r="AD613" s="1547">
        <v>0</v>
      </c>
      <c r="AE613" s="248">
        <v>0</v>
      </c>
      <c r="AP613" s="249">
        <v>0</v>
      </c>
      <c r="AQ613" s="250">
        <v>0</v>
      </c>
      <c r="AR613" s="293">
        <v>0</v>
      </c>
      <c r="AS613" s="250">
        <v>0</v>
      </c>
      <c r="AT613" s="1544"/>
      <c r="AU613" s="172" t="s">
        <v>699</v>
      </c>
      <c r="AV613" s="249">
        <v>0</v>
      </c>
      <c r="AW613" s="250">
        <v>0</v>
      </c>
      <c r="AX613" s="267">
        <v>0</v>
      </c>
      <c r="AY613" s="252">
        <v>0</v>
      </c>
      <c r="BA613" s="235">
        <v>0</v>
      </c>
      <c r="BC613" s="175"/>
    </row>
    <row r="614" spans="6:55">
      <c r="F614" s="242">
        <v>4950</v>
      </c>
      <c r="G614" s="243">
        <v>8430</v>
      </c>
      <c r="H614" s="242">
        <v>4660</v>
      </c>
      <c r="I614" s="243">
        <v>8140</v>
      </c>
      <c r="J614" s="179" t="s">
        <v>664</v>
      </c>
      <c r="K614" s="244">
        <v>50</v>
      </c>
      <c r="L614" s="245">
        <v>80</v>
      </c>
      <c r="M614" s="246" t="s">
        <v>696</v>
      </c>
      <c r="N614" s="244">
        <v>50</v>
      </c>
      <c r="O614" s="245">
        <v>80</v>
      </c>
      <c r="P614" s="246" t="s">
        <v>696</v>
      </c>
      <c r="AD614" s="1548">
        <v>0</v>
      </c>
      <c r="AE614" s="255"/>
      <c r="AP614" s="249">
        <v>0</v>
      </c>
      <c r="AQ614" s="250">
        <v>0</v>
      </c>
      <c r="AR614" s="293">
        <v>0</v>
      </c>
      <c r="AS614" s="250">
        <v>0</v>
      </c>
      <c r="AT614" s="1544"/>
      <c r="AU614" s="172" t="s">
        <v>700</v>
      </c>
      <c r="AV614" s="249">
        <v>0</v>
      </c>
      <c r="AW614" s="250">
        <v>0</v>
      </c>
      <c r="AX614" s="267">
        <v>0</v>
      </c>
      <c r="AY614" s="252">
        <v>0</v>
      </c>
      <c r="BA614" s="277"/>
      <c r="BC614" s="175"/>
    </row>
    <row r="615" spans="6:55">
      <c r="F615" s="256">
        <v>8430</v>
      </c>
      <c r="G615" s="257">
        <v>0</v>
      </c>
      <c r="H615" s="256">
        <v>8140</v>
      </c>
      <c r="I615" s="257">
        <v>0</v>
      </c>
      <c r="J615" s="179" t="s">
        <v>664</v>
      </c>
      <c r="K615" s="258">
        <v>80</v>
      </c>
      <c r="L615" s="259">
        <v>0</v>
      </c>
      <c r="M615" s="260" t="s">
        <v>696</v>
      </c>
      <c r="N615" s="258">
        <v>80</v>
      </c>
      <c r="O615" s="259">
        <v>0</v>
      </c>
      <c r="P615" s="260" t="s">
        <v>696</v>
      </c>
      <c r="AD615" s="1549">
        <v>0</v>
      </c>
      <c r="AE615" s="261"/>
      <c r="AP615" s="263">
        <v>0</v>
      </c>
      <c r="AQ615" s="264">
        <v>0</v>
      </c>
      <c r="AR615" s="292">
        <v>0</v>
      </c>
      <c r="AS615" s="264">
        <v>0</v>
      </c>
      <c r="AT615" s="1544"/>
      <c r="AU615" s="262" t="s">
        <v>701</v>
      </c>
      <c r="AV615" s="263">
        <v>0</v>
      </c>
      <c r="AW615" s="264">
        <v>0</v>
      </c>
      <c r="AX615" s="265">
        <v>0</v>
      </c>
      <c r="AY615" s="266">
        <v>0</v>
      </c>
      <c r="BA615" s="235" t="s">
        <v>669</v>
      </c>
      <c r="BC615" s="175"/>
    </row>
    <row r="616" spans="6:55">
      <c r="F616" s="218">
        <v>1990</v>
      </c>
      <c r="G616" s="219">
        <v>2340</v>
      </c>
      <c r="H616" s="218">
        <v>1740</v>
      </c>
      <c r="I616" s="219">
        <v>2090</v>
      </c>
      <c r="J616" s="179" t="s">
        <v>664</v>
      </c>
      <c r="K616" s="220">
        <v>20</v>
      </c>
      <c r="L616" s="221">
        <v>20</v>
      </c>
      <c r="M616" s="222" t="s">
        <v>696</v>
      </c>
      <c r="N616" s="220">
        <v>20</v>
      </c>
      <c r="O616" s="221">
        <v>20</v>
      </c>
      <c r="P616" s="222" t="s">
        <v>696</v>
      </c>
      <c r="AD616" s="1546">
        <v>0</v>
      </c>
      <c r="AE616" s="227"/>
      <c r="AP616" s="231">
        <v>0</v>
      </c>
      <c r="AQ616" s="232">
        <v>0</v>
      </c>
      <c r="AR616" s="293">
        <v>0</v>
      </c>
      <c r="AS616" s="250">
        <v>0</v>
      </c>
      <c r="AT616" s="1544" t="s">
        <v>664</v>
      </c>
      <c r="AU616" s="230" t="s">
        <v>697</v>
      </c>
      <c r="AV616" s="231">
        <v>0</v>
      </c>
      <c r="AW616" s="232">
        <v>0</v>
      </c>
      <c r="AX616" s="267">
        <v>0</v>
      </c>
      <c r="AY616" s="252">
        <v>0</v>
      </c>
      <c r="BA616" s="235">
        <v>0</v>
      </c>
      <c r="BC616" s="175"/>
    </row>
    <row r="617" spans="6:55">
      <c r="F617" s="242">
        <v>2340</v>
      </c>
      <c r="G617" s="243">
        <v>4770</v>
      </c>
      <c r="H617" s="242">
        <v>2090</v>
      </c>
      <c r="I617" s="243">
        <v>4520</v>
      </c>
      <c r="J617" s="179" t="s">
        <v>664</v>
      </c>
      <c r="K617" s="244">
        <v>20</v>
      </c>
      <c r="L617" s="245">
        <v>50</v>
      </c>
      <c r="M617" s="246" t="s">
        <v>696</v>
      </c>
      <c r="N617" s="244">
        <v>20</v>
      </c>
      <c r="O617" s="245">
        <v>40</v>
      </c>
      <c r="P617" s="246" t="s">
        <v>696</v>
      </c>
      <c r="AD617" s="1547">
        <v>0</v>
      </c>
      <c r="AE617" s="248">
        <v>0</v>
      </c>
      <c r="AP617" s="249">
        <v>0</v>
      </c>
      <c r="AQ617" s="250">
        <v>0</v>
      </c>
      <c r="AR617" s="293">
        <v>0</v>
      </c>
      <c r="AS617" s="250">
        <v>0</v>
      </c>
      <c r="AT617" s="1544"/>
      <c r="AU617" s="172" t="s">
        <v>699</v>
      </c>
      <c r="AV617" s="249">
        <v>0</v>
      </c>
      <c r="AW617" s="250">
        <v>0</v>
      </c>
      <c r="AX617" s="267">
        <v>0</v>
      </c>
      <c r="AY617" s="252">
        <v>0</v>
      </c>
      <c r="BA617" s="277"/>
      <c r="BC617" s="175"/>
    </row>
    <row r="618" spans="6:55">
      <c r="F618" s="242">
        <v>4770</v>
      </c>
      <c r="G618" s="243">
        <v>8250</v>
      </c>
      <c r="H618" s="242">
        <v>4520</v>
      </c>
      <c r="I618" s="243">
        <v>8000</v>
      </c>
      <c r="J618" s="179" t="s">
        <v>664</v>
      </c>
      <c r="K618" s="244">
        <v>50</v>
      </c>
      <c r="L618" s="245">
        <v>80</v>
      </c>
      <c r="M618" s="246" t="s">
        <v>696</v>
      </c>
      <c r="N618" s="244">
        <v>40</v>
      </c>
      <c r="O618" s="245">
        <v>70</v>
      </c>
      <c r="P618" s="246" t="s">
        <v>696</v>
      </c>
      <c r="AD618" s="1548">
        <v>0</v>
      </c>
      <c r="AE618" s="255"/>
      <c r="AP618" s="249">
        <v>0</v>
      </c>
      <c r="AQ618" s="250">
        <v>0</v>
      </c>
      <c r="AR618" s="293">
        <v>0</v>
      </c>
      <c r="AS618" s="250">
        <v>0</v>
      </c>
      <c r="AT618" s="1544"/>
      <c r="AU618" s="172" t="s">
        <v>700</v>
      </c>
      <c r="AV618" s="249">
        <v>0</v>
      </c>
      <c r="AW618" s="250">
        <v>0</v>
      </c>
      <c r="AX618" s="267">
        <v>0</v>
      </c>
      <c r="AY618" s="252">
        <v>0</v>
      </c>
      <c r="BA618" s="235" t="s">
        <v>670</v>
      </c>
      <c r="BC618" s="175"/>
    </row>
    <row r="619" spans="6:55">
      <c r="F619" s="256">
        <v>8250</v>
      </c>
      <c r="G619" s="257">
        <v>0</v>
      </c>
      <c r="H619" s="256">
        <v>8000</v>
      </c>
      <c r="I619" s="257">
        <v>0</v>
      </c>
      <c r="J619" s="179" t="s">
        <v>664</v>
      </c>
      <c r="K619" s="258">
        <v>80</v>
      </c>
      <c r="L619" s="259">
        <v>0</v>
      </c>
      <c r="M619" s="260" t="s">
        <v>696</v>
      </c>
      <c r="N619" s="258">
        <v>70</v>
      </c>
      <c r="O619" s="259">
        <v>0</v>
      </c>
      <c r="P619" s="260" t="s">
        <v>696</v>
      </c>
      <c r="AD619" s="1549">
        <v>0</v>
      </c>
      <c r="AE619" s="261"/>
      <c r="AP619" s="263">
        <v>0</v>
      </c>
      <c r="AQ619" s="264">
        <v>0</v>
      </c>
      <c r="AR619" s="292">
        <v>0</v>
      </c>
      <c r="AS619" s="264">
        <v>0</v>
      </c>
      <c r="AT619" s="1544"/>
      <c r="AU619" s="262" t="s">
        <v>701</v>
      </c>
      <c r="AV619" s="263">
        <v>0</v>
      </c>
      <c r="AW619" s="264">
        <v>0</v>
      </c>
      <c r="AX619" s="265">
        <v>0</v>
      </c>
      <c r="AY619" s="266">
        <v>0</v>
      </c>
      <c r="BA619" s="235">
        <v>0</v>
      </c>
      <c r="BC619" s="175"/>
    </row>
    <row r="620" spans="6:55">
      <c r="F620" s="218">
        <v>1850</v>
      </c>
      <c r="G620" s="219">
        <v>2200</v>
      </c>
      <c r="H620" s="218">
        <v>1610</v>
      </c>
      <c r="I620" s="219">
        <v>1960</v>
      </c>
      <c r="J620" s="179" t="s">
        <v>664</v>
      </c>
      <c r="K620" s="220">
        <v>20</v>
      </c>
      <c r="L620" s="221">
        <v>20</v>
      </c>
      <c r="M620" s="222" t="s">
        <v>696</v>
      </c>
      <c r="N620" s="220">
        <v>10</v>
      </c>
      <c r="O620" s="221">
        <v>10</v>
      </c>
      <c r="P620" s="222" t="s">
        <v>696</v>
      </c>
      <c r="AD620" s="1546">
        <v>0</v>
      </c>
      <c r="AE620" s="227"/>
      <c r="AP620" s="231">
        <v>0</v>
      </c>
      <c r="AQ620" s="232">
        <v>0</v>
      </c>
      <c r="AR620" s="293">
        <v>0</v>
      </c>
      <c r="AS620" s="250">
        <v>0</v>
      </c>
      <c r="AT620" s="1544" t="s">
        <v>664</v>
      </c>
      <c r="AU620" s="230" t="s">
        <v>697</v>
      </c>
      <c r="AV620" s="231">
        <v>0</v>
      </c>
      <c r="AW620" s="232">
        <v>0</v>
      </c>
      <c r="AX620" s="267">
        <v>0</v>
      </c>
      <c r="AY620" s="252">
        <v>0</v>
      </c>
      <c r="BA620" s="277"/>
      <c r="BC620" s="175"/>
    </row>
    <row r="621" spans="6:55">
      <c r="F621" s="242">
        <v>2200</v>
      </c>
      <c r="G621" s="243">
        <v>4630</v>
      </c>
      <c r="H621" s="242">
        <v>1960</v>
      </c>
      <c r="I621" s="243">
        <v>4390</v>
      </c>
      <c r="J621" s="179" t="s">
        <v>664</v>
      </c>
      <c r="K621" s="244">
        <v>20</v>
      </c>
      <c r="L621" s="245">
        <v>50</v>
      </c>
      <c r="M621" s="246" t="s">
        <v>696</v>
      </c>
      <c r="N621" s="244">
        <v>10</v>
      </c>
      <c r="O621" s="245">
        <v>50</v>
      </c>
      <c r="P621" s="246" t="s">
        <v>696</v>
      </c>
      <c r="AD621" s="1547">
        <v>0</v>
      </c>
      <c r="AE621" s="248">
        <v>0</v>
      </c>
      <c r="AP621" s="249">
        <v>0</v>
      </c>
      <c r="AQ621" s="250">
        <v>0</v>
      </c>
      <c r="AR621" s="293">
        <v>0</v>
      </c>
      <c r="AS621" s="250">
        <v>0</v>
      </c>
      <c r="AT621" s="1544"/>
      <c r="AU621" s="172" t="s">
        <v>699</v>
      </c>
      <c r="AV621" s="249">
        <v>0</v>
      </c>
      <c r="AW621" s="250">
        <v>0</v>
      </c>
      <c r="AX621" s="267">
        <v>0</v>
      </c>
      <c r="AY621" s="252">
        <v>0</v>
      </c>
      <c r="BA621" s="235" t="s">
        <v>671</v>
      </c>
      <c r="BC621" s="201"/>
    </row>
    <row r="622" spans="6:55">
      <c r="F622" s="242">
        <v>4630</v>
      </c>
      <c r="G622" s="243">
        <v>8110</v>
      </c>
      <c r="H622" s="242">
        <v>4390</v>
      </c>
      <c r="I622" s="243">
        <v>7870</v>
      </c>
      <c r="J622" s="179" t="s">
        <v>664</v>
      </c>
      <c r="K622" s="244">
        <v>50</v>
      </c>
      <c r="L622" s="245">
        <v>80</v>
      </c>
      <c r="M622" s="246" t="s">
        <v>696</v>
      </c>
      <c r="N622" s="244">
        <v>50</v>
      </c>
      <c r="O622" s="245">
        <v>80</v>
      </c>
      <c r="P622" s="246" t="s">
        <v>696</v>
      </c>
      <c r="AD622" s="1548">
        <v>0</v>
      </c>
      <c r="AE622" s="255"/>
      <c r="AP622" s="249">
        <v>0</v>
      </c>
      <c r="AQ622" s="250">
        <v>0</v>
      </c>
      <c r="AR622" s="293">
        <v>0</v>
      </c>
      <c r="AS622" s="250">
        <v>0</v>
      </c>
      <c r="AT622" s="1544"/>
      <c r="AU622" s="172" t="s">
        <v>700</v>
      </c>
      <c r="AV622" s="249">
        <v>0</v>
      </c>
      <c r="AW622" s="250">
        <v>0</v>
      </c>
      <c r="AX622" s="267">
        <v>0</v>
      </c>
      <c r="AY622" s="252">
        <v>0</v>
      </c>
      <c r="BA622" s="235">
        <v>0</v>
      </c>
    </row>
    <row r="623" spans="6:55">
      <c r="F623" s="256">
        <v>8110</v>
      </c>
      <c r="G623" s="257">
        <v>0</v>
      </c>
      <c r="H623" s="256">
        <v>7870</v>
      </c>
      <c r="I623" s="257">
        <v>0</v>
      </c>
      <c r="J623" s="179" t="s">
        <v>664</v>
      </c>
      <c r="K623" s="258">
        <v>80</v>
      </c>
      <c r="L623" s="259">
        <v>0</v>
      </c>
      <c r="M623" s="260" t="s">
        <v>696</v>
      </c>
      <c r="N623" s="258">
        <v>80</v>
      </c>
      <c r="O623" s="259">
        <v>0</v>
      </c>
      <c r="P623" s="260" t="s">
        <v>696</v>
      </c>
      <c r="AD623" s="1549">
        <v>0</v>
      </c>
      <c r="AE623" s="261"/>
      <c r="AP623" s="263">
        <v>0</v>
      </c>
      <c r="AQ623" s="264">
        <v>0</v>
      </c>
      <c r="AR623" s="292">
        <v>0</v>
      </c>
      <c r="AS623" s="264">
        <v>0</v>
      </c>
      <c r="AT623" s="1544"/>
      <c r="AU623" s="262" t="s">
        <v>701</v>
      </c>
      <c r="AV623" s="263">
        <v>0</v>
      </c>
      <c r="AW623" s="264">
        <v>0</v>
      </c>
      <c r="AX623" s="265">
        <v>0</v>
      </c>
      <c r="AY623" s="266">
        <v>0</v>
      </c>
      <c r="BA623" s="277"/>
    </row>
    <row r="624" spans="6:55">
      <c r="F624" s="218">
        <v>1530</v>
      </c>
      <c r="G624" s="219">
        <v>1880</v>
      </c>
      <c r="H624" s="218">
        <v>1320</v>
      </c>
      <c r="I624" s="219">
        <v>1670</v>
      </c>
      <c r="J624" s="179" t="s">
        <v>664</v>
      </c>
      <c r="K624" s="220">
        <v>20</v>
      </c>
      <c r="L624" s="221">
        <v>20</v>
      </c>
      <c r="M624" s="222" t="s">
        <v>696</v>
      </c>
      <c r="N624" s="220">
        <v>10</v>
      </c>
      <c r="O624" s="221">
        <v>10</v>
      </c>
      <c r="P624" s="222" t="s">
        <v>696</v>
      </c>
      <c r="AD624" s="281"/>
      <c r="AE624" s="281"/>
      <c r="AP624" s="231">
        <v>0</v>
      </c>
      <c r="AQ624" s="232">
        <v>0</v>
      </c>
      <c r="AR624" s="293">
        <v>0</v>
      </c>
      <c r="AS624" s="250">
        <v>0</v>
      </c>
      <c r="AT624" s="1544" t="s">
        <v>664</v>
      </c>
      <c r="AU624" s="230" t="s">
        <v>697</v>
      </c>
      <c r="AV624" s="231">
        <v>0</v>
      </c>
      <c r="AW624" s="232">
        <v>0</v>
      </c>
      <c r="AX624" s="267">
        <v>0</v>
      </c>
      <c r="AY624" s="252">
        <v>0</v>
      </c>
      <c r="BA624" s="235" t="s">
        <v>672</v>
      </c>
    </row>
    <row r="625" spans="6:53">
      <c r="F625" s="242">
        <v>1880</v>
      </c>
      <c r="G625" s="243">
        <v>4310</v>
      </c>
      <c r="H625" s="242">
        <v>1670</v>
      </c>
      <c r="I625" s="243">
        <v>4100</v>
      </c>
      <c r="J625" s="179" t="s">
        <v>664</v>
      </c>
      <c r="K625" s="244">
        <v>20</v>
      </c>
      <c r="L625" s="245">
        <v>40</v>
      </c>
      <c r="M625" s="246" t="s">
        <v>696</v>
      </c>
      <c r="N625" s="244">
        <v>10</v>
      </c>
      <c r="O625" s="245">
        <v>40</v>
      </c>
      <c r="P625" s="246" t="s">
        <v>696</v>
      </c>
      <c r="AD625" s="281"/>
      <c r="AE625" s="281"/>
      <c r="AP625" s="249">
        <v>0</v>
      </c>
      <c r="AQ625" s="250">
        <v>0</v>
      </c>
      <c r="AR625" s="293">
        <v>0</v>
      </c>
      <c r="AS625" s="250">
        <v>0</v>
      </c>
      <c r="AT625" s="1544"/>
      <c r="AU625" s="172" t="s">
        <v>699</v>
      </c>
      <c r="AV625" s="249">
        <v>0</v>
      </c>
      <c r="AW625" s="250">
        <v>0</v>
      </c>
      <c r="AX625" s="267">
        <v>0</v>
      </c>
      <c r="AY625" s="252">
        <v>0</v>
      </c>
      <c r="BA625" s="235">
        <v>0</v>
      </c>
    </row>
    <row r="626" spans="6:53">
      <c r="F626" s="242">
        <v>4310</v>
      </c>
      <c r="G626" s="243">
        <v>7790</v>
      </c>
      <c r="H626" s="242">
        <v>4100</v>
      </c>
      <c r="I626" s="243">
        <v>7580</v>
      </c>
      <c r="J626" s="179" t="s">
        <v>664</v>
      </c>
      <c r="K626" s="244">
        <v>40</v>
      </c>
      <c r="L626" s="245">
        <v>70</v>
      </c>
      <c r="M626" s="246" t="s">
        <v>696</v>
      </c>
      <c r="N626" s="244">
        <v>40</v>
      </c>
      <c r="O626" s="245">
        <v>70</v>
      </c>
      <c r="P626" s="246" t="s">
        <v>696</v>
      </c>
      <c r="AD626" s="281"/>
      <c r="AE626" s="281"/>
      <c r="AP626" s="249">
        <v>0</v>
      </c>
      <c r="AQ626" s="250">
        <v>0</v>
      </c>
      <c r="AR626" s="293">
        <v>0</v>
      </c>
      <c r="AS626" s="250">
        <v>0</v>
      </c>
      <c r="AT626" s="1544"/>
      <c r="AU626" s="172" t="s">
        <v>700</v>
      </c>
      <c r="AV626" s="249">
        <v>0</v>
      </c>
      <c r="AW626" s="250">
        <v>0</v>
      </c>
      <c r="AX626" s="267">
        <v>0</v>
      </c>
      <c r="AY626" s="252">
        <v>0</v>
      </c>
      <c r="BA626" s="277"/>
    </row>
    <row r="627" spans="6:53">
      <c r="F627" s="256">
        <v>7790</v>
      </c>
      <c r="G627" s="257">
        <v>0</v>
      </c>
      <c r="H627" s="256">
        <v>7580</v>
      </c>
      <c r="I627" s="257">
        <v>0</v>
      </c>
      <c r="J627" s="179" t="s">
        <v>664</v>
      </c>
      <c r="K627" s="258">
        <v>70</v>
      </c>
      <c r="L627" s="259">
        <v>0</v>
      </c>
      <c r="M627" s="260" t="s">
        <v>696</v>
      </c>
      <c r="N627" s="258">
        <v>70</v>
      </c>
      <c r="O627" s="259">
        <v>0</v>
      </c>
      <c r="P627" s="260" t="s">
        <v>696</v>
      </c>
      <c r="AD627" s="281"/>
      <c r="AE627" s="281"/>
      <c r="AP627" s="263">
        <v>0</v>
      </c>
      <c r="AQ627" s="264">
        <v>0</v>
      </c>
      <c r="AR627" s="292">
        <v>0</v>
      </c>
      <c r="AS627" s="264">
        <v>0</v>
      </c>
      <c r="AT627" s="1544"/>
      <c r="AU627" s="262" t="s">
        <v>701</v>
      </c>
      <c r="AV627" s="263">
        <v>0</v>
      </c>
      <c r="AW627" s="264">
        <v>0</v>
      </c>
      <c r="AX627" s="265">
        <v>0</v>
      </c>
      <c r="AY627" s="266">
        <v>0</v>
      </c>
      <c r="BA627" s="235" t="s">
        <v>673</v>
      </c>
    </row>
    <row r="628" spans="6:53">
      <c r="F628" s="218">
        <v>1450</v>
      </c>
      <c r="G628" s="219">
        <v>1800</v>
      </c>
      <c r="H628" s="218">
        <v>1260</v>
      </c>
      <c r="I628" s="219">
        <v>1610</v>
      </c>
      <c r="J628" s="179" t="s">
        <v>664</v>
      </c>
      <c r="K628" s="220">
        <v>10</v>
      </c>
      <c r="L628" s="221">
        <v>10</v>
      </c>
      <c r="M628" s="222" t="s">
        <v>696</v>
      </c>
      <c r="N628" s="220">
        <v>20</v>
      </c>
      <c r="O628" s="221">
        <v>20</v>
      </c>
      <c r="P628" s="222" t="s">
        <v>696</v>
      </c>
      <c r="AD628" s="281"/>
      <c r="AE628" s="281"/>
      <c r="AP628" s="231">
        <v>0</v>
      </c>
      <c r="AQ628" s="232">
        <v>0</v>
      </c>
      <c r="AR628" s="293">
        <v>0</v>
      </c>
      <c r="AS628" s="250">
        <v>0</v>
      </c>
      <c r="AT628" s="1544" t="s">
        <v>664</v>
      </c>
      <c r="AU628" s="230" t="s">
        <v>697</v>
      </c>
      <c r="AV628" s="231">
        <v>0</v>
      </c>
      <c r="AW628" s="232">
        <v>0</v>
      </c>
      <c r="AX628" s="267">
        <v>0</v>
      </c>
      <c r="AY628" s="252">
        <v>0</v>
      </c>
      <c r="BA628" s="235">
        <v>0</v>
      </c>
    </row>
    <row r="629" spans="6:53">
      <c r="F629" s="242">
        <v>1800</v>
      </c>
      <c r="G629" s="243">
        <v>4230</v>
      </c>
      <c r="H629" s="242">
        <v>1610</v>
      </c>
      <c r="I629" s="243">
        <v>4040</v>
      </c>
      <c r="J629" s="179" t="s">
        <v>664</v>
      </c>
      <c r="K629" s="244">
        <v>10</v>
      </c>
      <c r="L629" s="245">
        <v>40</v>
      </c>
      <c r="M629" s="246" t="s">
        <v>696</v>
      </c>
      <c r="N629" s="244">
        <v>20</v>
      </c>
      <c r="O629" s="245">
        <v>40</v>
      </c>
      <c r="P629" s="246" t="s">
        <v>696</v>
      </c>
      <c r="AD629" s="281"/>
      <c r="AE629" s="281"/>
      <c r="AP629" s="249">
        <v>0</v>
      </c>
      <c r="AQ629" s="250">
        <v>0</v>
      </c>
      <c r="AR629" s="293">
        <v>0</v>
      </c>
      <c r="AS629" s="250">
        <v>0</v>
      </c>
      <c r="AT629" s="1544"/>
      <c r="AU629" s="172" t="s">
        <v>699</v>
      </c>
      <c r="AV629" s="249">
        <v>0</v>
      </c>
      <c r="AW629" s="250">
        <v>0</v>
      </c>
      <c r="AX629" s="267">
        <v>0</v>
      </c>
      <c r="AY629" s="252">
        <v>0</v>
      </c>
      <c r="BA629" s="277"/>
    </row>
    <row r="630" spans="6:53">
      <c r="F630" s="242">
        <v>4230</v>
      </c>
      <c r="G630" s="243">
        <v>7710</v>
      </c>
      <c r="H630" s="242">
        <v>4040</v>
      </c>
      <c r="I630" s="243">
        <v>7520</v>
      </c>
      <c r="J630" s="179" t="s">
        <v>664</v>
      </c>
      <c r="K630" s="244">
        <v>40</v>
      </c>
      <c r="L630" s="245">
        <v>70</v>
      </c>
      <c r="M630" s="246" t="s">
        <v>696</v>
      </c>
      <c r="N630" s="244">
        <v>40</v>
      </c>
      <c r="O630" s="245">
        <v>70</v>
      </c>
      <c r="P630" s="246" t="s">
        <v>696</v>
      </c>
      <c r="AD630" s="281"/>
      <c r="AE630" s="281"/>
      <c r="AP630" s="249">
        <v>0</v>
      </c>
      <c r="AQ630" s="250">
        <v>0</v>
      </c>
      <c r="AR630" s="293">
        <v>0</v>
      </c>
      <c r="AS630" s="250">
        <v>0</v>
      </c>
      <c r="AT630" s="1544"/>
      <c r="AU630" s="172" t="s">
        <v>700</v>
      </c>
      <c r="AV630" s="249">
        <v>0</v>
      </c>
      <c r="AW630" s="250">
        <v>0</v>
      </c>
      <c r="AX630" s="267">
        <v>0</v>
      </c>
      <c r="AY630" s="252">
        <v>0</v>
      </c>
      <c r="BA630" s="235" t="s">
        <v>719</v>
      </c>
    </row>
    <row r="631" spans="6:53">
      <c r="F631" s="256">
        <v>7710</v>
      </c>
      <c r="G631" s="257">
        <v>0</v>
      </c>
      <c r="H631" s="256">
        <v>7520</v>
      </c>
      <c r="I631" s="257">
        <v>0</v>
      </c>
      <c r="J631" s="179" t="s">
        <v>664</v>
      </c>
      <c r="K631" s="258">
        <v>70</v>
      </c>
      <c r="L631" s="259">
        <v>0</v>
      </c>
      <c r="M631" s="260" t="s">
        <v>696</v>
      </c>
      <c r="N631" s="258">
        <v>70</v>
      </c>
      <c r="O631" s="259">
        <v>0</v>
      </c>
      <c r="P631" s="260" t="s">
        <v>696</v>
      </c>
      <c r="AD631" s="281"/>
      <c r="AE631" s="281"/>
      <c r="AP631" s="263">
        <v>0</v>
      </c>
      <c r="AQ631" s="264">
        <v>0</v>
      </c>
      <c r="AR631" s="292">
        <v>0</v>
      </c>
      <c r="AS631" s="264">
        <v>0</v>
      </c>
      <c r="AT631" s="1544"/>
      <c r="AU631" s="262" t="s">
        <v>701</v>
      </c>
      <c r="AV631" s="263">
        <v>0</v>
      </c>
      <c r="AW631" s="264">
        <v>0</v>
      </c>
      <c r="AX631" s="265">
        <v>0</v>
      </c>
      <c r="AY631" s="266">
        <v>0</v>
      </c>
      <c r="BA631" s="235">
        <v>0</v>
      </c>
    </row>
    <row r="632" spans="6:53">
      <c r="F632" s="218">
        <v>1390</v>
      </c>
      <c r="G632" s="219">
        <v>1740</v>
      </c>
      <c r="H632" s="218">
        <v>1220</v>
      </c>
      <c r="I632" s="219">
        <v>1570</v>
      </c>
      <c r="J632" s="179" t="s">
        <v>664</v>
      </c>
      <c r="K632" s="220">
        <v>10</v>
      </c>
      <c r="L632" s="221">
        <v>10</v>
      </c>
      <c r="M632" s="222" t="s">
        <v>696</v>
      </c>
      <c r="N632" s="220">
        <v>20</v>
      </c>
      <c r="O632" s="221">
        <v>20</v>
      </c>
      <c r="P632" s="222" t="s">
        <v>696</v>
      </c>
      <c r="AD632" s="281"/>
      <c r="AE632" s="281"/>
      <c r="AP632" s="231">
        <v>0</v>
      </c>
      <c r="AQ632" s="232">
        <v>0</v>
      </c>
      <c r="AR632" s="293">
        <v>0</v>
      </c>
      <c r="AS632" s="250">
        <v>0</v>
      </c>
      <c r="AT632" s="1544" t="s">
        <v>664</v>
      </c>
      <c r="AU632" s="230" t="s">
        <v>697</v>
      </c>
      <c r="AV632" s="231">
        <v>0</v>
      </c>
      <c r="AW632" s="232">
        <v>0</v>
      </c>
      <c r="AX632" s="267">
        <v>0</v>
      </c>
      <c r="AY632" s="252">
        <v>0</v>
      </c>
      <c r="BA632" s="277"/>
    </row>
    <row r="633" spans="6:53">
      <c r="F633" s="242">
        <v>1740</v>
      </c>
      <c r="G633" s="243">
        <v>4170</v>
      </c>
      <c r="H633" s="242">
        <v>1570</v>
      </c>
      <c r="I633" s="243">
        <v>4000</v>
      </c>
      <c r="J633" s="179" t="s">
        <v>664</v>
      </c>
      <c r="K633" s="244">
        <v>10</v>
      </c>
      <c r="L633" s="245">
        <v>50</v>
      </c>
      <c r="M633" s="246" t="s">
        <v>696</v>
      </c>
      <c r="N633" s="244">
        <v>20</v>
      </c>
      <c r="O633" s="245">
        <v>40</v>
      </c>
      <c r="P633" s="246" t="s">
        <v>696</v>
      </c>
      <c r="AD633" s="281"/>
      <c r="AE633" s="281"/>
      <c r="AP633" s="249">
        <v>0</v>
      </c>
      <c r="AQ633" s="250">
        <v>0</v>
      </c>
      <c r="AR633" s="293">
        <v>0</v>
      </c>
      <c r="AS633" s="250">
        <v>0</v>
      </c>
      <c r="AT633" s="1544"/>
      <c r="AU633" s="172" t="s">
        <v>699</v>
      </c>
      <c r="AV633" s="249">
        <v>0</v>
      </c>
      <c r="AW633" s="250">
        <v>0</v>
      </c>
      <c r="AX633" s="267">
        <v>0</v>
      </c>
      <c r="AY633" s="252">
        <v>0</v>
      </c>
      <c r="BA633" s="235" t="s">
        <v>675</v>
      </c>
    </row>
    <row r="634" spans="6:53">
      <c r="F634" s="242">
        <v>4170</v>
      </c>
      <c r="G634" s="243">
        <v>7650</v>
      </c>
      <c r="H634" s="242">
        <v>4000</v>
      </c>
      <c r="I634" s="243">
        <v>7480</v>
      </c>
      <c r="J634" s="179" t="s">
        <v>664</v>
      </c>
      <c r="K634" s="244">
        <v>50</v>
      </c>
      <c r="L634" s="245">
        <v>80</v>
      </c>
      <c r="M634" s="246" t="s">
        <v>696</v>
      </c>
      <c r="N634" s="244">
        <v>40</v>
      </c>
      <c r="O634" s="245">
        <v>70</v>
      </c>
      <c r="P634" s="246" t="s">
        <v>696</v>
      </c>
      <c r="AD634" s="281"/>
      <c r="AE634" s="281"/>
      <c r="AP634" s="249">
        <v>0</v>
      </c>
      <c r="AQ634" s="250">
        <v>0</v>
      </c>
      <c r="AR634" s="293">
        <v>0</v>
      </c>
      <c r="AS634" s="250">
        <v>0</v>
      </c>
      <c r="AT634" s="1544"/>
      <c r="AU634" s="172" t="s">
        <v>700</v>
      </c>
      <c r="AV634" s="249">
        <v>0</v>
      </c>
      <c r="AW634" s="250">
        <v>0</v>
      </c>
      <c r="AX634" s="267">
        <v>0</v>
      </c>
      <c r="AY634" s="252">
        <v>0</v>
      </c>
      <c r="BA634" s="235">
        <v>0</v>
      </c>
    </row>
    <row r="635" spans="6:53">
      <c r="F635" s="256">
        <v>7650</v>
      </c>
      <c r="G635" s="257">
        <v>0</v>
      </c>
      <c r="H635" s="256">
        <v>7480</v>
      </c>
      <c r="I635" s="257">
        <v>0</v>
      </c>
      <c r="J635" s="179" t="s">
        <v>664</v>
      </c>
      <c r="K635" s="258">
        <v>80</v>
      </c>
      <c r="L635" s="259">
        <v>0</v>
      </c>
      <c r="M635" s="260" t="s">
        <v>696</v>
      </c>
      <c r="N635" s="258">
        <v>70</v>
      </c>
      <c r="O635" s="259">
        <v>0</v>
      </c>
      <c r="P635" s="260" t="s">
        <v>696</v>
      </c>
      <c r="AD635" s="281"/>
      <c r="AE635" s="281"/>
      <c r="AP635" s="263">
        <v>0</v>
      </c>
      <c r="AQ635" s="264">
        <v>0</v>
      </c>
      <c r="AR635" s="292">
        <v>0</v>
      </c>
      <c r="AS635" s="264">
        <v>0</v>
      </c>
      <c r="AT635" s="1544"/>
      <c r="AU635" s="262" t="s">
        <v>701</v>
      </c>
      <c r="AV635" s="263">
        <v>0</v>
      </c>
      <c r="AW635" s="264">
        <v>0</v>
      </c>
      <c r="AX635" s="265">
        <v>0</v>
      </c>
      <c r="AY635" s="266">
        <v>0</v>
      </c>
      <c r="BA635" s="277"/>
    </row>
    <row r="636" spans="6:53">
      <c r="F636" s="218">
        <v>1330</v>
      </c>
      <c r="G636" s="219">
        <v>1680</v>
      </c>
      <c r="H636" s="218">
        <v>1170</v>
      </c>
      <c r="I636" s="219">
        <v>1520</v>
      </c>
      <c r="J636" s="179" t="s">
        <v>664</v>
      </c>
      <c r="K636" s="220">
        <v>10</v>
      </c>
      <c r="L636" s="221">
        <v>10</v>
      </c>
      <c r="M636" s="222" t="s">
        <v>696</v>
      </c>
      <c r="N636" s="220">
        <v>10</v>
      </c>
      <c r="O636" s="221">
        <v>10</v>
      </c>
      <c r="P636" s="222" t="s">
        <v>696</v>
      </c>
      <c r="AD636" s="281"/>
      <c r="AE636" s="281"/>
      <c r="AP636" s="231">
        <v>0</v>
      </c>
      <c r="AQ636" s="232">
        <v>0</v>
      </c>
      <c r="AR636" s="293">
        <v>0</v>
      </c>
      <c r="AS636" s="250">
        <v>0</v>
      </c>
      <c r="AT636" s="1544" t="s">
        <v>664</v>
      </c>
      <c r="AU636" s="230" t="s">
        <v>697</v>
      </c>
      <c r="AV636" s="231">
        <v>0</v>
      </c>
      <c r="AW636" s="232">
        <v>0</v>
      </c>
      <c r="AX636" s="267">
        <v>0</v>
      </c>
      <c r="AY636" s="252">
        <v>0</v>
      </c>
      <c r="BA636" s="235" t="s">
        <v>676</v>
      </c>
    </row>
    <row r="637" spans="6:53">
      <c r="F637" s="242">
        <v>1680</v>
      </c>
      <c r="G637" s="243">
        <v>4110</v>
      </c>
      <c r="H637" s="242">
        <v>1520</v>
      </c>
      <c r="I637" s="243">
        <v>3950</v>
      </c>
      <c r="J637" s="179" t="s">
        <v>664</v>
      </c>
      <c r="K637" s="244">
        <v>10</v>
      </c>
      <c r="L637" s="245">
        <v>40</v>
      </c>
      <c r="M637" s="246" t="s">
        <v>696</v>
      </c>
      <c r="N637" s="244">
        <v>10</v>
      </c>
      <c r="O637" s="245">
        <v>40</v>
      </c>
      <c r="P637" s="246" t="s">
        <v>696</v>
      </c>
      <c r="AD637" s="281"/>
      <c r="AE637" s="281"/>
      <c r="AP637" s="249">
        <v>0</v>
      </c>
      <c r="AQ637" s="250">
        <v>0</v>
      </c>
      <c r="AR637" s="293">
        <v>0</v>
      </c>
      <c r="AS637" s="250">
        <v>0</v>
      </c>
      <c r="AT637" s="1544"/>
      <c r="AU637" s="172" t="s">
        <v>699</v>
      </c>
      <c r="AV637" s="249">
        <v>0</v>
      </c>
      <c r="AW637" s="250">
        <v>0</v>
      </c>
      <c r="AX637" s="267">
        <v>0</v>
      </c>
      <c r="AY637" s="252">
        <v>0</v>
      </c>
      <c r="BA637" s="235">
        <v>0</v>
      </c>
    </row>
    <row r="638" spans="6:53">
      <c r="F638" s="242">
        <v>4110</v>
      </c>
      <c r="G638" s="243">
        <v>7590</v>
      </c>
      <c r="H638" s="242">
        <v>3950</v>
      </c>
      <c r="I638" s="243">
        <v>7430</v>
      </c>
      <c r="J638" s="179" t="s">
        <v>664</v>
      </c>
      <c r="K638" s="244">
        <v>40</v>
      </c>
      <c r="L638" s="245">
        <v>70</v>
      </c>
      <c r="M638" s="246" t="s">
        <v>696</v>
      </c>
      <c r="N638" s="244">
        <v>40</v>
      </c>
      <c r="O638" s="245">
        <v>70</v>
      </c>
      <c r="P638" s="246" t="s">
        <v>696</v>
      </c>
      <c r="AD638" s="281"/>
      <c r="AE638" s="281"/>
      <c r="AP638" s="249">
        <v>0</v>
      </c>
      <c r="AQ638" s="250">
        <v>0</v>
      </c>
      <c r="AR638" s="293">
        <v>0</v>
      </c>
      <c r="AS638" s="250">
        <v>0</v>
      </c>
      <c r="AT638" s="1544"/>
      <c r="AU638" s="172" t="s">
        <v>700</v>
      </c>
      <c r="AV638" s="249">
        <v>0</v>
      </c>
      <c r="AW638" s="250">
        <v>0</v>
      </c>
      <c r="AX638" s="267">
        <v>0</v>
      </c>
      <c r="AY638" s="252">
        <v>0</v>
      </c>
      <c r="BA638" s="277"/>
    </row>
    <row r="639" spans="6:53">
      <c r="F639" s="256">
        <v>7590</v>
      </c>
      <c r="G639" s="257">
        <v>0</v>
      </c>
      <c r="H639" s="256">
        <v>7430</v>
      </c>
      <c r="I639" s="257">
        <v>0</v>
      </c>
      <c r="J639" s="179" t="s">
        <v>664</v>
      </c>
      <c r="K639" s="258">
        <v>70</v>
      </c>
      <c r="L639" s="259">
        <v>0</v>
      </c>
      <c r="M639" s="260" t="s">
        <v>696</v>
      </c>
      <c r="N639" s="258">
        <v>70</v>
      </c>
      <c r="O639" s="259">
        <v>0</v>
      </c>
      <c r="P639" s="260" t="s">
        <v>696</v>
      </c>
      <c r="AD639" s="281"/>
      <c r="AE639" s="281"/>
      <c r="AP639" s="263">
        <v>0</v>
      </c>
      <c r="AQ639" s="264">
        <v>0</v>
      </c>
      <c r="AR639" s="292">
        <v>0</v>
      </c>
      <c r="AS639" s="264">
        <v>0</v>
      </c>
      <c r="AT639" s="1544"/>
      <c r="AU639" s="262" t="s">
        <v>701</v>
      </c>
      <c r="AV639" s="263">
        <v>0</v>
      </c>
      <c r="AW639" s="264">
        <v>0</v>
      </c>
      <c r="AX639" s="265">
        <v>0</v>
      </c>
      <c r="AY639" s="266">
        <v>0</v>
      </c>
      <c r="BA639" s="235" t="s">
        <v>677</v>
      </c>
    </row>
    <row r="640" spans="6:53">
      <c r="F640" s="218">
        <v>1290</v>
      </c>
      <c r="G640" s="219">
        <v>1640</v>
      </c>
      <c r="H640" s="218">
        <v>1140</v>
      </c>
      <c r="I640" s="219">
        <v>1490</v>
      </c>
      <c r="J640" s="179" t="s">
        <v>664</v>
      </c>
      <c r="K640" s="220">
        <v>10</v>
      </c>
      <c r="L640" s="221">
        <v>10</v>
      </c>
      <c r="M640" s="222" t="s">
        <v>696</v>
      </c>
      <c r="N640" s="220">
        <v>20</v>
      </c>
      <c r="O640" s="221">
        <v>20</v>
      </c>
      <c r="P640" s="222" t="s">
        <v>696</v>
      </c>
      <c r="AD640" s="281"/>
      <c r="AE640" s="281"/>
      <c r="AP640" s="231">
        <v>0</v>
      </c>
      <c r="AQ640" s="232">
        <v>0</v>
      </c>
      <c r="AR640" s="293">
        <v>0</v>
      </c>
      <c r="AS640" s="250">
        <v>0</v>
      </c>
      <c r="AT640" s="1544" t="s">
        <v>664</v>
      </c>
      <c r="AU640" s="230" t="s">
        <v>697</v>
      </c>
      <c r="AV640" s="231">
        <v>0</v>
      </c>
      <c r="AW640" s="232">
        <v>0</v>
      </c>
      <c r="AX640" s="267">
        <v>0</v>
      </c>
      <c r="AY640" s="252">
        <v>0</v>
      </c>
      <c r="BA640" s="235">
        <v>0</v>
      </c>
    </row>
    <row r="641" spans="6:53">
      <c r="F641" s="242">
        <v>1640</v>
      </c>
      <c r="G641" s="243">
        <v>4070</v>
      </c>
      <c r="H641" s="242">
        <v>1490</v>
      </c>
      <c r="I641" s="243">
        <v>3920</v>
      </c>
      <c r="J641" s="179" t="s">
        <v>664</v>
      </c>
      <c r="K641" s="244">
        <v>10</v>
      </c>
      <c r="L641" s="245">
        <v>40</v>
      </c>
      <c r="M641" s="246" t="s">
        <v>696</v>
      </c>
      <c r="N641" s="244">
        <v>20</v>
      </c>
      <c r="O641" s="245">
        <v>40</v>
      </c>
      <c r="P641" s="246" t="s">
        <v>696</v>
      </c>
      <c r="AD641" s="281"/>
      <c r="AE641" s="281"/>
      <c r="AP641" s="249">
        <v>0</v>
      </c>
      <c r="AQ641" s="250">
        <v>0</v>
      </c>
      <c r="AR641" s="293">
        <v>0</v>
      </c>
      <c r="AS641" s="250">
        <v>0</v>
      </c>
      <c r="AT641" s="1544"/>
      <c r="AU641" s="172" t="s">
        <v>699</v>
      </c>
      <c r="AV641" s="249">
        <v>0</v>
      </c>
      <c r="AW641" s="250">
        <v>0</v>
      </c>
      <c r="AX641" s="267">
        <v>0</v>
      </c>
      <c r="AY641" s="252">
        <v>0</v>
      </c>
      <c r="BA641" s="277"/>
    </row>
    <row r="642" spans="6:53">
      <c r="F642" s="242">
        <v>4070</v>
      </c>
      <c r="G642" s="243">
        <v>7550</v>
      </c>
      <c r="H642" s="242">
        <v>3920</v>
      </c>
      <c r="I642" s="243">
        <v>7400</v>
      </c>
      <c r="J642" s="179" t="s">
        <v>664</v>
      </c>
      <c r="K642" s="244">
        <v>40</v>
      </c>
      <c r="L642" s="245">
        <v>70</v>
      </c>
      <c r="M642" s="246" t="s">
        <v>696</v>
      </c>
      <c r="N642" s="244">
        <v>40</v>
      </c>
      <c r="O642" s="245">
        <v>70</v>
      </c>
      <c r="P642" s="246" t="s">
        <v>696</v>
      </c>
      <c r="AD642" s="281"/>
      <c r="AE642" s="281"/>
      <c r="AP642" s="249">
        <v>0</v>
      </c>
      <c r="AQ642" s="250">
        <v>0</v>
      </c>
      <c r="AR642" s="293">
        <v>0</v>
      </c>
      <c r="AS642" s="250">
        <v>0</v>
      </c>
      <c r="AT642" s="1544"/>
      <c r="AU642" s="172" t="s">
        <v>700</v>
      </c>
      <c r="AV642" s="249">
        <v>0</v>
      </c>
      <c r="AW642" s="250">
        <v>0</v>
      </c>
      <c r="AX642" s="267">
        <v>0</v>
      </c>
      <c r="AY642" s="252">
        <v>0</v>
      </c>
      <c r="BA642" s="235" t="s">
        <v>678</v>
      </c>
    </row>
    <row r="643" spans="6:53">
      <c r="F643" s="256">
        <v>7550</v>
      </c>
      <c r="G643" s="257">
        <v>0</v>
      </c>
      <c r="H643" s="256">
        <v>7400</v>
      </c>
      <c r="I643" s="257">
        <v>0</v>
      </c>
      <c r="J643" s="179" t="s">
        <v>664</v>
      </c>
      <c r="K643" s="258">
        <v>70</v>
      </c>
      <c r="L643" s="259">
        <v>0</v>
      </c>
      <c r="M643" s="260" t="s">
        <v>696</v>
      </c>
      <c r="N643" s="258">
        <v>70</v>
      </c>
      <c r="O643" s="259">
        <v>0</v>
      </c>
      <c r="P643" s="260" t="s">
        <v>696</v>
      </c>
      <c r="AD643" s="281"/>
      <c r="AE643" s="281"/>
      <c r="AP643" s="263">
        <v>0</v>
      </c>
      <c r="AQ643" s="264">
        <v>0</v>
      </c>
      <c r="AR643" s="292">
        <v>0</v>
      </c>
      <c r="AS643" s="264">
        <v>0</v>
      </c>
      <c r="AT643" s="1544"/>
      <c r="AU643" s="262" t="s">
        <v>701</v>
      </c>
      <c r="AV643" s="263">
        <v>0</v>
      </c>
      <c r="AW643" s="264">
        <v>0</v>
      </c>
      <c r="AX643" s="265">
        <v>0</v>
      </c>
      <c r="AY643" s="266">
        <v>0</v>
      </c>
      <c r="BA643" s="235">
        <v>0</v>
      </c>
    </row>
    <row r="644" spans="6:53">
      <c r="F644" s="218">
        <v>1250</v>
      </c>
      <c r="G644" s="219">
        <v>1600</v>
      </c>
      <c r="H644" s="218">
        <v>1110</v>
      </c>
      <c r="I644" s="219">
        <v>1460</v>
      </c>
      <c r="J644" s="179" t="s">
        <v>664</v>
      </c>
      <c r="K644" s="220">
        <v>10</v>
      </c>
      <c r="L644" s="221">
        <v>10</v>
      </c>
      <c r="M644" s="222" t="s">
        <v>696</v>
      </c>
      <c r="N644" s="220">
        <v>10</v>
      </c>
      <c r="O644" s="221">
        <v>10</v>
      </c>
      <c r="P644" s="222" t="s">
        <v>696</v>
      </c>
      <c r="AD644" s="281"/>
      <c r="AE644" s="281"/>
      <c r="AP644" s="231">
        <v>0</v>
      </c>
      <c r="AQ644" s="232">
        <v>0</v>
      </c>
      <c r="AR644" s="293">
        <v>0</v>
      </c>
      <c r="AS644" s="250">
        <v>0</v>
      </c>
      <c r="AT644" s="1544" t="s">
        <v>664</v>
      </c>
      <c r="AU644" s="230" t="s">
        <v>697</v>
      </c>
      <c r="AV644" s="231">
        <v>0</v>
      </c>
      <c r="AW644" s="232">
        <v>0</v>
      </c>
      <c r="AX644" s="267">
        <v>0</v>
      </c>
      <c r="AY644" s="252">
        <v>0</v>
      </c>
      <c r="BA644" s="235"/>
    </row>
    <row r="645" spans="6:53">
      <c r="F645" s="242">
        <v>1600</v>
      </c>
      <c r="G645" s="243">
        <v>4030</v>
      </c>
      <c r="H645" s="242">
        <v>1460</v>
      </c>
      <c r="I645" s="243">
        <v>3890</v>
      </c>
      <c r="J645" s="179" t="s">
        <v>664</v>
      </c>
      <c r="K645" s="244">
        <v>10</v>
      </c>
      <c r="L645" s="245">
        <v>40</v>
      </c>
      <c r="M645" s="246" t="s">
        <v>696</v>
      </c>
      <c r="N645" s="244">
        <v>10</v>
      </c>
      <c r="O645" s="245">
        <v>40</v>
      </c>
      <c r="P645" s="246" t="s">
        <v>696</v>
      </c>
      <c r="AD645" s="281"/>
      <c r="AE645" s="281"/>
      <c r="AP645" s="249">
        <v>0</v>
      </c>
      <c r="AQ645" s="250">
        <v>0</v>
      </c>
      <c r="AR645" s="293">
        <v>0</v>
      </c>
      <c r="AS645" s="250">
        <v>0</v>
      </c>
      <c r="AT645" s="1544"/>
      <c r="AU645" s="172" t="s">
        <v>699</v>
      </c>
      <c r="AV645" s="249">
        <v>0</v>
      </c>
      <c r="AW645" s="250">
        <v>0</v>
      </c>
      <c r="AX645" s="267">
        <v>0</v>
      </c>
      <c r="AY645" s="252">
        <v>0</v>
      </c>
      <c r="BA645" s="235" t="s">
        <v>679</v>
      </c>
    </row>
    <row r="646" spans="6:53">
      <c r="F646" s="242">
        <v>4030</v>
      </c>
      <c r="G646" s="243">
        <v>7510</v>
      </c>
      <c r="H646" s="242">
        <v>3890</v>
      </c>
      <c r="I646" s="243">
        <v>7370</v>
      </c>
      <c r="J646" s="179" t="s">
        <v>664</v>
      </c>
      <c r="K646" s="244">
        <v>40</v>
      </c>
      <c r="L646" s="245">
        <v>70</v>
      </c>
      <c r="M646" s="246" t="s">
        <v>696</v>
      </c>
      <c r="N646" s="244">
        <v>40</v>
      </c>
      <c r="O646" s="245">
        <v>70</v>
      </c>
      <c r="P646" s="246" t="s">
        <v>696</v>
      </c>
      <c r="AD646" s="281"/>
      <c r="AE646" s="281"/>
      <c r="AP646" s="249">
        <v>0</v>
      </c>
      <c r="AQ646" s="250">
        <v>0</v>
      </c>
      <c r="AR646" s="293">
        <v>0</v>
      </c>
      <c r="AS646" s="250">
        <v>0</v>
      </c>
      <c r="AT646" s="1544"/>
      <c r="AU646" s="172" t="s">
        <v>700</v>
      </c>
      <c r="AV646" s="249">
        <v>0</v>
      </c>
      <c r="AW646" s="250">
        <v>0</v>
      </c>
      <c r="AX646" s="267">
        <v>0</v>
      </c>
      <c r="AY646" s="252">
        <v>0</v>
      </c>
      <c r="BA646" s="235">
        <v>0</v>
      </c>
    </row>
    <row r="647" spans="6:53">
      <c r="F647" s="256">
        <v>7510</v>
      </c>
      <c r="G647" s="257">
        <v>0</v>
      </c>
      <c r="H647" s="256">
        <v>7370</v>
      </c>
      <c r="I647" s="257">
        <v>0</v>
      </c>
      <c r="J647" s="179" t="s">
        <v>664</v>
      </c>
      <c r="K647" s="258">
        <v>70</v>
      </c>
      <c r="L647" s="259">
        <v>0</v>
      </c>
      <c r="M647" s="260" t="s">
        <v>696</v>
      </c>
      <c r="N647" s="258">
        <v>70</v>
      </c>
      <c r="O647" s="259">
        <v>0</v>
      </c>
      <c r="P647" s="260" t="s">
        <v>696</v>
      </c>
      <c r="AD647" s="281"/>
      <c r="AE647" s="281"/>
      <c r="AP647" s="263">
        <v>0</v>
      </c>
      <c r="AQ647" s="264">
        <v>0</v>
      </c>
      <c r="AR647" s="292">
        <v>0</v>
      </c>
      <c r="AS647" s="264">
        <v>0</v>
      </c>
      <c r="AT647" s="1544"/>
      <c r="AU647" s="262" t="s">
        <v>701</v>
      </c>
      <c r="AV647" s="263">
        <v>0</v>
      </c>
      <c r="AW647" s="264">
        <v>0</v>
      </c>
      <c r="AX647" s="265">
        <v>0</v>
      </c>
      <c r="AY647" s="266">
        <v>0</v>
      </c>
      <c r="BA647" s="235"/>
    </row>
    <row r="648" spans="6:53">
      <c r="F648" s="218">
        <v>1210</v>
      </c>
      <c r="G648" s="219">
        <v>1560</v>
      </c>
      <c r="H648" s="218">
        <v>1080</v>
      </c>
      <c r="I648" s="219">
        <v>1430</v>
      </c>
      <c r="J648" s="179" t="s">
        <v>664</v>
      </c>
      <c r="K648" s="220">
        <v>10</v>
      </c>
      <c r="L648" s="221">
        <v>10</v>
      </c>
      <c r="M648" s="222" t="s">
        <v>696</v>
      </c>
      <c r="N648" s="220">
        <v>10</v>
      </c>
      <c r="O648" s="221">
        <v>10</v>
      </c>
      <c r="P648" s="222" t="s">
        <v>696</v>
      </c>
      <c r="AD648" s="281"/>
      <c r="AE648" s="281"/>
      <c r="AP648" s="231">
        <v>0</v>
      </c>
      <c r="AQ648" s="232">
        <v>0</v>
      </c>
      <c r="AR648" s="293">
        <v>0</v>
      </c>
      <c r="AS648" s="250">
        <v>0</v>
      </c>
      <c r="AT648" s="1544" t="s">
        <v>664</v>
      </c>
      <c r="AU648" s="230" t="s">
        <v>697</v>
      </c>
      <c r="AV648" s="231">
        <v>0</v>
      </c>
      <c r="AW648" s="232">
        <v>0</v>
      </c>
      <c r="AX648" s="267">
        <v>0</v>
      </c>
      <c r="AY648" s="252">
        <v>0</v>
      </c>
      <c r="BA648" s="235" t="s">
        <v>680</v>
      </c>
    </row>
    <row r="649" spans="6:53">
      <c r="F649" s="242">
        <v>1560</v>
      </c>
      <c r="G649" s="243">
        <v>3990</v>
      </c>
      <c r="H649" s="242">
        <v>1430</v>
      </c>
      <c r="I649" s="243">
        <v>3860</v>
      </c>
      <c r="J649" s="179" t="s">
        <v>664</v>
      </c>
      <c r="K649" s="244">
        <v>10</v>
      </c>
      <c r="L649" s="245">
        <v>40</v>
      </c>
      <c r="M649" s="246" t="s">
        <v>696</v>
      </c>
      <c r="N649" s="244">
        <v>10</v>
      </c>
      <c r="O649" s="245">
        <v>40</v>
      </c>
      <c r="P649" s="246" t="s">
        <v>696</v>
      </c>
      <c r="AD649" s="281"/>
      <c r="AE649" s="281"/>
      <c r="AP649" s="249">
        <v>0</v>
      </c>
      <c r="AQ649" s="250">
        <v>0</v>
      </c>
      <c r="AR649" s="293">
        <v>0</v>
      </c>
      <c r="AS649" s="250">
        <v>0</v>
      </c>
      <c r="AT649" s="1544"/>
      <c r="AU649" s="172" t="s">
        <v>699</v>
      </c>
      <c r="AV649" s="249">
        <v>0</v>
      </c>
      <c r="AW649" s="250">
        <v>0</v>
      </c>
      <c r="AX649" s="267">
        <v>0</v>
      </c>
      <c r="AY649" s="252">
        <v>0</v>
      </c>
      <c r="BA649" s="235">
        <v>0</v>
      </c>
    </row>
    <row r="650" spans="6:53">
      <c r="F650" s="242">
        <v>3990</v>
      </c>
      <c r="G650" s="243">
        <v>7470</v>
      </c>
      <c r="H650" s="242">
        <v>3860</v>
      </c>
      <c r="I650" s="243">
        <v>7340</v>
      </c>
      <c r="J650" s="179" t="s">
        <v>664</v>
      </c>
      <c r="K650" s="244">
        <v>40</v>
      </c>
      <c r="L650" s="245">
        <v>70</v>
      </c>
      <c r="M650" s="246" t="s">
        <v>696</v>
      </c>
      <c r="N650" s="244">
        <v>40</v>
      </c>
      <c r="O650" s="245">
        <v>70</v>
      </c>
      <c r="P650" s="246" t="s">
        <v>696</v>
      </c>
      <c r="AD650" s="281"/>
      <c r="AE650" s="281"/>
      <c r="AP650" s="249">
        <v>0</v>
      </c>
      <c r="AQ650" s="250">
        <v>0</v>
      </c>
      <c r="AR650" s="293">
        <v>0</v>
      </c>
      <c r="AS650" s="250">
        <v>0</v>
      </c>
      <c r="AT650" s="1544"/>
      <c r="AU650" s="172" t="s">
        <v>700</v>
      </c>
      <c r="AV650" s="249">
        <v>0</v>
      </c>
      <c r="AW650" s="250">
        <v>0</v>
      </c>
      <c r="AX650" s="267">
        <v>0</v>
      </c>
      <c r="AY650" s="252">
        <v>0</v>
      </c>
      <c r="BA650" s="235"/>
    </row>
    <row r="651" spans="6:53">
      <c r="F651" s="256">
        <v>7470</v>
      </c>
      <c r="G651" s="257">
        <v>0</v>
      </c>
      <c r="H651" s="256">
        <v>7340</v>
      </c>
      <c r="I651" s="257">
        <v>0</v>
      </c>
      <c r="J651" s="179" t="s">
        <v>664</v>
      </c>
      <c r="K651" s="258">
        <v>70</v>
      </c>
      <c r="L651" s="259">
        <v>0</v>
      </c>
      <c r="M651" s="260" t="s">
        <v>696</v>
      </c>
      <c r="N651" s="258">
        <v>70</v>
      </c>
      <c r="O651" s="259">
        <v>0</v>
      </c>
      <c r="P651" s="260" t="s">
        <v>696</v>
      </c>
      <c r="AD651" s="281"/>
      <c r="AE651" s="281"/>
      <c r="AP651" s="263">
        <v>0</v>
      </c>
      <c r="AQ651" s="264">
        <v>0</v>
      </c>
      <c r="AR651" s="292">
        <v>0</v>
      </c>
      <c r="AS651" s="264">
        <v>0</v>
      </c>
      <c r="AT651" s="1544"/>
      <c r="AU651" s="262" t="s">
        <v>701</v>
      </c>
      <c r="AV651" s="263">
        <v>0</v>
      </c>
      <c r="AW651" s="264">
        <v>0</v>
      </c>
      <c r="AX651" s="265">
        <v>0</v>
      </c>
      <c r="AY651" s="266">
        <v>0</v>
      </c>
      <c r="BA651" s="235"/>
    </row>
    <row r="652" spans="6:53">
      <c r="F652" s="218">
        <v>1180</v>
      </c>
      <c r="G652" s="219">
        <v>1530</v>
      </c>
      <c r="H652" s="218">
        <v>1060</v>
      </c>
      <c r="I652" s="219">
        <v>1410</v>
      </c>
      <c r="J652" s="179" t="s">
        <v>664</v>
      </c>
      <c r="K652" s="220">
        <v>10</v>
      </c>
      <c r="L652" s="221">
        <v>10</v>
      </c>
      <c r="M652" s="222" t="s">
        <v>696</v>
      </c>
      <c r="N652" s="220">
        <v>10</v>
      </c>
      <c r="O652" s="221">
        <v>10</v>
      </c>
      <c r="P652" s="222" t="s">
        <v>696</v>
      </c>
      <c r="AD652" s="281"/>
      <c r="AE652" s="281"/>
      <c r="AP652" s="231">
        <v>0</v>
      </c>
      <c r="AQ652" s="232">
        <v>0</v>
      </c>
      <c r="AR652" s="293">
        <v>0</v>
      </c>
      <c r="AS652" s="250">
        <v>0</v>
      </c>
      <c r="AT652" s="1544" t="s">
        <v>664</v>
      </c>
      <c r="AU652" s="230" t="s">
        <v>697</v>
      </c>
      <c r="AV652" s="231">
        <v>0</v>
      </c>
      <c r="AW652" s="232">
        <v>0</v>
      </c>
      <c r="AX652" s="267">
        <v>0</v>
      </c>
      <c r="AY652" s="252">
        <v>0</v>
      </c>
      <c r="BA652" s="1545" t="s">
        <v>717</v>
      </c>
    </row>
    <row r="653" spans="6:53">
      <c r="F653" s="242">
        <v>1530</v>
      </c>
      <c r="G653" s="243">
        <v>3960</v>
      </c>
      <c r="H653" s="242">
        <v>1410</v>
      </c>
      <c r="I653" s="243">
        <v>3840</v>
      </c>
      <c r="J653" s="179" t="s">
        <v>664</v>
      </c>
      <c r="K653" s="244">
        <v>10</v>
      </c>
      <c r="L653" s="245">
        <v>50</v>
      </c>
      <c r="M653" s="246" t="s">
        <v>696</v>
      </c>
      <c r="N653" s="244">
        <v>10</v>
      </c>
      <c r="O653" s="245">
        <v>40</v>
      </c>
      <c r="P653" s="246" t="s">
        <v>696</v>
      </c>
      <c r="AD653" s="281"/>
      <c r="AE653" s="281"/>
      <c r="AP653" s="249">
        <v>0</v>
      </c>
      <c r="AQ653" s="250">
        <v>0</v>
      </c>
      <c r="AR653" s="293">
        <v>0</v>
      </c>
      <c r="AS653" s="250">
        <v>0</v>
      </c>
      <c r="AT653" s="1544"/>
      <c r="AU653" s="172" t="s">
        <v>699</v>
      </c>
      <c r="AV653" s="249">
        <v>0</v>
      </c>
      <c r="AW653" s="250">
        <v>0</v>
      </c>
      <c r="AX653" s="267">
        <v>0</v>
      </c>
      <c r="AY653" s="252">
        <v>0</v>
      </c>
      <c r="BA653" s="1545"/>
    </row>
    <row r="654" spans="6:53">
      <c r="F654" s="242">
        <v>3960</v>
      </c>
      <c r="G654" s="243">
        <v>7440</v>
      </c>
      <c r="H654" s="242">
        <v>3840</v>
      </c>
      <c r="I654" s="243">
        <v>7320</v>
      </c>
      <c r="J654" s="179" t="s">
        <v>664</v>
      </c>
      <c r="K654" s="244">
        <v>50</v>
      </c>
      <c r="L654" s="245">
        <v>80</v>
      </c>
      <c r="M654" s="246" t="s">
        <v>696</v>
      </c>
      <c r="N654" s="244">
        <v>40</v>
      </c>
      <c r="O654" s="245">
        <v>70</v>
      </c>
      <c r="P654" s="246" t="s">
        <v>696</v>
      </c>
      <c r="AD654" s="281"/>
      <c r="AE654" s="281"/>
      <c r="AP654" s="249">
        <v>0</v>
      </c>
      <c r="AQ654" s="250">
        <v>0</v>
      </c>
      <c r="AR654" s="293">
        <v>0</v>
      </c>
      <c r="AS654" s="250">
        <v>0</v>
      </c>
      <c r="AT654" s="1544"/>
      <c r="AU654" s="172" t="s">
        <v>700</v>
      </c>
      <c r="AV654" s="249">
        <v>0</v>
      </c>
      <c r="AW654" s="250">
        <v>0</v>
      </c>
      <c r="AX654" s="267">
        <v>0</v>
      </c>
      <c r="AY654" s="252">
        <v>0</v>
      </c>
      <c r="BA654" s="235"/>
    </row>
    <row r="655" spans="6:53">
      <c r="F655" s="256">
        <v>7440</v>
      </c>
      <c r="G655" s="257">
        <v>0</v>
      </c>
      <c r="H655" s="256">
        <v>7320</v>
      </c>
      <c r="I655" s="257">
        <v>0</v>
      </c>
      <c r="J655" s="179" t="s">
        <v>664</v>
      </c>
      <c r="K655" s="258">
        <v>80</v>
      </c>
      <c r="L655" s="259">
        <v>0</v>
      </c>
      <c r="M655" s="260" t="s">
        <v>696</v>
      </c>
      <c r="N655" s="258">
        <v>70</v>
      </c>
      <c r="O655" s="259">
        <v>0</v>
      </c>
      <c r="P655" s="260" t="s">
        <v>696</v>
      </c>
      <c r="AD655" s="281"/>
      <c r="AE655" s="281"/>
      <c r="AP655" s="263">
        <v>0</v>
      </c>
      <c r="AQ655" s="264">
        <v>0</v>
      </c>
      <c r="AR655" s="292">
        <v>0</v>
      </c>
      <c r="AS655" s="264">
        <v>0</v>
      </c>
      <c r="AT655" s="1544"/>
      <c r="AU655" s="262" t="s">
        <v>701</v>
      </c>
      <c r="AV655" s="263">
        <v>0</v>
      </c>
      <c r="AW655" s="264">
        <v>0</v>
      </c>
      <c r="AX655" s="265">
        <v>0</v>
      </c>
      <c r="AY655" s="266">
        <v>0</v>
      </c>
      <c r="BA655" s="235"/>
    </row>
    <row r="656" spans="6:53">
      <c r="F656" s="218">
        <v>1150</v>
      </c>
      <c r="G656" s="219">
        <v>1500</v>
      </c>
      <c r="H656" s="218">
        <v>1040</v>
      </c>
      <c r="I656" s="219">
        <v>1390</v>
      </c>
      <c r="J656" s="179" t="s">
        <v>664</v>
      </c>
      <c r="K656" s="220">
        <v>10</v>
      </c>
      <c r="L656" s="221">
        <v>10</v>
      </c>
      <c r="M656" s="222" t="s">
        <v>696</v>
      </c>
      <c r="N656" s="220">
        <v>10</v>
      </c>
      <c r="O656" s="221">
        <v>10</v>
      </c>
      <c r="P656" s="222" t="s">
        <v>696</v>
      </c>
      <c r="AD656" s="281"/>
      <c r="AE656" s="281"/>
      <c r="AP656" s="231">
        <v>0</v>
      </c>
      <c r="AQ656" s="232">
        <v>0</v>
      </c>
      <c r="AR656" s="293">
        <v>0</v>
      </c>
      <c r="AS656" s="250">
        <v>0</v>
      </c>
      <c r="AT656" s="1544" t="s">
        <v>664</v>
      </c>
      <c r="AU656" s="230" t="s">
        <v>697</v>
      </c>
      <c r="AV656" s="231">
        <v>0</v>
      </c>
      <c r="AW656" s="232">
        <v>0</v>
      </c>
      <c r="AX656" s="267">
        <v>0</v>
      </c>
      <c r="AY656" s="252">
        <v>0</v>
      </c>
      <c r="BA656" s="235"/>
    </row>
    <row r="657" spans="6:53">
      <c r="F657" s="242">
        <v>1500</v>
      </c>
      <c r="G657" s="243">
        <v>3930</v>
      </c>
      <c r="H657" s="242">
        <v>1390</v>
      </c>
      <c r="I657" s="243">
        <v>3820</v>
      </c>
      <c r="J657" s="179" t="s">
        <v>664</v>
      </c>
      <c r="K657" s="244">
        <v>10</v>
      </c>
      <c r="L657" s="245">
        <v>40</v>
      </c>
      <c r="M657" s="246" t="s">
        <v>696</v>
      </c>
      <c r="N657" s="244">
        <v>10</v>
      </c>
      <c r="O657" s="245">
        <v>40</v>
      </c>
      <c r="P657" s="246" t="s">
        <v>696</v>
      </c>
      <c r="AD657" s="281"/>
      <c r="AE657" s="281"/>
      <c r="AP657" s="249">
        <v>0</v>
      </c>
      <c r="AQ657" s="250">
        <v>0</v>
      </c>
      <c r="AR657" s="293">
        <v>0</v>
      </c>
      <c r="AS657" s="250">
        <v>0</v>
      </c>
      <c r="AT657" s="1544"/>
      <c r="AU657" s="172" t="s">
        <v>699</v>
      </c>
      <c r="AV657" s="249">
        <v>0</v>
      </c>
      <c r="AW657" s="250">
        <v>0</v>
      </c>
      <c r="AX657" s="267">
        <v>0</v>
      </c>
      <c r="AY657" s="252">
        <v>0</v>
      </c>
      <c r="BA657" s="235"/>
    </row>
    <row r="658" spans="6:53">
      <c r="F658" s="242">
        <v>3930</v>
      </c>
      <c r="G658" s="243">
        <v>7410</v>
      </c>
      <c r="H658" s="242">
        <v>3820</v>
      </c>
      <c r="I658" s="243">
        <v>7300</v>
      </c>
      <c r="J658" s="179" t="s">
        <v>664</v>
      </c>
      <c r="K658" s="244">
        <v>40</v>
      </c>
      <c r="L658" s="245">
        <v>70</v>
      </c>
      <c r="M658" s="246" t="s">
        <v>696</v>
      </c>
      <c r="N658" s="244">
        <v>40</v>
      </c>
      <c r="O658" s="245">
        <v>70</v>
      </c>
      <c r="P658" s="246" t="s">
        <v>696</v>
      </c>
      <c r="AD658" s="281"/>
      <c r="AE658" s="281"/>
      <c r="AP658" s="249">
        <v>0</v>
      </c>
      <c r="AQ658" s="250">
        <v>0</v>
      </c>
      <c r="AR658" s="293">
        <v>0</v>
      </c>
      <c r="AS658" s="250">
        <v>0</v>
      </c>
      <c r="AT658" s="1544"/>
      <c r="AU658" s="172" t="s">
        <v>700</v>
      </c>
      <c r="AV658" s="249">
        <v>0</v>
      </c>
      <c r="AW658" s="250">
        <v>0</v>
      </c>
      <c r="AX658" s="267">
        <v>0</v>
      </c>
      <c r="AY658" s="252">
        <v>0</v>
      </c>
      <c r="BA658" s="235"/>
    </row>
    <row r="659" spans="6:53">
      <c r="F659" s="256">
        <v>7410</v>
      </c>
      <c r="G659" s="257">
        <v>0</v>
      </c>
      <c r="H659" s="256">
        <v>7300</v>
      </c>
      <c r="I659" s="257">
        <v>0</v>
      </c>
      <c r="J659" s="179" t="s">
        <v>664</v>
      </c>
      <c r="K659" s="258">
        <v>70</v>
      </c>
      <c r="L659" s="259">
        <v>0</v>
      </c>
      <c r="M659" s="260" t="s">
        <v>696</v>
      </c>
      <c r="N659" s="258">
        <v>70</v>
      </c>
      <c r="O659" s="259">
        <v>0</v>
      </c>
      <c r="P659" s="260" t="s">
        <v>696</v>
      </c>
      <c r="AD659" s="281"/>
      <c r="AE659" s="281"/>
      <c r="AP659" s="263">
        <v>0</v>
      </c>
      <c r="AQ659" s="264">
        <v>0</v>
      </c>
      <c r="AR659" s="292">
        <v>0</v>
      </c>
      <c r="AS659" s="264">
        <v>0</v>
      </c>
      <c r="AT659" s="1544"/>
      <c r="AU659" s="262" t="s">
        <v>701</v>
      </c>
      <c r="AV659" s="263">
        <v>0</v>
      </c>
      <c r="AW659" s="264">
        <v>0</v>
      </c>
      <c r="AX659" s="265">
        <v>0</v>
      </c>
      <c r="AY659" s="266">
        <v>0</v>
      </c>
      <c r="BA659" s="282"/>
    </row>
  </sheetData>
  <mergeCells count="1144">
    <mergeCell ref="V223:W235"/>
    <mergeCell ref="Y223:Z235"/>
    <mergeCell ref="A295:A366"/>
    <mergeCell ref="V295:W307"/>
    <mergeCell ref="Y295:Z307"/>
    <mergeCell ref="A223:A294"/>
    <mergeCell ref="A367:A438"/>
    <mergeCell ref="V367:W379"/>
    <mergeCell ref="Y367:Z379"/>
    <mergeCell ref="A439:A510"/>
    <mergeCell ref="V439:W451"/>
    <mergeCell ref="Y439:Z451"/>
    <mergeCell ref="A511:A582"/>
    <mergeCell ref="V511:W523"/>
    <mergeCell ref="Y511:Z523"/>
    <mergeCell ref="BV5:BZ5"/>
    <mergeCell ref="CB5:CF5"/>
    <mergeCell ref="V7:W19"/>
    <mergeCell ref="Y7:Z19"/>
    <mergeCell ref="AJ5:AN5"/>
    <mergeCell ref="AP5:AS5"/>
    <mergeCell ref="AU5:AY5"/>
    <mergeCell ref="BE5:BH5"/>
    <mergeCell ref="BL5:BO5"/>
    <mergeCell ref="BQ5:BT5"/>
    <mergeCell ref="AD11:AD12"/>
    <mergeCell ref="AP11:AP14"/>
    <mergeCell ref="A79:A150"/>
    <mergeCell ref="V79:W91"/>
    <mergeCell ref="Y79:Z91"/>
    <mergeCell ref="A7:A78"/>
    <mergeCell ref="A151:A222"/>
    <mergeCell ref="V151:W163"/>
    <mergeCell ref="Y151:Z163"/>
    <mergeCell ref="BV1:BZ3"/>
    <mergeCell ref="CB1:CF3"/>
    <mergeCell ref="CH1:CH3"/>
    <mergeCell ref="F2:G2"/>
    <mergeCell ref="H2:I2"/>
    <mergeCell ref="AP2:AS2"/>
    <mergeCell ref="BL2:BL3"/>
    <mergeCell ref="BE1:BH2"/>
    <mergeCell ref="BJ1:BJ3"/>
    <mergeCell ref="BL1:BO1"/>
    <mergeCell ref="BQ1:BT3"/>
    <mergeCell ref="BM2:BM3"/>
    <mergeCell ref="BN2:BN3"/>
    <mergeCell ref="BO2:BO3"/>
    <mergeCell ref="R1:T2"/>
    <mergeCell ref="V1:AB2"/>
    <mergeCell ref="AD1:AH2"/>
    <mergeCell ref="AJ1:AN2"/>
    <mergeCell ref="AP1:AS1"/>
    <mergeCell ref="BG3:BH3"/>
    <mergeCell ref="S3:T3"/>
    <mergeCell ref="Y3:Z3"/>
    <mergeCell ref="AG3:AH3"/>
    <mergeCell ref="AM3:AN3"/>
    <mergeCell ref="AP3:AQ3"/>
    <mergeCell ref="AR3:AS3"/>
    <mergeCell ref="K2:M2"/>
    <mergeCell ref="N2:P2"/>
    <mergeCell ref="AV2:AY2"/>
    <mergeCell ref="AD7:AD8"/>
    <mergeCell ref="A1:A3"/>
    <mergeCell ref="B1:B3"/>
    <mergeCell ref="C1:C3"/>
    <mergeCell ref="D1:D3"/>
    <mergeCell ref="F1:I1"/>
    <mergeCell ref="K1:P1"/>
    <mergeCell ref="F3:G3"/>
    <mergeCell ref="H3:I3"/>
    <mergeCell ref="AV3:AW3"/>
    <mergeCell ref="AX3:AY3"/>
    <mergeCell ref="F5:G5"/>
    <mergeCell ref="H5:I5"/>
    <mergeCell ref="K5:M5"/>
    <mergeCell ref="N5:P5"/>
    <mergeCell ref="R5:T5"/>
    <mergeCell ref="V5:AB5"/>
    <mergeCell ref="AD5:AH5"/>
    <mergeCell ref="AQ11:AQ14"/>
    <mergeCell ref="AR11:AR14"/>
    <mergeCell ref="AS11:AS14"/>
    <mergeCell ref="AT11:AT14"/>
    <mergeCell ref="BC11:BC12"/>
    <mergeCell ref="AD13:AD14"/>
    <mergeCell ref="AD15:AD16"/>
    <mergeCell ref="AP15:AP18"/>
    <mergeCell ref="AQ15:AQ18"/>
    <mergeCell ref="AR15:AR18"/>
    <mergeCell ref="AS15:AS18"/>
    <mergeCell ref="AT15:AT18"/>
    <mergeCell ref="BC15:BC16"/>
    <mergeCell ref="BA16:BA18"/>
    <mergeCell ref="AD17:AD18"/>
    <mergeCell ref="BA1:BA2"/>
    <mergeCell ref="BC1:BC4"/>
    <mergeCell ref="AP7:AP10"/>
    <mergeCell ref="AQ7:AQ10"/>
    <mergeCell ref="AR7:AR10"/>
    <mergeCell ref="AS7:AS10"/>
    <mergeCell ref="AT7:AT10"/>
    <mergeCell ref="BC7:BC8"/>
    <mergeCell ref="AD9:AD10"/>
    <mergeCell ref="AU1:AY1"/>
    <mergeCell ref="AD27:AD28"/>
    <mergeCell ref="AP27:AP30"/>
    <mergeCell ref="AQ27:AQ30"/>
    <mergeCell ref="AR27:AR30"/>
    <mergeCell ref="AS27:AS30"/>
    <mergeCell ref="AT27:AT30"/>
    <mergeCell ref="BC27:BC28"/>
    <mergeCell ref="AD29:AD30"/>
    <mergeCell ref="AD31:AD32"/>
    <mergeCell ref="AP31:AP34"/>
    <mergeCell ref="AQ31:AQ34"/>
    <mergeCell ref="AR31:AR34"/>
    <mergeCell ref="AS31:AS34"/>
    <mergeCell ref="AT31:AT34"/>
    <mergeCell ref="BC31:BC32"/>
    <mergeCell ref="AD33:AD34"/>
    <mergeCell ref="AD19:AD20"/>
    <mergeCell ref="AP19:AP22"/>
    <mergeCell ref="AQ19:AQ22"/>
    <mergeCell ref="AR19:AR22"/>
    <mergeCell ref="AS19:AS22"/>
    <mergeCell ref="AT19:AT22"/>
    <mergeCell ref="BC19:BC20"/>
    <mergeCell ref="AD21:AD22"/>
    <mergeCell ref="AD23:AD24"/>
    <mergeCell ref="AP23:AP26"/>
    <mergeCell ref="AQ23:AQ26"/>
    <mergeCell ref="AR23:AR26"/>
    <mergeCell ref="AS23:AS26"/>
    <mergeCell ref="AT23:AT26"/>
    <mergeCell ref="BC23:BC24"/>
    <mergeCell ref="AD25:AD26"/>
    <mergeCell ref="AP43:AP46"/>
    <mergeCell ref="AQ43:AQ46"/>
    <mergeCell ref="AR43:AR46"/>
    <mergeCell ref="AS43:AS46"/>
    <mergeCell ref="AT43:AT46"/>
    <mergeCell ref="BC43:BC44"/>
    <mergeCell ref="AP47:AP50"/>
    <mergeCell ref="AQ47:AQ50"/>
    <mergeCell ref="AR47:AR50"/>
    <mergeCell ref="AS47:AS50"/>
    <mergeCell ref="AT47:AT50"/>
    <mergeCell ref="BC47:BC48"/>
    <mergeCell ref="AD35:AD36"/>
    <mergeCell ref="AP35:AP38"/>
    <mergeCell ref="AQ35:AQ38"/>
    <mergeCell ref="AR35:AR38"/>
    <mergeCell ref="AS35:AS38"/>
    <mergeCell ref="AT35:AT38"/>
    <mergeCell ref="BC35:BC36"/>
    <mergeCell ref="AD37:AD38"/>
    <mergeCell ref="AD39:AD40"/>
    <mergeCell ref="AP39:AP42"/>
    <mergeCell ref="AQ39:AQ42"/>
    <mergeCell ref="AR39:AR42"/>
    <mergeCell ref="AS39:AS42"/>
    <mergeCell ref="AT39:AT42"/>
    <mergeCell ref="BC39:BC40"/>
    <mergeCell ref="AD41:AD42"/>
    <mergeCell ref="AP59:AP62"/>
    <mergeCell ref="AQ59:AQ62"/>
    <mergeCell ref="AR59:AR62"/>
    <mergeCell ref="AS59:AS62"/>
    <mergeCell ref="AT59:AT62"/>
    <mergeCell ref="BC59:BC60"/>
    <mergeCell ref="AP63:AP66"/>
    <mergeCell ref="AQ63:AQ66"/>
    <mergeCell ref="AR63:AR66"/>
    <mergeCell ref="AS63:AS66"/>
    <mergeCell ref="AT63:AT66"/>
    <mergeCell ref="BC63:BC64"/>
    <mergeCell ref="AP51:AP54"/>
    <mergeCell ref="AQ51:AQ54"/>
    <mergeCell ref="AR51:AR54"/>
    <mergeCell ref="AS51:AS54"/>
    <mergeCell ref="AT51:AT54"/>
    <mergeCell ref="BC51:BC52"/>
    <mergeCell ref="AP55:AP58"/>
    <mergeCell ref="AQ55:AQ58"/>
    <mergeCell ref="AR55:AR58"/>
    <mergeCell ref="AS55:AS58"/>
    <mergeCell ref="AT55:AT58"/>
    <mergeCell ref="BC55:BC56"/>
    <mergeCell ref="AP75:AP78"/>
    <mergeCell ref="AQ75:AQ78"/>
    <mergeCell ref="AR75:AR78"/>
    <mergeCell ref="AS75:AS78"/>
    <mergeCell ref="AT75:AT78"/>
    <mergeCell ref="BC75:BC76"/>
    <mergeCell ref="AD79:AD80"/>
    <mergeCell ref="AP79:AP82"/>
    <mergeCell ref="AQ79:AQ82"/>
    <mergeCell ref="AR79:AR82"/>
    <mergeCell ref="AS79:AS82"/>
    <mergeCell ref="AT79:AT82"/>
    <mergeCell ref="BC79:BC80"/>
    <mergeCell ref="AD81:AD82"/>
    <mergeCell ref="AP67:AP70"/>
    <mergeCell ref="AQ67:AQ70"/>
    <mergeCell ref="AR67:AR70"/>
    <mergeCell ref="AS67:AS70"/>
    <mergeCell ref="AT67:AT70"/>
    <mergeCell ref="BC67:BC68"/>
    <mergeCell ref="AP71:AP74"/>
    <mergeCell ref="AQ71:AQ74"/>
    <mergeCell ref="AR71:AR74"/>
    <mergeCell ref="AS71:AS74"/>
    <mergeCell ref="AT71:AT74"/>
    <mergeCell ref="BA71:BA72"/>
    <mergeCell ref="BC71:BC72"/>
    <mergeCell ref="AD83:AD84"/>
    <mergeCell ref="AP83:AP86"/>
    <mergeCell ref="AQ83:AQ86"/>
    <mergeCell ref="AR83:AR86"/>
    <mergeCell ref="AS83:AS86"/>
    <mergeCell ref="AT83:AT86"/>
    <mergeCell ref="BC83:BC84"/>
    <mergeCell ref="AD85:AD86"/>
    <mergeCell ref="AD87:AD88"/>
    <mergeCell ref="AP87:AP90"/>
    <mergeCell ref="AQ87:AQ90"/>
    <mergeCell ref="AR87:AR90"/>
    <mergeCell ref="AS87:AS90"/>
    <mergeCell ref="AT87:AT90"/>
    <mergeCell ref="BC87:BC88"/>
    <mergeCell ref="BA88:BA90"/>
    <mergeCell ref="AD89:AD90"/>
    <mergeCell ref="AD99:AD100"/>
    <mergeCell ref="AP99:AP102"/>
    <mergeCell ref="AQ99:AQ102"/>
    <mergeCell ref="AR99:AR102"/>
    <mergeCell ref="AS99:AS102"/>
    <mergeCell ref="AT99:AT102"/>
    <mergeCell ref="BC99:BC100"/>
    <mergeCell ref="AD101:AD102"/>
    <mergeCell ref="AD103:AD104"/>
    <mergeCell ref="AP103:AP106"/>
    <mergeCell ref="AQ103:AQ106"/>
    <mergeCell ref="AR103:AR106"/>
    <mergeCell ref="AS103:AS106"/>
    <mergeCell ref="AT103:AT106"/>
    <mergeCell ref="BC103:BC104"/>
    <mergeCell ref="AD105:AD106"/>
    <mergeCell ref="AD91:AD92"/>
    <mergeCell ref="AP91:AP94"/>
    <mergeCell ref="AQ91:AQ94"/>
    <mergeCell ref="AR91:AR94"/>
    <mergeCell ref="AS91:AS94"/>
    <mergeCell ref="AT91:AT94"/>
    <mergeCell ref="BC91:BC92"/>
    <mergeCell ref="AD93:AD94"/>
    <mergeCell ref="AD95:AD96"/>
    <mergeCell ref="AP95:AP98"/>
    <mergeCell ref="AQ95:AQ98"/>
    <mergeCell ref="AR95:AR98"/>
    <mergeCell ref="AS95:AS98"/>
    <mergeCell ref="AT95:AT98"/>
    <mergeCell ref="BC95:BC96"/>
    <mergeCell ref="AD97:AD98"/>
    <mergeCell ref="AP115:AP118"/>
    <mergeCell ref="AQ115:AQ118"/>
    <mergeCell ref="AR115:AR118"/>
    <mergeCell ref="AS115:AS118"/>
    <mergeCell ref="AT115:AT118"/>
    <mergeCell ref="BC115:BC116"/>
    <mergeCell ref="AP119:AP122"/>
    <mergeCell ref="AQ119:AQ122"/>
    <mergeCell ref="AR119:AR122"/>
    <mergeCell ref="AS119:AS122"/>
    <mergeCell ref="AT119:AT122"/>
    <mergeCell ref="BC119:BC120"/>
    <mergeCell ref="AD107:AD108"/>
    <mergeCell ref="AP107:AP110"/>
    <mergeCell ref="AQ107:AQ110"/>
    <mergeCell ref="AR107:AR110"/>
    <mergeCell ref="AS107:AS110"/>
    <mergeCell ref="AT107:AT110"/>
    <mergeCell ref="BC107:BC108"/>
    <mergeCell ref="AD109:AD110"/>
    <mergeCell ref="AD111:AD112"/>
    <mergeCell ref="AP111:AP114"/>
    <mergeCell ref="AQ111:AQ114"/>
    <mergeCell ref="AR111:AR114"/>
    <mergeCell ref="AS111:AS114"/>
    <mergeCell ref="AT111:AT114"/>
    <mergeCell ref="BC111:BC112"/>
    <mergeCell ref="AD113:AD114"/>
    <mergeCell ref="AP131:AP134"/>
    <mergeCell ref="AQ131:AQ134"/>
    <mergeCell ref="AR131:AR134"/>
    <mergeCell ref="AS131:AS134"/>
    <mergeCell ref="AT131:AT134"/>
    <mergeCell ref="BC131:BC132"/>
    <mergeCell ref="AP135:AP138"/>
    <mergeCell ref="AQ135:AQ138"/>
    <mergeCell ref="AR135:AR138"/>
    <mergeCell ref="AS135:AS138"/>
    <mergeCell ref="AT135:AT138"/>
    <mergeCell ref="BC135:BC136"/>
    <mergeCell ref="AP123:AP126"/>
    <mergeCell ref="AQ123:AQ126"/>
    <mergeCell ref="AR123:AR126"/>
    <mergeCell ref="AS123:AS126"/>
    <mergeCell ref="AT123:AT126"/>
    <mergeCell ref="BC123:BC124"/>
    <mergeCell ref="AP127:AP130"/>
    <mergeCell ref="AQ127:AQ130"/>
    <mergeCell ref="AR127:AR130"/>
    <mergeCell ref="AS127:AS130"/>
    <mergeCell ref="AT127:AT130"/>
    <mergeCell ref="BC127:BC128"/>
    <mergeCell ref="AP147:AP150"/>
    <mergeCell ref="AQ147:AQ150"/>
    <mergeCell ref="AR147:AR150"/>
    <mergeCell ref="AS147:AS150"/>
    <mergeCell ref="AT147:AT150"/>
    <mergeCell ref="BC147:BC148"/>
    <mergeCell ref="AD151:AD152"/>
    <mergeCell ref="AP151:AP154"/>
    <mergeCell ref="AQ151:AQ154"/>
    <mergeCell ref="AR151:AR154"/>
    <mergeCell ref="AS151:AS154"/>
    <mergeCell ref="AT151:AT154"/>
    <mergeCell ref="BC151:BC152"/>
    <mergeCell ref="AD153:AD154"/>
    <mergeCell ref="AP139:AP142"/>
    <mergeCell ref="AQ139:AQ142"/>
    <mergeCell ref="AR139:AR142"/>
    <mergeCell ref="AS139:AS142"/>
    <mergeCell ref="AT139:AT142"/>
    <mergeCell ref="BC139:BC140"/>
    <mergeCell ref="AP143:AP146"/>
    <mergeCell ref="AQ143:AQ146"/>
    <mergeCell ref="AR143:AR146"/>
    <mergeCell ref="AS143:AS146"/>
    <mergeCell ref="AT143:AT146"/>
    <mergeCell ref="BA143:BA144"/>
    <mergeCell ref="BC143:BC144"/>
    <mergeCell ref="AD155:AD156"/>
    <mergeCell ref="AP155:AP158"/>
    <mergeCell ref="AQ155:AQ158"/>
    <mergeCell ref="AR155:AR158"/>
    <mergeCell ref="AS155:AS158"/>
    <mergeCell ref="AT155:AT158"/>
    <mergeCell ref="BC155:BC156"/>
    <mergeCell ref="AD157:AD158"/>
    <mergeCell ref="AD159:AD160"/>
    <mergeCell ref="AP159:AP162"/>
    <mergeCell ref="AQ159:AQ162"/>
    <mergeCell ref="AR159:AR162"/>
    <mergeCell ref="AS159:AS162"/>
    <mergeCell ref="AT159:AT162"/>
    <mergeCell ref="BC159:BC160"/>
    <mergeCell ref="BA160:BA162"/>
    <mergeCell ref="AD161:AD162"/>
    <mergeCell ref="AD171:AD172"/>
    <mergeCell ref="AP171:AP174"/>
    <mergeCell ref="AQ171:AQ174"/>
    <mergeCell ref="AR171:AR174"/>
    <mergeCell ref="AS171:AS174"/>
    <mergeCell ref="AT171:AT174"/>
    <mergeCell ref="BC171:BC172"/>
    <mergeCell ref="AD173:AD174"/>
    <mergeCell ref="AD175:AD176"/>
    <mergeCell ref="AP175:AP178"/>
    <mergeCell ref="AQ175:AQ178"/>
    <mergeCell ref="AR175:AR178"/>
    <mergeCell ref="AS175:AS178"/>
    <mergeCell ref="AT175:AT178"/>
    <mergeCell ref="BC175:BC176"/>
    <mergeCell ref="AD177:AD178"/>
    <mergeCell ref="AD163:AD164"/>
    <mergeCell ref="AP163:AP166"/>
    <mergeCell ref="AQ163:AQ166"/>
    <mergeCell ref="AR163:AR166"/>
    <mergeCell ref="AS163:AS166"/>
    <mergeCell ref="AT163:AT166"/>
    <mergeCell ref="BC163:BC164"/>
    <mergeCell ref="AD165:AD166"/>
    <mergeCell ref="AD167:AD168"/>
    <mergeCell ref="AP167:AP170"/>
    <mergeCell ref="AQ167:AQ170"/>
    <mergeCell ref="AR167:AR170"/>
    <mergeCell ref="AS167:AS170"/>
    <mergeCell ref="AT167:AT170"/>
    <mergeCell ref="BC167:BC168"/>
    <mergeCell ref="AD169:AD170"/>
    <mergeCell ref="AP187:AP190"/>
    <mergeCell ref="AQ187:AQ190"/>
    <mergeCell ref="AR187:AR190"/>
    <mergeCell ref="AS187:AS190"/>
    <mergeCell ref="AT187:AT190"/>
    <mergeCell ref="BC187:BC188"/>
    <mergeCell ref="AP191:AP194"/>
    <mergeCell ref="AQ191:AQ194"/>
    <mergeCell ref="AR191:AR194"/>
    <mergeCell ref="AS191:AS194"/>
    <mergeCell ref="AT191:AT194"/>
    <mergeCell ref="BC191:BC192"/>
    <mergeCell ref="AD179:AD180"/>
    <mergeCell ref="AP179:AP182"/>
    <mergeCell ref="AQ179:AQ182"/>
    <mergeCell ref="AR179:AR182"/>
    <mergeCell ref="AS179:AS182"/>
    <mergeCell ref="AT179:AT182"/>
    <mergeCell ref="BC179:BC180"/>
    <mergeCell ref="AD181:AD182"/>
    <mergeCell ref="AD183:AD184"/>
    <mergeCell ref="AP183:AP186"/>
    <mergeCell ref="AQ183:AQ186"/>
    <mergeCell ref="AR183:AR186"/>
    <mergeCell ref="AS183:AS186"/>
    <mergeCell ref="AT183:AT186"/>
    <mergeCell ref="BC183:BC184"/>
    <mergeCell ref="AD185:AD186"/>
    <mergeCell ref="AP203:AP206"/>
    <mergeCell ref="AQ203:AQ206"/>
    <mergeCell ref="AR203:AR206"/>
    <mergeCell ref="AS203:AS206"/>
    <mergeCell ref="AT203:AT206"/>
    <mergeCell ref="BC203:BC204"/>
    <mergeCell ref="AP207:AP210"/>
    <mergeCell ref="AQ207:AQ210"/>
    <mergeCell ref="AR207:AR210"/>
    <mergeCell ref="AS207:AS210"/>
    <mergeCell ref="AT207:AT210"/>
    <mergeCell ref="BC207:BC208"/>
    <mergeCell ref="AP195:AP198"/>
    <mergeCell ref="AQ195:AQ198"/>
    <mergeCell ref="AR195:AR198"/>
    <mergeCell ref="AS195:AS198"/>
    <mergeCell ref="AT195:AT198"/>
    <mergeCell ref="BC195:BC196"/>
    <mergeCell ref="AP199:AP202"/>
    <mergeCell ref="AQ199:AQ202"/>
    <mergeCell ref="AR199:AR202"/>
    <mergeCell ref="AS199:AS202"/>
    <mergeCell ref="AT199:AT202"/>
    <mergeCell ref="BC199:BC200"/>
    <mergeCell ref="AP219:AP222"/>
    <mergeCell ref="AQ219:AQ222"/>
    <mergeCell ref="AR219:AR222"/>
    <mergeCell ref="AS219:AS222"/>
    <mergeCell ref="AT219:AT222"/>
    <mergeCell ref="BC219:BC220"/>
    <mergeCell ref="AD223:AD224"/>
    <mergeCell ref="AP223:AP226"/>
    <mergeCell ref="AQ223:AQ226"/>
    <mergeCell ref="AR223:AR226"/>
    <mergeCell ref="AS223:AS226"/>
    <mergeCell ref="AT223:AT226"/>
    <mergeCell ref="BC223:BC224"/>
    <mergeCell ref="AD225:AD226"/>
    <mergeCell ref="AP211:AP214"/>
    <mergeCell ref="AQ211:AQ214"/>
    <mergeCell ref="AR211:AR214"/>
    <mergeCell ref="AS211:AS214"/>
    <mergeCell ref="AT211:AT214"/>
    <mergeCell ref="BC211:BC212"/>
    <mergeCell ref="AP215:AP218"/>
    <mergeCell ref="AQ215:AQ218"/>
    <mergeCell ref="AR215:AR218"/>
    <mergeCell ref="AS215:AS218"/>
    <mergeCell ref="AT215:AT218"/>
    <mergeCell ref="BA215:BA216"/>
    <mergeCell ref="BC215:BC216"/>
    <mergeCell ref="AD227:AD228"/>
    <mergeCell ref="AP227:AP230"/>
    <mergeCell ref="AQ227:AQ230"/>
    <mergeCell ref="AR227:AR230"/>
    <mergeCell ref="AS227:AS230"/>
    <mergeCell ref="AT227:AT230"/>
    <mergeCell ref="BC227:BC228"/>
    <mergeCell ref="AD229:AD230"/>
    <mergeCell ref="AD231:AD232"/>
    <mergeCell ref="AP231:AP234"/>
    <mergeCell ref="AQ231:AQ234"/>
    <mergeCell ref="AR231:AR234"/>
    <mergeCell ref="AS231:AS234"/>
    <mergeCell ref="AT231:AT234"/>
    <mergeCell ref="BC231:BC232"/>
    <mergeCell ref="BA232:BA234"/>
    <mergeCell ref="AD233:AD234"/>
    <mergeCell ref="AD243:AD244"/>
    <mergeCell ref="AP243:AP246"/>
    <mergeCell ref="AQ243:AQ246"/>
    <mergeCell ref="AR243:AR246"/>
    <mergeCell ref="AS243:AS246"/>
    <mergeCell ref="AT243:AT246"/>
    <mergeCell ref="BC243:BC244"/>
    <mergeCell ref="AD245:AD246"/>
    <mergeCell ref="AD247:AD248"/>
    <mergeCell ref="AP247:AP250"/>
    <mergeCell ref="AQ247:AQ250"/>
    <mergeCell ref="AR247:AR250"/>
    <mergeCell ref="AS247:AS250"/>
    <mergeCell ref="AT247:AT250"/>
    <mergeCell ref="BC247:BC248"/>
    <mergeCell ref="AD249:AD250"/>
    <mergeCell ref="AD235:AD236"/>
    <mergeCell ref="AP235:AP238"/>
    <mergeCell ref="AQ235:AQ238"/>
    <mergeCell ref="AR235:AR238"/>
    <mergeCell ref="AS235:AS238"/>
    <mergeCell ref="AT235:AT238"/>
    <mergeCell ref="BC235:BC236"/>
    <mergeCell ref="AD237:AD238"/>
    <mergeCell ref="AD239:AD240"/>
    <mergeCell ref="AP239:AP242"/>
    <mergeCell ref="AQ239:AQ242"/>
    <mergeCell ref="AR239:AR242"/>
    <mergeCell ref="AS239:AS242"/>
    <mergeCell ref="AT239:AT242"/>
    <mergeCell ref="BC239:BC240"/>
    <mergeCell ref="AD241:AD242"/>
    <mergeCell ref="AP259:AP262"/>
    <mergeCell ref="AQ259:AQ262"/>
    <mergeCell ref="AR259:AR262"/>
    <mergeCell ref="AS259:AS262"/>
    <mergeCell ref="AT259:AT262"/>
    <mergeCell ref="BC259:BC260"/>
    <mergeCell ref="AP263:AP266"/>
    <mergeCell ref="AQ263:AQ266"/>
    <mergeCell ref="AR263:AR266"/>
    <mergeCell ref="AS263:AS266"/>
    <mergeCell ref="AT263:AT266"/>
    <mergeCell ref="BC263:BC264"/>
    <mergeCell ref="AD251:AD252"/>
    <mergeCell ref="AP251:AP254"/>
    <mergeCell ref="AQ251:AQ254"/>
    <mergeCell ref="AR251:AR254"/>
    <mergeCell ref="AS251:AS254"/>
    <mergeCell ref="AT251:AT254"/>
    <mergeCell ref="BC251:BC252"/>
    <mergeCell ref="AD253:AD254"/>
    <mergeCell ref="AD255:AD256"/>
    <mergeCell ref="AP255:AP258"/>
    <mergeCell ref="AQ255:AQ258"/>
    <mergeCell ref="AR255:AR258"/>
    <mergeCell ref="AS255:AS258"/>
    <mergeCell ref="AT255:AT258"/>
    <mergeCell ref="BC255:BC256"/>
    <mergeCell ref="AD257:AD258"/>
    <mergeCell ref="AP275:AP278"/>
    <mergeCell ref="AQ275:AQ278"/>
    <mergeCell ref="AR275:AR278"/>
    <mergeCell ref="AS275:AS278"/>
    <mergeCell ref="AT275:AT278"/>
    <mergeCell ref="BC275:BC276"/>
    <mergeCell ref="AP279:AP282"/>
    <mergeCell ref="AQ279:AQ282"/>
    <mergeCell ref="AR279:AR282"/>
    <mergeCell ref="AS279:AS282"/>
    <mergeCell ref="AT279:AT282"/>
    <mergeCell ref="BC279:BC280"/>
    <mergeCell ref="AP267:AP270"/>
    <mergeCell ref="AQ267:AQ270"/>
    <mergeCell ref="AR267:AR270"/>
    <mergeCell ref="AS267:AS270"/>
    <mergeCell ref="AT267:AT270"/>
    <mergeCell ref="BC267:BC268"/>
    <mergeCell ref="AP271:AP274"/>
    <mergeCell ref="AQ271:AQ274"/>
    <mergeCell ref="AR271:AR274"/>
    <mergeCell ref="AS271:AS274"/>
    <mergeCell ref="AT271:AT274"/>
    <mergeCell ref="BC271:BC272"/>
    <mergeCell ref="AP291:AP294"/>
    <mergeCell ref="AQ291:AQ294"/>
    <mergeCell ref="AR291:AR294"/>
    <mergeCell ref="AS291:AS294"/>
    <mergeCell ref="AT291:AT294"/>
    <mergeCell ref="BC291:BC292"/>
    <mergeCell ref="AD295:AD296"/>
    <mergeCell ref="AP295:AP298"/>
    <mergeCell ref="AQ295:AQ298"/>
    <mergeCell ref="AR295:AR298"/>
    <mergeCell ref="AS295:AS298"/>
    <mergeCell ref="AT295:AT298"/>
    <mergeCell ref="BC295:BC296"/>
    <mergeCell ref="AD297:AD298"/>
    <mergeCell ref="AP283:AP286"/>
    <mergeCell ref="AQ283:AQ286"/>
    <mergeCell ref="AR283:AR286"/>
    <mergeCell ref="AS283:AS286"/>
    <mergeCell ref="AT283:AT286"/>
    <mergeCell ref="BC283:BC284"/>
    <mergeCell ref="AP287:AP290"/>
    <mergeCell ref="AQ287:AQ290"/>
    <mergeCell ref="AR287:AR290"/>
    <mergeCell ref="AS287:AS290"/>
    <mergeCell ref="AT287:AT290"/>
    <mergeCell ref="BA287:BA288"/>
    <mergeCell ref="BC287:BC288"/>
    <mergeCell ref="AD299:AD300"/>
    <mergeCell ref="AP299:AP302"/>
    <mergeCell ref="AQ299:AQ302"/>
    <mergeCell ref="AR299:AR302"/>
    <mergeCell ref="AS299:AS302"/>
    <mergeCell ref="AT299:AT302"/>
    <mergeCell ref="BC299:BC300"/>
    <mergeCell ref="AD301:AD302"/>
    <mergeCell ref="AD303:AD304"/>
    <mergeCell ref="AP303:AP306"/>
    <mergeCell ref="AQ303:AQ306"/>
    <mergeCell ref="AR303:AR306"/>
    <mergeCell ref="AS303:AS306"/>
    <mergeCell ref="AT303:AT306"/>
    <mergeCell ref="BC303:BC304"/>
    <mergeCell ref="BA304:BA306"/>
    <mergeCell ref="AD305:AD306"/>
    <mergeCell ref="AD315:AD316"/>
    <mergeCell ref="AP315:AP318"/>
    <mergeCell ref="AQ315:AQ318"/>
    <mergeCell ref="AR315:AR318"/>
    <mergeCell ref="AS315:AS318"/>
    <mergeCell ref="AT315:AT318"/>
    <mergeCell ref="BC315:BC316"/>
    <mergeCell ref="AD317:AD318"/>
    <mergeCell ref="AD319:AD320"/>
    <mergeCell ref="AP319:AP322"/>
    <mergeCell ref="AQ319:AQ322"/>
    <mergeCell ref="AR319:AR322"/>
    <mergeCell ref="AS319:AS322"/>
    <mergeCell ref="AT319:AT322"/>
    <mergeCell ref="BC319:BC320"/>
    <mergeCell ref="AD321:AD322"/>
    <mergeCell ref="AD307:AD308"/>
    <mergeCell ref="AP307:AP310"/>
    <mergeCell ref="AQ307:AQ310"/>
    <mergeCell ref="AR307:AR310"/>
    <mergeCell ref="AS307:AS310"/>
    <mergeCell ref="AT307:AT310"/>
    <mergeCell ref="BC307:BC308"/>
    <mergeCell ref="AD309:AD310"/>
    <mergeCell ref="AD311:AD312"/>
    <mergeCell ref="AP311:AP314"/>
    <mergeCell ref="AQ311:AQ314"/>
    <mergeCell ref="AR311:AR314"/>
    <mergeCell ref="AS311:AS314"/>
    <mergeCell ref="AT311:AT314"/>
    <mergeCell ref="BC311:BC312"/>
    <mergeCell ref="AD313:AD314"/>
    <mergeCell ref="AP331:AP334"/>
    <mergeCell ref="AQ331:AQ334"/>
    <mergeCell ref="AR331:AR334"/>
    <mergeCell ref="AS331:AS334"/>
    <mergeCell ref="AT331:AT334"/>
    <mergeCell ref="BC331:BC332"/>
    <mergeCell ref="AP335:AP338"/>
    <mergeCell ref="AQ335:AQ338"/>
    <mergeCell ref="AR335:AR338"/>
    <mergeCell ref="AS335:AS338"/>
    <mergeCell ref="AT335:AT338"/>
    <mergeCell ref="BC335:BC336"/>
    <mergeCell ref="AD323:AD324"/>
    <mergeCell ref="AP323:AP326"/>
    <mergeCell ref="AQ323:AQ326"/>
    <mergeCell ref="AR323:AR326"/>
    <mergeCell ref="AS323:AS326"/>
    <mergeCell ref="AT323:AT326"/>
    <mergeCell ref="BC323:BC324"/>
    <mergeCell ref="AD325:AD326"/>
    <mergeCell ref="AD327:AD328"/>
    <mergeCell ref="AP327:AP330"/>
    <mergeCell ref="AQ327:AQ330"/>
    <mergeCell ref="AR327:AR330"/>
    <mergeCell ref="AS327:AS330"/>
    <mergeCell ref="AT327:AT330"/>
    <mergeCell ref="BC327:BC328"/>
    <mergeCell ref="AD329:AD330"/>
    <mergeCell ref="AP347:AP350"/>
    <mergeCell ref="AQ347:AQ350"/>
    <mergeCell ref="AR347:AR350"/>
    <mergeCell ref="AS347:AS350"/>
    <mergeCell ref="AT347:AT350"/>
    <mergeCell ref="BC347:BC348"/>
    <mergeCell ref="AP351:AP354"/>
    <mergeCell ref="AQ351:AQ354"/>
    <mergeCell ref="AR351:AR354"/>
    <mergeCell ref="AS351:AS354"/>
    <mergeCell ref="AT351:AT354"/>
    <mergeCell ref="BC351:BC352"/>
    <mergeCell ref="AP339:AP342"/>
    <mergeCell ref="AQ339:AQ342"/>
    <mergeCell ref="AR339:AR342"/>
    <mergeCell ref="AS339:AS342"/>
    <mergeCell ref="AT339:AT342"/>
    <mergeCell ref="BC339:BC340"/>
    <mergeCell ref="AP343:AP346"/>
    <mergeCell ref="AQ343:AQ346"/>
    <mergeCell ref="AR343:AR346"/>
    <mergeCell ref="AS343:AS346"/>
    <mergeCell ref="AT343:AT346"/>
    <mergeCell ref="BC343:BC344"/>
    <mergeCell ref="AP363:AP366"/>
    <mergeCell ref="AQ363:AQ366"/>
    <mergeCell ref="AR363:AR366"/>
    <mergeCell ref="AS363:AS366"/>
    <mergeCell ref="AT363:AT366"/>
    <mergeCell ref="BC363:BC364"/>
    <mergeCell ref="AD367:AD368"/>
    <mergeCell ref="AP367:AP370"/>
    <mergeCell ref="AQ367:AQ370"/>
    <mergeCell ref="AR367:AR370"/>
    <mergeCell ref="AS367:AS370"/>
    <mergeCell ref="AT367:AT370"/>
    <mergeCell ref="BC367:BC368"/>
    <mergeCell ref="AD369:AD370"/>
    <mergeCell ref="AP355:AP358"/>
    <mergeCell ref="AQ355:AQ358"/>
    <mergeCell ref="AR355:AR358"/>
    <mergeCell ref="AS355:AS358"/>
    <mergeCell ref="AT355:AT358"/>
    <mergeCell ref="BC355:BC356"/>
    <mergeCell ref="AP359:AP362"/>
    <mergeCell ref="AQ359:AQ362"/>
    <mergeCell ref="AR359:AR362"/>
    <mergeCell ref="AS359:AS362"/>
    <mergeCell ref="AT359:AT362"/>
    <mergeCell ref="BA359:BA360"/>
    <mergeCell ref="BC359:BC360"/>
    <mergeCell ref="AD371:AD372"/>
    <mergeCell ref="AP371:AP374"/>
    <mergeCell ref="AQ371:AQ374"/>
    <mergeCell ref="AR371:AR374"/>
    <mergeCell ref="AS371:AS374"/>
    <mergeCell ref="AT371:AT374"/>
    <mergeCell ref="BC371:BC372"/>
    <mergeCell ref="AD373:AD374"/>
    <mergeCell ref="AD375:AD376"/>
    <mergeCell ref="AP375:AP378"/>
    <mergeCell ref="AQ375:AQ378"/>
    <mergeCell ref="AR375:AR378"/>
    <mergeCell ref="AS375:AS378"/>
    <mergeCell ref="AT375:AT378"/>
    <mergeCell ref="BC375:BC376"/>
    <mergeCell ref="BA376:BA378"/>
    <mergeCell ref="AD377:AD378"/>
    <mergeCell ref="AD387:AD388"/>
    <mergeCell ref="AP387:AP390"/>
    <mergeCell ref="AQ387:AQ390"/>
    <mergeCell ref="AR387:AR390"/>
    <mergeCell ref="AS387:AS390"/>
    <mergeCell ref="AT387:AT390"/>
    <mergeCell ref="BC387:BC388"/>
    <mergeCell ref="AD389:AD390"/>
    <mergeCell ref="AD391:AD392"/>
    <mergeCell ref="AP391:AP394"/>
    <mergeCell ref="AQ391:AQ394"/>
    <mergeCell ref="AR391:AR394"/>
    <mergeCell ref="AS391:AS394"/>
    <mergeCell ref="AT391:AT394"/>
    <mergeCell ref="BC391:BC392"/>
    <mergeCell ref="AD393:AD394"/>
    <mergeCell ref="AD379:AD380"/>
    <mergeCell ref="AP379:AP382"/>
    <mergeCell ref="AQ379:AQ382"/>
    <mergeCell ref="AR379:AR382"/>
    <mergeCell ref="AS379:AS382"/>
    <mergeCell ref="AT379:AT382"/>
    <mergeCell ref="BC379:BC380"/>
    <mergeCell ref="AD381:AD382"/>
    <mergeCell ref="AD383:AD384"/>
    <mergeCell ref="AP383:AP386"/>
    <mergeCell ref="AQ383:AQ386"/>
    <mergeCell ref="AR383:AR386"/>
    <mergeCell ref="AS383:AS386"/>
    <mergeCell ref="AT383:AT386"/>
    <mergeCell ref="BC383:BC384"/>
    <mergeCell ref="AD385:AD386"/>
    <mergeCell ref="AP403:AP406"/>
    <mergeCell ref="AQ403:AQ406"/>
    <mergeCell ref="AR403:AR406"/>
    <mergeCell ref="AS403:AS406"/>
    <mergeCell ref="AT403:AT406"/>
    <mergeCell ref="BC403:BC404"/>
    <mergeCell ref="AP407:AP410"/>
    <mergeCell ref="AQ407:AQ410"/>
    <mergeCell ref="AR407:AR410"/>
    <mergeCell ref="AS407:AS410"/>
    <mergeCell ref="AT407:AT410"/>
    <mergeCell ref="BC407:BC408"/>
    <mergeCell ref="AD395:AD396"/>
    <mergeCell ref="AP395:AP398"/>
    <mergeCell ref="AQ395:AQ398"/>
    <mergeCell ref="AR395:AR398"/>
    <mergeCell ref="AS395:AS398"/>
    <mergeCell ref="AT395:AT398"/>
    <mergeCell ref="BC395:BC396"/>
    <mergeCell ref="AD397:AD398"/>
    <mergeCell ref="AD399:AD400"/>
    <mergeCell ref="AP399:AP402"/>
    <mergeCell ref="AQ399:AQ402"/>
    <mergeCell ref="AR399:AR402"/>
    <mergeCell ref="AS399:AS402"/>
    <mergeCell ref="AT399:AT402"/>
    <mergeCell ref="BC399:BC400"/>
    <mergeCell ref="AD401:AD402"/>
    <mergeCell ref="AP419:AP422"/>
    <mergeCell ref="AQ419:AQ422"/>
    <mergeCell ref="AR419:AR422"/>
    <mergeCell ref="AS419:AS422"/>
    <mergeCell ref="AT419:AT422"/>
    <mergeCell ref="BC419:BC420"/>
    <mergeCell ref="AP423:AP426"/>
    <mergeCell ref="AQ423:AQ426"/>
    <mergeCell ref="AR423:AR426"/>
    <mergeCell ref="AS423:AS426"/>
    <mergeCell ref="AT423:AT426"/>
    <mergeCell ref="BC423:BC424"/>
    <mergeCell ref="AP411:AP414"/>
    <mergeCell ref="AQ411:AQ414"/>
    <mergeCell ref="AR411:AR414"/>
    <mergeCell ref="AS411:AS414"/>
    <mergeCell ref="AT411:AT414"/>
    <mergeCell ref="BC411:BC412"/>
    <mergeCell ref="AP415:AP418"/>
    <mergeCell ref="AQ415:AQ418"/>
    <mergeCell ref="AR415:AR418"/>
    <mergeCell ref="AS415:AS418"/>
    <mergeCell ref="AT415:AT418"/>
    <mergeCell ref="BC415:BC416"/>
    <mergeCell ref="AP435:AP438"/>
    <mergeCell ref="AQ435:AQ438"/>
    <mergeCell ref="AR435:AR438"/>
    <mergeCell ref="AS435:AS438"/>
    <mergeCell ref="AT435:AT438"/>
    <mergeCell ref="BC435:BC436"/>
    <mergeCell ref="AD439:AD440"/>
    <mergeCell ref="AP439:AP442"/>
    <mergeCell ref="AQ439:AQ442"/>
    <mergeCell ref="AR439:AR442"/>
    <mergeCell ref="AS439:AS442"/>
    <mergeCell ref="AT439:AT442"/>
    <mergeCell ref="BC439:BC440"/>
    <mergeCell ref="AD441:AD442"/>
    <mergeCell ref="AP427:AP430"/>
    <mergeCell ref="AQ427:AQ430"/>
    <mergeCell ref="AR427:AR430"/>
    <mergeCell ref="AS427:AS430"/>
    <mergeCell ref="AT427:AT430"/>
    <mergeCell ref="BC427:BC428"/>
    <mergeCell ref="AP431:AP434"/>
    <mergeCell ref="AQ431:AQ434"/>
    <mergeCell ref="AR431:AR434"/>
    <mergeCell ref="AS431:AS434"/>
    <mergeCell ref="AT431:AT434"/>
    <mergeCell ref="BA431:BA432"/>
    <mergeCell ref="BC431:BC432"/>
    <mergeCell ref="AD443:AD444"/>
    <mergeCell ref="AP443:AP446"/>
    <mergeCell ref="AQ443:AQ446"/>
    <mergeCell ref="AR443:AR446"/>
    <mergeCell ref="AS443:AS446"/>
    <mergeCell ref="AT443:AT446"/>
    <mergeCell ref="BC443:BC444"/>
    <mergeCell ref="AD445:AD446"/>
    <mergeCell ref="AD447:AD448"/>
    <mergeCell ref="AP447:AP450"/>
    <mergeCell ref="AQ447:AQ450"/>
    <mergeCell ref="AR447:AR450"/>
    <mergeCell ref="AS447:AS450"/>
    <mergeCell ref="AT447:AT450"/>
    <mergeCell ref="BC447:BC448"/>
    <mergeCell ref="BA448:BA450"/>
    <mergeCell ref="AD449:AD450"/>
    <mergeCell ref="AD459:AD460"/>
    <mergeCell ref="AP459:AP462"/>
    <mergeCell ref="AQ459:AQ462"/>
    <mergeCell ref="AR459:AR462"/>
    <mergeCell ref="AS459:AS462"/>
    <mergeCell ref="AT459:AT462"/>
    <mergeCell ref="BC459:BC460"/>
    <mergeCell ref="AD461:AD462"/>
    <mergeCell ref="AD463:AD464"/>
    <mergeCell ref="AP463:AP466"/>
    <mergeCell ref="AQ463:AQ466"/>
    <mergeCell ref="AR463:AR466"/>
    <mergeCell ref="AS463:AS466"/>
    <mergeCell ref="AT463:AT466"/>
    <mergeCell ref="BC463:BC464"/>
    <mergeCell ref="AD465:AD466"/>
    <mergeCell ref="AD451:AD452"/>
    <mergeCell ref="AP451:AP454"/>
    <mergeCell ref="AQ451:AQ454"/>
    <mergeCell ref="AR451:AR454"/>
    <mergeCell ref="AS451:AS454"/>
    <mergeCell ref="AT451:AT454"/>
    <mergeCell ref="BC451:BC452"/>
    <mergeCell ref="AD453:AD454"/>
    <mergeCell ref="AD455:AD456"/>
    <mergeCell ref="AP455:AP458"/>
    <mergeCell ref="AQ455:AQ458"/>
    <mergeCell ref="AR455:AR458"/>
    <mergeCell ref="AS455:AS458"/>
    <mergeCell ref="AT455:AT458"/>
    <mergeCell ref="BC455:BC456"/>
    <mergeCell ref="AD457:AD458"/>
    <mergeCell ref="AP475:AP478"/>
    <mergeCell ref="AQ475:AQ478"/>
    <mergeCell ref="AR475:AR478"/>
    <mergeCell ref="AS475:AS478"/>
    <mergeCell ref="AT475:AT478"/>
    <mergeCell ref="BC475:BC476"/>
    <mergeCell ref="AP479:AP482"/>
    <mergeCell ref="AQ479:AQ482"/>
    <mergeCell ref="AR479:AR482"/>
    <mergeCell ref="AS479:AS482"/>
    <mergeCell ref="AT479:AT482"/>
    <mergeCell ref="BC479:BC480"/>
    <mergeCell ref="AD467:AD468"/>
    <mergeCell ref="AP467:AP470"/>
    <mergeCell ref="AQ467:AQ470"/>
    <mergeCell ref="AR467:AR470"/>
    <mergeCell ref="AS467:AS470"/>
    <mergeCell ref="AT467:AT470"/>
    <mergeCell ref="BC467:BC468"/>
    <mergeCell ref="AD469:AD470"/>
    <mergeCell ref="AD471:AD472"/>
    <mergeCell ref="AP471:AP474"/>
    <mergeCell ref="AQ471:AQ474"/>
    <mergeCell ref="AR471:AR474"/>
    <mergeCell ref="AS471:AS474"/>
    <mergeCell ref="AT471:AT474"/>
    <mergeCell ref="BC471:BC472"/>
    <mergeCell ref="AD473:AD474"/>
    <mergeCell ref="AP491:AP494"/>
    <mergeCell ref="AQ491:AQ494"/>
    <mergeCell ref="AR491:AR494"/>
    <mergeCell ref="AS491:AS494"/>
    <mergeCell ref="AT491:AT494"/>
    <mergeCell ref="BC491:BC492"/>
    <mergeCell ref="AP495:AP498"/>
    <mergeCell ref="AQ495:AQ498"/>
    <mergeCell ref="AR495:AR498"/>
    <mergeCell ref="AS495:AS498"/>
    <mergeCell ref="AT495:AT498"/>
    <mergeCell ref="BC495:BC496"/>
    <mergeCell ref="AP483:AP486"/>
    <mergeCell ref="AQ483:AQ486"/>
    <mergeCell ref="AR483:AR486"/>
    <mergeCell ref="AS483:AS486"/>
    <mergeCell ref="AT483:AT486"/>
    <mergeCell ref="BC483:BC484"/>
    <mergeCell ref="AP487:AP490"/>
    <mergeCell ref="AQ487:AQ490"/>
    <mergeCell ref="AR487:AR490"/>
    <mergeCell ref="AS487:AS490"/>
    <mergeCell ref="AT487:AT490"/>
    <mergeCell ref="BC487:BC488"/>
    <mergeCell ref="AD521:AD522"/>
    <mergeCell ref="AP507:AP510"/>
    <mergeCell ref="AQ507:AQ510"/>
    <mergeCell ref="AR507:AR510"/>
    <mergeCell ref="AS507:AS510"/>
    <mergeCell ref="AT507:AT510"/>
    <mergeCell ref="BC507:BC508"/>
    <mergeCell ref="AD511:AD512"/>
    <mergeCell ref="AP511:AP514"/>
    <mergeCell ref="AQ511:AQ514"/>
    <mergeCell ref="AR511:AR514"/>
    <mergeCell ref="AS511:AS514"/>
    <mergeCell ref="AT511:AT514"/>
    <mergeCell ref="BC511:BC512"/>
    <mergeCell ref="AD513:AD514"/>
    <mergeCell ref="AP499:AP502"/>
    <mergeCell ref="AQ499:AQ502"/>
    <mergeCell ref="AR499:AR502"/>
    <mergeCell ref="AS499:AS502"/>
    <mergeCell ref="AT499:AT502"/>
    <mergeCell ref="BC499:BC500"/>
    <mergeCell ref="AP503:AP506"/>
    <mergeCell ref="AQ503:AQ506"/>
    <mergeCell ref="AR503:AR506"/>
    <mergeCell ref="AS503:AS506"/>
    <mergeCell ref="AT503:AT506"/>
    <mergeCell ref="BA503:BA504"/>
    <mergeCell ref="BC503:BC504"/>
    <mergeCell ref="AD523:AD524"/>
    <mergeCell ref="AP523:AP526"/>
    <mergeCell ref="AQ523:AQ526"/>
    <mergeCell ref="AR523:AR526"/>
    <mergeCell ref="AS523:AS526"/>
    <mergeCell ref="AT523:AT526"/>
    <mergeCell ref="BC523:BC524"/>
    <mergeCell ref="AD525:AD526"/>
    <mergeCell ref="AD527:AD528"/>
    <mergeCell ref="AP527:AP530"/>
    <mergeCell ref="AQ527:AQ530"/>
    <mergeCell ref="AR527:AR530"/>
    <mergeCell ref="AS527:AS530"/>
    <mergeCell ref="AT527:AT530"/>
    <mergeCell ref="BC527:BC528"/>
    <mergeCell ref="AD529:AD530"/>
    <mergeCell ref="AD515:AD516"/>
    <mergeCell ref="AP515:AP518"/>
    <mergeCell ref="AQ515:AQ518"/>
    <mergeCell ref="AR515:AR518"/>
    <mergeCell ref="AS515:AS518"/>
    <mergeCell ref="AT515:AT518"/>
    <mergeCell ref="BC515:BC516"/>
    <mergeCell ref="AD517:AD518"/>
    <mergeCell ref="AD519:AD520"/>
    <mergeCell ref="AP519:AP522"/>
    <mergeCell ref="AQ519:AQ522"/>
    <mergeCell ref="AR519:AR522"/>
    <mergeCell ref="AS519:AS522"/>
    <mergeCell ref="AT519:AT522"/>
    <mergeCell ref="BC519:BC520"/>
    <mergeCell ref="BA520:BA522"/>
    <mergeCell ref="AD539:AD540"/>
    <mergeCell ref="AP539:AP542"/>
    <mergeCell ref="AQ539:AQ542"/>
    <mergeCell ref="AR539:AR542"/>
    <mergeCell ref="AS539:AS542"/>
    <mergeCell ref="AT539:AT542"/>
    <mergeCell ref="BC539:BC540"/>
    <mergeCell ref="AD541:AD542"/>
    <mergeCell ref="AD543:AD544"/>
    <mergeCell ref="AP543:AP546"/>
    <mergeCell ref="AQ543:AQ546"/>
    <mergeCell ref="AR543:AR546"/>
    <mergeCell ref="AS543:AS546"/>
    <mergeCell ref="AT543:AT546"/>
    <mergeCell ref="BC543:BC544"/>
    <mergeCell ref="AD545:AD546"/>
    <mergeCell ref="AD531:AD532"/>
    <mergeCell ref="AP531:AP534"/>
    <mergeCell ref="AQ531:AQ534"/>
    <mergeCell ref="AR531:AR534"/>
    <mergeCell ref="AS531:AS534"/>
    <mergeCell ref="AT531:AT534"/>
    <mergeCell ref="BC531:BC532"/>
    <mergeCell ref="AD533:AD534"/>
    <mergeCell ref="AD535:AD536"/>
    <mergeCell ref="AP535:AP538"/>
    <mergeCell ref="AQ535:AQ538"/>
    <mergeCell ref="AR535:AR538"/>
    <mergeCell ref="AS535:AS538"/>
    <mergeCell ref="AT535:AT538"/>
    <mergeCell ref="BC535:BC536"/>
    <mergeCell ref="AD537:AD538"/>
    <mergeCell ref="AP555:AP558"/>
    <mergeCell ref="AQ555:AQ558"/>
    <mergeCell ref="AR555:AR558"/>
    <mergeCell ref="AS555:AS558"/>
    <mergeCell ref="AT555:AT558"/>
    <mergeCell ref="BC555:BC556"/>
    <mergeCell ref="AP559:AP562"/>
    <mergeCell ref="AQ559:AQ562"/>
    <mergeCell ref="AR559:AR562"/>
    <mergeCell ref="AS559:AS562"/>
    <mergeCell ref="AT559:AT562"/>
    <mergeCell ref="BC559:BC560"/>
    <mergeCell ref="AP547:AP550"/>
    <mergeCell ref="AQ547:AQ550"/>
    <mergeCell ref="AR547:AR550"/>
    <mergeCell ref="AS547:AS550"/>
    <mergeCell ref="AT547:AT550"/>
    <mergeCell ref="BC547:BC548"/>
    <mergeCell ref="AP551:AP554"/>
    <mergeCell ref="AQ551:AQ554"/>
    <mergeCell ref="AR551:AR554"/>
    <mergeCell ref="AS551:AS554"/>
    <mergeCell ref="AT551:AT554"/>
    <mergeCell ref="BC551:BC552"/>
    <mergeCell ref="AP571:AP574"/>
    <mergeCell ref="AQ571:AQ574"/>
    <mergeCell ref="AR571:AR574"/>
    <mergeCell ref="AS571:AS574"/>
    <mergeCell ref="AT571:AT574"/>
    <mergeCell ref="BC571:BC572"/>
    <mergeCell ref="AP575:AP578"/>
    <mergeCell ref="AQ575:AQ578"/>
    <mergeCell ref="AR575:AR578"/>
    <mergeCell ref="AS575:AS578"/>
    <mergeCell ref="AT575:AT578"/>
    <mergeCell ref="BA575:BA576"/>
    <mergeCell ref="BC575:BC576"/>
    <mergeCell ref="AP563:AP566"/>
    <mergeCell ref="AQ563:AQ566"/>
    <mergeCell ref="AR563:AR566"/>
    <mergeCell ref="AS563:AS566"/>
    <mergeCell ref="AT563:AT566"/>
    <mergeCell ref="BC563:BC564"/>
    <mergeCell ref="AP567:AP570"/>
    <mergeCell ref="AQ567:AQ570"/>
    <mergeCell ref="AR567:AR570"/>
    <mergeCell ref="AS567:AS570"/>
    <mergeCell ref="AT567:AT570"/>
    <mergeCell ref="BC567:BC568"/>
    <mergeCell ref="AD592:AD593"/>
    <mergeCell ref="AT592:AT595"/>
    <mergeCell ref="AD594:AD595"/>
    <mergeCell ref="AD596:AD597"/>
    <mergeCell ref="AT596:AT599"/>
    <mergeCell ref="BA597:BA599"/>
    <mergeCell ref="AD598:AD599"/>
    <mergeCell ref="AD600:AD601"/>
    <mergeCell ref="AT600:AT603"/>
    <mergeCell ref="AD602:AD603"/>
    <mergeCell ref="AP579:AP582"/>
    <mergeCell ref="AQ579:AQ582"/>
    <mergeCell ref="AR579:AR582"/>
    <mergeCell ref="AS579:AS582"/>
    <mergeCell ref="AT579:AT582"/>
    <mergeCell ref="BC579:BC580"/>
    <mergeCell ref="BC586:BC587"/>
    <mergeCell ref="AD588:AD589"/>
    <mergeCell ref="AT588:AT591"/>
    <mergeCell ref="AD590:AD591"/>
    <mergeCell ref="AT636:AT639"/>
    <mergeCell ref="AT640:AT643"/>
    <mergeCell ref="AT644:AT647"/>
    <mergeCell ref="AT648:AT651"/>
    <mergeCell ref="AT652:AT655"/>
    <mergeCell ref="BA652:BA653"/>
    <mergeCell ref="AT656:AT659"/>
    <mergeCell ref="AD616:AD617"/>
    <mergeCell ref="AT616:AT619"/>
    <mergeCell ref="AD618:AD619"/>
    <mergeCell ref="AD620:AD621"/>
    <mergeCell ref="AT620:AT623"/>
    <mergeCell ref="AD622:AD623"/>
    <mergeCell ref="AT624:AT627"/>
    <mergeCell ref="AT628:AT631"/>
    <mergeCell ref="AT632:AT635"/>
    <mergeCell ref="AD604:AD605"/>
    <mergeCell ref="AT604:AT607"/>
    <mergeCell ref="AD606:AD607"/>
    <mergeCell ref="AD608:AD609"/>
    <mergeCell ref="AT608:AT611"/>
    <mergeCell ref="AD610:AD611"/>
    <mergeCell ref="AD612:AD613"/>
    <mergeCell ref="AT612:AT615"/>
    <mergeCell ref="AD614:AD615"/>
  </mergeCells>
  <phoneticPr fontId="1"/>
  <conditionalFormatting sqref="F1:P1048576">
    <cfRule type="expression" dxfId="473" priority="457">
      <formula>F1&lt;#REF!</formula>
    </cfRule>
    <cfRule type="expression" dxfId="472" priority="458">
      <formula>F1&gt;#REF!</formula>
    </cfRule>
  </conditionalFormatting>
  <conditionalFormatting sqref="AD3:AE1048576 AD1">
    <cfRule type="expression" dxfId="471" priority="455">
      <formula>AD1&lt;#REF!</formula>
    </cfRule>
    <cfRule type="expression" dxfId="470" priority="456">
      <formula>AD1&gt;#REF!</formula>
    </cfRule>
  </conditionalFormatting>
  <conditionalFormatting sqref="AT8:AY10 AT40:AY42 AT44:AY46 AT48:AY50 AT56:AY58 AT60:AY62 AT64:AY66 AT68:AY70 AT12:AY14 AT16:AY18 AT20:AY22 AT24:AY26 AT28:AY30 AT32:AY34 AP583:AY1048576 AP71:AS71 AP75:AY75 AP67:AY67 AP63:AY63 AP59:AY59 AP55:AY55 AP51:AY51 AP47:AY47 AP43:AY43 AP39:AY39 AP35:AY35 AP31:AY31 AP15:AY15 AP19:AY19 AP23:AY23 AP27:AY27 AP11:AY11 AP1:AY7 AU71:AY74 AT36:AY38 AT52:AY54 AT76:AY582">
    <cfRule type="expression" dxfId="469" priority="453">
      <formula>AP1&lt;#REF!</formula>
    </cfRule>
    <cfRule type="expression" dxfId="468" priority="454">
      <formula>AP1&gt;#REF!</formula>
    </cfRule>
  </conditionalFormatting>
  <conditionalFormatting sqref="AP79:AS79 AP83:AS83 AP99:AS99 AP95:AS95 AP91:AS91 AP87:AS87 AP103:AS103 AP107:AS107 AP111:AS111 AP115:AS115 AP119:AS119 AP123:AS123 AP127:AS127 AP131:AS131 AP135:AS135 AP139:AS139 AP147:AS147 AP143:AS143">
    <cfRule type="expression" dxfId="467" priority="451">
      <formula>AP79&lt;#REF!</formula>
    </cfRule>
    <cfRule type="expression" dxfId="466" priority="452">
      <formula>AP79&gt;#REF!</formula>
    </cfRule>
  </conditionalFormatting>
  <conditionalFormatting sqref="AP151:AS151 AP155:AS155 AP171:AS171 AP167:AS167 AP163:AS163 AP159:AS159 AP175:AS175 AP179:AS179 AP183:AS183 AP187:AS187 AP191:AS191 AP195:AS195 AP199:AS199 AP203:AS203 AP207:AS207 AP211:AS211 AP219:AS219 AP215:AS215">
    <cfRule type="expression" dxfId="465" priority="449">
      <formula>AP151&lt;#REF!</formula>
    </cfRule>
    <cfRule type="expression" dxfId="464" priority="450">
      <formula>AP151&gt;#REF!</formula>
    </cfRule>
  </conditionalFormatting>
  <conditionalFormatting sqref="AP223:AS223 AP227:AS227 AP243:AS243 AP239:AS239 AP235:AS235 AP231:AS231 AP247:AS247 AP251:AS251 AP255:AS255 AP259:AS259 AP263:AS263 AP267:AS267 AP271:AS271 AP275:AS275 AP279:AS279 AP283:AS283 AP291:AS291 AP287:AS287">
    <cfRule type="expression" dxfId="463" priority="447">
      <formula>AP223&lt;#REF!</formula>
    </cfRule>
    <cfRule type="expression" dxfId="462" priority="448">
      <formula>AP223&gt;#REF!</formula>
    </cfRule>
  </conditionalFormatting>
  <conditionalFormatting sqref="AP511:AS511 AP515:AS515 AP531:AS531 AP527:AS527 AP523:AS523 AP519:AS519 AP535:AS535 AP539:AS539 AP543:AS543 AP547:AS547 AP551:AS551 AP555:AS555 AP559:AS559 AP563:AS563 AP567:AS567 AP571:AS571 AP579:AS579 AP575:AS575">
    <cfRule type="expression" dxfId="461" priority="439">
      <formula>AP511&lt;#REF!</formula>
    </cfRule>
    <cfRule type="expression" dxfId="460" priority="440">
      <formula>AP511&gt;#REF!</formula>
    </cfRule>
  </conditionalFormatting>
  <conditionalFormatting sqref="AP295:AS295 AP299:AS299 AP315:AS315 AP311:AS311 AP307:AS307 AP303:AS303 AP319:AS319 AP323:AS323 AP327:AS327 AP331:AS331 AP335:AS335 AP339:AS339 AP343:AS343 AP347:AS347 AP351:AS351 AP355:AS355 AP363:AS363 AP359:AS359">
    <cfRule type="expression" dxfId="459" priority="445">
      <formula>AP295&lt;#REF!</formula>
    </cfRule>
    <cfRule type="expression" dxfId="458" priority="446">
      <formula>AP295&gt;#REF!</formula>
    </cfRule>
  </conditionalFormatting>
  <conditionalFormatting sqref="AP367:AS367 AP371:AS371 AP387:AS387 AP383:AS383 AP379:AS379 AP375:AS375 AP391:AS391 AP395:AS395 AP399:AS399 AP403:AS403 AP407:AS407 AP411:AS411 AP415:AS415 AP419:AS419 AP423:AS423 AP427:AS427 AP435:AS435 AP431:AS431">
    <cfRule type="expression" dxfId="457" priority="443">
      <formula>AP367&lt;#REF!</formula>
    </cfRule>
    <cfRule type="expression" dxfId="456" priority="444">
      <formula>AP367&gt;#REF!</formula>
    </cfRule>
  </conditionalFormatting>
  <conditionalFormatting sqref="AP439:AS439 AP443:AS443 AP459:AS459 AP455:AS455 AP451:AS451 AP447:AS447 AP463:AS463 AP467:AS467 AP471:AS471 AP475:AS475 AP479:AS479 AP483:AS483 AP487:AS487 AP491:AS491 AP495:AS495 AP499:AS499 AP507:AS507 AP503:AS503">
    <cfRule type="expression" dxfId="455" priority="441">
      <formula>AP439&lt;#REF!</formula>
    </cfRule>
    <cfRule type="expression" dxfId="454" priority="442">
      <formula>AP439&gt;#REF!</formula>
    </cfRule>
  </conditionalFormatting>
  <conditionalFormatting sqref="AT71:AT74">
    <cfRule type="expression" dxfId="453" priority="437">
      <formula>AT71&lt;#REF!</formula>
    </cfRule>
    <cfRule type="expression" dxfId="452" priority="438">
      <formula>AT71&gt;#REF!</formula>
    </cfRule>
  </conditionalFormatting>
  <conditionalFormatting sqref="BA1:BA1048576">
    <cfRule type="expression" dxfId="451" priority="435">
      <formula>BA1&lt;#REF!</formula>
    </cfRule>
    <cfRule type="expression" dxfId="450" priority="436">
      <formula>BA1&gt;#REF!</formula>
    </cfRule>
  </conditionalFormatting>
  <conditionalFormatting sqref="BC21:BC22 BC37:BC38 BC53:BC54 BC197:BC198 BC389:BC390 BC493:BC494 BC525:BC526 BC541:BC542 BC557:BC558 BC573:BC574 BC1:BC10 BC101:BC102 BC509:BC510 BC581:BC1048576">
    <cfRule type="expression" dxfId="449" priority="433">
      <formula>BC1&lt;#REF!</formula>
    </cfRule>
    <cfRule type="expression" dxfId="448" priority="434">
      <formula>BC1&gt;#REF!</formula>
    </cfRule>
  </conditionalFormatting>
  <conditionalFormatting sqref="BC13:BC14">
    <cfRule type="expression" dxfId="447" priority="431">
      <formula>BC13&lt;#REF!</formula>
    </cfRule>
    <cfRule type="expression" dxfId="446" priority="432">
      <formula>BC13&gt;#REF!</formula>
    </cfRule>
  </conditionalFormatting>
  <conditionalFormatting sqref="BC17:BC18">
    <cfRule type="expression" dxfId="445" priority="429">
      <formula>BC17&lt;#REF!</formula>
    </cfRule>
    <cfRule type="expression" dxfId="444" priority="430">
      <formula>BC17&gt;#REF!</formula>
    </cfRule>
  </conditionalFormatting>
  <conditionalFormatting sqref="BC11:BC12">
    <cfRule type="expression" dxfId="443" priority="427">
      <formula>BC11&lt;#REF!</formula>
    </cfRule>
    <cfRule type="expression" dxfId="442" priority="428">
      <formula>BC11&gt;#REF!</formula>
    </cfRule>
  </conditionalFormatting>
  <conditionalFormatting sqref="BC15:BC16">
    <cfRule type="expression" dxfId="441" priority="425">
      <formula>BC15&lt;#REF!</formula>
    </cfRule>
    <cfRule type="expression" dxfId="440" priority="426">
      <formula>BC15&gt;#REF!</formula>
    </cfRule>
  </conditionalFormatting>
  <conditionalFormatting sqref="BC19:BC20">
    <cfRule type="expression" dxfId="439" priority="423">
      <formula>BC19&lt;#REF!</formula>
    </cfRule>
    <cfRule type="expression" dxfId="438" priority="424">
      <formula>BC19&gt;#REF!</formula>
    </cfRule>
  </conditionalFormatting>
  <conditionalFormatting sqref="BC23:BC26">
    <cfRule type="expression" dxfId="437" priority="421">
      <formula>BC23&lt;#REF!</formula>
    </cfRule>
    <cfRule type="expression" dxfId="436" priority="422">
      <formula>BC23&gt;#REF!</formula>
    </cfRule>
  </conditionalFormatting>
  <conditionalFormatting sqref="BC29:BC30">
    <cfRule type="expression" dxfId="435" priority="419">
      <formula>BC29&lt;#REF!</formula>
    </cfRule>
    <cfRule type="expression" dxfId="434" priority="420">
      <formula>BC29&gt;#REF!</formula>
    </cfRule>
  </conditionalFormatting>
  <conditionalFormatting sqref="BC33:BC34">
    <cfRule type="expression" dxfId="433" priority="417">
      <formula>BC33&lt;#REF!</formula>
    </cfRule>
    <cfRule type="expression" dxfId="432" priority="418">
      <formula>BC33&gt;#REF!</formula>
    </cfRule>
  </conditionalFormatting>
  <conditionalFormatting sqref="BC27:BC28">
    <cfRule type="expression" dxfId="431" priority="415">
      <formula>BC27&lt;#REF!</formula>
    </cfRule>
    <cfRule type="expression" dxfId="430" priority="416">
      <formula>BC27&gt;#REF!</formula>
    </cfRule>
  </conditionalFormatting>
  <conditionalFormatting sqref="BC31:BC32">
    <cfRule type="expression" dxfId="429" priority="413">
      <formula>BC31&lt;#REF!</formula>
    </cfRule>
    <cfRule type="expression" dxfId="428" priority="414">
      <formula>BC31&gt;#REF!</formula>
    </cfRule>
  </conditionalFormatting>
  <conditionalFormatting sqref="BC35:BC36">
    <cfRule type="expression" dxfId="427" priority="411">
      <formula>BC35&lt;#REF!</formula>
    </cfRule>
    <cfRule type="expression" dxfId="426" priority="412">
      <formula>BC35&gt;#REF!</formula>
    </cfRule>
  </conditionalFormatting>
  <conditionalFormatting sqref="BC39:BC42">
    <cfRule type="expression" dxfId="425" priority="409">
      <formula>BC39&lt;#REF!</formula>
    </cfRule>
    <cfRule type="expression" dxfId="424" priority="410">
      <formula>BC39&gt;#REF!</formula>
    </cfRule>
  </conditionalFormatting>
  <conditionalFormatting sqref="BC45:BC46">
    <cfRule type="expression" dxfId="423" priority="407">
      <formula>BC45&lt;#REF!</formula>
    </cfRule>
    <cfRule type="expression" dxfId="422" priority="408">
      <formula>BC45&gt;#REF!</formula>
    </cfRule>
  </conditionalFormatting>
  <conditionalFormatting sqref="BC49:BC50">
    <cfRule type="expression" dxfId="421" priority="405">
      <formula>BC49&lt;#REF!</formula>
    </cfRule>
    <cfRule type="expression" dxfId="420" priority="406">
      <formula>BC49&gt;#REF!</formula>
    </cfRule>
  </conditionalFormatting>
  <conditionalFormatting sqref="BC43:BC44">
    <cfRule type="expression" dxfId="419" priority="403">
      <formula>BC43&lt;#REF!</formula>
    </cfRule>
    <cfRule type="expression" dxfId="418" priority="404">
      <formula>BC43&gt;#REF!</formula>
    </cfRule>
  </conditionalFormatting>
  <conditionalFormatting sqref="BC47:BC48">
    <cfRule type="expression" dxfId="417" priority="401">
      <formula>BC47&lt;#REF!</formula>
    </cfRule>
    <cfRule type="expression" dxfId="416" priority="402">
      <formula>BC47&gt;#REF!</formula>
    </cfRule>
  </conditionalFormatting>
  <conditionalFormatting sqref="BC51:BC52">
    <cfRule type="expression" dxfId="415" priority="399">
      <formula>BC51&lt;#REF!</formula>
    </cfRule>
    <cfRule type="expression" dxfId="414" priority="400">
      <formula>BC51&gt;#REF!</formula>
    </cfRule>
  </conditionalFormatting>
  <conditionalFormatting sqref="BC69:BC70 BC85:BC86 BC55:BC58">
    <cfRule type="expression" dxfId="413" priority="397">
      <formula>BC55&lt;#REF!</formula>
    </cfRule>
    <cfRule type="expression" dxfId="412" priority="398">
      <formula>BC55&gt;#REF!</formula>
    </cfRule>
  </conditionalFormatting>
  <conditionalFormatting sqref="BC61:BC62">
    <cfRule type="expression" dxfId="411" priority="395">
      <formula>BC61&lt;#REF!</formula>
    </cfRule>
    <cfRule type="expression" dxfId="410" priority="396">
      <formula>BC61&gt;#REF!</formula>
    </cfRule>
  </conditionalFormatting>
  <conditionalFormatting sqref="BC65:BC66">
    <cfRule type="expression" dxfId="409" priority="393">
      <formula>BC65&lt;#REF!</formula>
    </cfRule>
    <cfRule type="expression" dxfId="408" priority="394">
      <formula>BC65&gt;#REF!</formula>
    </cfRule>
  </conditionalFormatting>
  <conditionalFormatting sqref="BC59:BC60">
    <cfRule type="expression" dxfId="407" priority="391">
      <formula>BC59&lt;#REF!</formula>
    </cfRule>
    <cfRule type="expression" dxfId="406" priority="392">
      <formula>BC59&gt;#REF!</formula>
    </cfRule>
  </conditionalFormatting>
  <conditionalFormatting sqref="BC63:BC64">
    <cfRule type="expression" dxfId="405" priority="389">
      <formula>BC63&lt;#REF!</formula>
    </cfRule>
    <cfRule type="expression" dxfId="404" priority="390">
      <formula>BC63&gt;#REF!</formula>
    </cfRule>
  </conditionalFormatting>
  <conditionalFormatting sqref="BC67:BC68">
    <cfRule type="expression" dxfId="403" priority="387">
      <formula>BC67&lt;#REF!</formula>
    </cfRule>
    <cfRule type="expression" dxfId="402" priority="388">
      <formula>BC67&gt;#REF!</formula>
    </cfRule>
  </conditionalFormatting>
  <conditionalFormatting sqref="BC71:BC74">
    <cfRule type="expression" dxfId="401" priority="385">
      <formula>BC71&lt;#REF!</formula>
    </cfRule>
    <cfRule type="expression" dxfId="400" priority="386">
      <formula>BC71&gt;#REF!</formula>
    </cfRule>
  </conditionalFormatting>
  <conditionalFormatting sqref="BC77:BC78">
    <cfRule type="expression" dxfId="399" priority="383">
      <formula>BC77&lt;#REF!</formula>
    </cfRule>
    <cfRule type="expression" dxfId="398" priority="384">
      <formula>BC77&gt;#REF!</formula>
    </cfRule>
  </conditionalFormatting>
  <conditionalFormatting sqref="BC81:BC82">
    <cfRule type="expression" dxfId="397" priority="381">
      <formula>BC81&lt;#REF!</formula>
    </cfRule>
    <cfRule type="expression" dxfId="396" priority="382">
      <formula>BC81&gt;#REF!</formula>
    </cfRule>
  </conditionalFormatting>
  <conditionalFormatting sqref="BC75:BC76">
    <cfRule type="expression" dxfId="395" priority="379">
      <formula>BC75&lt;#REF!</formula>
    </cfRule>
    <cfRule type="expression" dxfId="394" priority="380">
      <formula>BC75&gt;#REF!</formula>
    </cfRule>
  </conditionalFormatting>
  <conditionalFormatting sqref="BC79:BC80">
    <cfRule type="expression" dxfId="393" priority="377">
      <formula>BC79&lt;#REF!</formula>
    </cfRule>
    <cfRule type="expression" dxfId="392" priority="378">
      <formula>BC79&gt;#REF!</formula>
    </cfRule>
  </conditionalFormatting>
  <conditionalFormatting sqref="BC83:BC84">
    <cfRule type="expression" dxfId="391" priority="375">
      <formula>BC83&lt;#REF!</formula>
    </cfRule>
    <cfRule type="expression" dxfId="390" priority="376">
      <formula>BC83&gt;#REF!</formula>
    </cfRule>
  </conditionalFormatting>
  <conditionalFormatting sqref="BC87:BC90">
    <cfRule type="expression" dxfId="389" priority="373">
      <formula>BC87&lt;#REF!</formula>
    </cfRule>
    <cfRule type="expression" dxfId="388" priority="374">
      <formula>BC87&gt;#REF!</formula>
    </cfRule>
  </conditionalFormatting>
  <conditionalFormatting sqref="BC93:BC94">
    <cfRule type="expression" dxfId="387" priority="371">
      <formula>BC93&lt;#REF!</formula>
    </cfRule>
    <cfRule type="expression" dxfId="386" priority="372">
      <formula>BC93&gt;#REF!</formula>
    </cfRule>
  </conditionalFormatting>
  <conditionalFormatting sqref="BC97:BC98">
    <cfRule type="expression" dxfId="385" priority="369">
      <formula>BC97&lt;#REF!</formula>
    </cfRule>
    <cfRule type="expression" dxfId="384" priority="370">
      <formula>BC97&gt;#REF!</formula>
    </cfRule>
  </conditionalFormatting>
  <conditionalFormatting sqref="BC91:BC92">
    <cfRule type="expression" dxfId="383" priority="367">
      <formula>BC91&lt;#REF!</formula>
    </cfRule>
    <cfRule type="expression" dxfId="382" priority="368">
      <formula>BC91&gt;#REF!</formula>
    </cfRule>
  </conditionalFormatting>
  <conditionalFormatting sqref="BC95:BC96">
    <cfRule type="expression" dxfId="381" priority="365">
      <formula>BC95&lt;#REF!</formula>
    </cfRule>
    <cfRule type="expression" dxfId="380" priority="366">
      <formula>BC95&gt;#REF!</formula>
    </cfRule>
  </conditionalFormatting>
  <conditionalFormatting sqref="BC99:BC100">
    <cfRule type="expression" dxfId="379" priority="363">
      <formula>BC99&lt;#REF!</formula>
    </cfRule>
    <cfRule type="expression" dxfId="378" priority="364">
      <formula>BC99&gt;#REF!</formula>
    </cfRule>
  </conditionalFormatting>
  <conditionalFormatting sqref="BC117:BC118 BC133:BC134 BC149:BC150 BC103:BC106">
    <cfRule type="expression" dxfId="377" priority="361">
      <formula>BC103&lt;#REF!</formula>
    </cfRule>
    <cfRule type="expression" dxfId="376" priority="362">
      <formula>BC103&gt;#REF!</formula>
    </cfRule>
  </conditionalFormatting>
  <conditionalFormatting sqref="BC109:BC110">
    <cfRule type="expression" dxfId="375" priority="359">
      <formula>BC109&lt;#REF!</formula>
    </cfRule>
    <cfRule type="expression" dxfId="374" priority="360">
      <formula>BC109&gt;#REF!</formula>
    </cfRule>
  </conditionalFormatting>
  <conditionalFormatting sqref="BC113:BC114">
    <cfRule type="expression" dxfId="373" priority="357">
      <formula>BC113&lt;#REF!</formula>
    </cfRule>
    <cfRule type="expression" dxfId="372" priority="358">
      <formula>BC113&gt;#REF!</formula>
    </cfRule>
  </conditionalFormatting>
  <conditionalFormatting sqref="BC107:BC108">
    <cfRule type="expression" dxfId="371" priority="355">
      <formula>BC107&lt;#REF!</formula>
    </cfRule>
    <cfRule type="expression" dxfId="370" priority="356">
      <formula>BC107&gt;#REF!</formula>
    </cfRule>
  </conditionalFormatting>
  <conditionalFormatting sqref="BC111:BC112">
    <cfRule type="expression" dxfId="369" priority="353">
      <formula>BC111&lt;#REF!</formula>
    </cfRule>
    <cfRule type="expression" dxfId="368" priority="354">
      <formula>BC111&gt;#REF!</formula>
    </cfRule>
  </conditionalFormatting>
  <conditionalFormatting sqref="BC115:BC116">
    <cfRule type="expression" dxfId="367" priority="351">
      <formula>BC115&lt;#REF!</formula>
    </cfRule>
    <cfRule type="expression" dxfId="366" priority="352">
      <formula>BC115&gt;#REF!</formula>
    </cfRule>
  </conditionalFormatting>
  <conditionalFormatting sqref="BC119:BC122">
    <cfRule type="expression" dxfId="365" priority="349">
      <formula>BC119&lt;#REF!</formula>
    </cfRule>
    <cfRule type="expression" dxfId="364" priority="350">
      <formula>BC119&gt;#REF!</formula>
    </cfRule>
  </conditionalFormatting>
  <conditionalFormatting sqref="BC125:BC126">
    <cfRule type="expression" dxfId="363" priority="347">
      <formula>BC125&lt;#REF!</formula>
    </cfRule>
    <cfRule type="expression" dxfId="362" priority="348">
      <formula>BC125&gt;#REF!</formula>
    </cfRule>
  </conditionalFormatting>
  <conditionalFormatting sqref="BC129:BC130">
    <cfRule type="expression" dxfId="361" priority="345">
      <formula>BC129&lt;#REF!</formula>
    </cfRule>
    <cfRule type="expression" dxfId="360" priority="346">
      <formula>BC129&gt;#REF!</formula>
    </cfRule>
  </conditionalFormatting>
  <conditionalFormatting sqref="BC123:BC124">
    <cfRule type="expression" dxfId="359" priority="343">
      <formula>BC123&lt;#REF!</formula>
    </cfRule>
    <cfRule type="expression" dxfId="358" priority="344">
      <formula>BC123&gt;#REF!</formula>
    </cfRule>
  </conditionalFormatting>
  <conditionalFormatting sqref="BC127:BC128">
    <cfRule type="expression" dxfId="357" priority="341">
      <formula>BC127&lt;#REF!</formula>
    </cfRule>
    <cfRule type="expression" dxfId="356" priority="342">
      <formula>BC127&gt;#REF!</formula>
    </cfRule>
  </conditionalFormatting>
  <conditionalFormatting sqref="BC131:BC132">
    <cfRule type="expression" dxfId="355" priority="339">
      <formula>BC131&lt;#REF!</formula>
    </cfRule>
    <cfRule type="expression" dxfId="354" priority="340">
      <formula>BC131&gt;#REF!</formula>
    </cfRule>
  </conditionalFormatting>
  <conditionalFormatting sqref="BC135:BC138">
    <cfRule type="expression" dxfId="353" priority="337">
      <formula>BC135&lt;#REF!</formula>
    </cfRule>
    <cfRule type="expression" dxfId="352" priority="338">
      <formula>BC135&gt;#REF!</formula>
    </cfRule>
  </conditionalFormatting>
  <conditionalFormatting sqref="BC141:BC142">
    <cfRule type="expression" dxfId="351" priority="335">
      <formula>BC141&lt;#REF!</formula>
    </cfRule>
    <cfRule type="expression" dxfId="350" priority="336">
      <formula>BC141&gt;#REF!</formula>
    </cfRule>
  </conditionalFormatting>
  <conditionalFormatting sqref="BC145:BC146">
    <cfRule type="expression" dxfId="349" priority="333">
      <formula>BC145&lt;#REF!</formula>
    </cfRule>
    <cfRule type="expression" dxfId="348" priority="334">
      <formula>BC145&gt;#REF!</formula>
    </cfRule>
  </conditionalFormatting>
  <conditionalFormatting sqref="BC139:BC140">
    <cfRule type="expression" dxfId="347" priority="331">
      <formula>BC139&lt;#REF!</formula>
    </cfRule>
    <cfRule type="expression" dxfId="346" priority="332">
      <formula>BC139&gt;#REF!</formula>
    </cfRule>
  </conditionalFormatting>
  <conditionalFormatting sqref="BC143:BC144">
    <cfRule type="expression" dxfId="345" priority="329">
      <formula>BC143&lt;#REF!</formula>
    </cfRule>
    <cfRule type="expression" dxfId="344" priority="330">
      <formula>BC143&gt;#REF!</formula>
    </cfRule>
  </conditionalFormatting>
  <conditionalFormatting sqref="BC147:BC148">
    <cfRule type="expression" dxfId="343" priority="327">
      <formula>BC147&lt;#REF!</formula>
    </cfRule>
    <cfRule type="expression" dxfId="342" priority="328">
      <formula>BC147&gt;#REF!</formula>
    </cfRule>
  </conditionalFormatting>
  <conditionalFormatting sqref="BC165:BC166 BC181:BC182 BC151:BC154">
    <cfRule type="expression" dxfId="341" priority="325">
      <formula>BC151&lt;#REF!</formula>
    </cfRule>
    <cfRule type="expression" dxfId="340" priority="326">
      <formula>BC151&gt;#REF!</formula>
    </cfRule>
  </conditionalFormatting>
  <conditionalFormatting sqref="BC157:BC158">
    <cfRule type="expression" dxfId="339" priority="323">
      <formula>BC157&lt;#REF!</formula>
    </cfRule>
    <cfRule type="expression" dxfId="338" priority="324">
      <formula>BC157&gt;#REF!</formula>
    </cfRule>
  </conditionalFormatting>
  <conditionalFormatting sqref="BC161:BC162">
    <cfRule type="expression" dxfId="337" priority="321">
      <formula>BC161&lt;#REF!</formula>
    </cfRule>
    <cfRule type="expression" dxfId="336" priority="322">
      <formula>BC161&gt;#REF!</formula>
    </cfRule>
  </conditionalFormatting>
  <conditionalFormatting sqref="BC155:BC156">
    <cfRule type="expression" dxfId="335" priority="319">
      <formula>BC155&lt;#REF!</formula>
    </cfRule>
    <cfRule type="expression" dxfId="334" priority="320">
      <formula>BC155&gt;#REF!</formula>
    </cfRule>
  </conditionalFormatting>
  <conditionalFormatting sqref="BC159:BC160">
    <cfRule type="expression" dxfId="333" priority="317">
      <formula>BC159&lt;#REF!</formula>
    </cfRule>
    <cfRule type="expression" dxfId="332" priority="318">
      <formula>BC159&gt;#REF!</formula>
    </cfRule>
  </conditionalFormatting>
  <conditionalFormatting sqref="BC163:BC164">
    <cfRule type="expression" dxfId="331" priority="315">
      <formula>BC163&lt;#REF!</formula>
    </cfRule>
    <cfRule type="expression" dxfId="330" priority="316">
      <formula>BC163&gt;#REF!</formula>
    </cfRule>
  </conditionalFormatting>
  <conditionalFormatting sqref="BC167:BC170">
    <cfRule type="expression" dxfId="329" priority="313">
      <formula>BC167&lt;#REF!</formula>
    </cfRule>
    <cfRule type="expression" dxfId="328" priority="314">
      <formula>BC167&gt;#REF!</formula>
    </cfRule>
  </conditionalFormatting>
  <conditionalFormatting sqref="BC173:BC174">
    <cfRule type="expression" dxfId="327" priority="311">
      <formula>BC173&lt;#REF!</formula>
    </cfRule>
    <cfRule type="expression" dxfId="326" priority="312">
      <formula>BC173&gt;#REF!</formula>
    </cfRule>
  </conditionalFormatting>
  <conditionalFormatting sqref="BC177:BC178">
    <cfRule type="expression" dxfId="325" priority="309">
      <formula>BC177&lt;#REF!</formula>
    </cfRule>
    <cfRule type="expression" dxfId="324" priority="310">
      <formula>BC177&gt;#REF!</formula>
    </cfRule>
  </conditionalFormatting>
  <conditionalFormatting sqref="BC171:BC172">
    <cfRule type="expression" dxfId="323" priority="307">
      <formula>BC171&lt;#REF!</formula>
    </cfRule>
    <cfRule type="expression" dxfId="322" priority="308">
      <formula>BC171&gt;#REF!</formula>
    </cfRule>
  </conditionalFormatting>
  <conditionalFormatting sqref="BC175:BC176">
    <cfRule type="expression" dxfId="321" priority="305">
      <formula>BC175&lt;#REF!</formula>
    </cfRule>
    <cfRule type="expression" dxfId="320" priority="306">
      <formula>BC175&gt;#REF!</formula>
    </cfRule>
  </conditionalFormatting>
  <conditionalFormatting sqref="BC179:BC180">
    <cfRule type="expression" dxfId="319" priority="303">
      <formula>BC179&lt;#REF!</formula>
    </cfRule>
    <cfRule type="expression" dxfId="318" priority="304">
      <formula>BC179&gt;#REF!</formula>
    </cfRule>
  </conditionalFormatting>
  <conditionalFormatting sqref="BC183:BC186">
    <cfRule type="expression" dxfId="317" priority="301">
      <formula>BC183&lt;#REF!</formula>
    </cfRule>
    <cfRule type="expression" dxfId="316" priority="302">
      <formula>BC183&gt;#REF!</formula>
    </cfRule>
  </conditionalFormatting>
  <conditionalFormatting sqref="BC189:BC190">
    <cfRule type="expression" dxfId="315" priority="299">
      <formula>BC189&lt;#REF!</formula>
    </cfRule>
    <cfRule type="expression" dxfId="314" priority="300">
      <formula>BC189&gt;#REF!</formula>
    </cfRule>
  </conditionalFormatting>
  <conditionalFormatting sqref="BC193:BC194">
    <cfRule type="expression" dxfId="313" priority="297">
      <formula>BC193&lt;#REF!</formula>
    </cfRule>
    <cfRule type="expression" dxfId="312" priority="298">
      <formula>BC193&gt;#REF!</formula>
    </cfRule>
  </conditionalFormatting>
  <conditionalFormatting sqref="BC187:BC188">
    <cfRule type="expression" dxfId="311" priority="295">
      <formula>BC187&lt;#REF!</formula>
    </cfRule>
    <cfRule type="expression" dxfId="310" priority="296">
      <formula>BC187&gt;#REF!</formula>
    </cfRule>
  </conditionalFormatting>
  <conditionalFormatting sqref="BC191:BC192">
    <cfRule type="expression" dxfId="309" priority="293">
      <formula>BC191&lt;#REF!</formula>
    </cfRule>
    <cfRule type="expression" dxfId="308" priority="294">
      <formula>BC191&gt;#REF!</formula>
    </cfRule>
  </conditionalFormatting>
  <conditionalFormatting sqref="BC195:BC196">
    <cfRule type="expression" dxfId="307" priority="291">
      <formula>BC195&lt;#REF!</formula>
    </cfRule>
    <cfRule type="expression" dxfId="306" priority="292">
      <formula>BC195&gt;#REF!</formula>
    </cfRule>
  </conditionalFormatting>
  <conditionalFormatting sqref="BC213:BC214 BC229:BC230 BC245:BC246 BC199:BC202 BC293:BC294">
    <cfRule type="expression" dxfId="305" priority="289">
      <formula>BC199&lt;#REF!</formula>
    </cfRule>
    <cfRule type="expression" dxfId="304" priority="290">
      <formula>BC199&gt;#REF!</formula>
    </cfRule>
  </conditionalFormatting>
  <conditionalFormatting sqref="BC205:BC206">
    <cfRule type="expression" dxfId="303" priority="287">
      <formula>BC205&lt;#REF!</formula>
    </cfRule>
    <cfRule type="expression" dxfId="302" priority="288">
      <formula>BC205&gt;#REF!</formula>
    </cfRule>
  </conditionalFormatting>
  <conditionalFormatting sqref="BC209:BC210">
    <cfRule type="expression" dxfId="301" priority="285">
      <formula>BC209&lt;#REF!</formula>
    </cfRule>
    <cfRule type="expression" dxfId="300" priority="286">
      <formula>BC209&gt;#REF!</formula>
    </cfRule>
  </conditionalFormatting>
  <conditionalFormatting sqref="BC203:BC204">
    <cfRule type="expression" dxfId="299" priority="283">
      <formula>BC203&lt;#REF!</formula>
    </cfRule>
    <cfRule type="expression" dxfId="298" priority="284">
      <formula>BC203&gt;#REF!</formula>
    </cfRule>
  </conditionalFormatting>
  <conditionalFormatting sqref="BC207:BC208">
    <cfRule type="expression" dxfId="297" priority="281">
      <formula>BC207&lt;#REF!</formula>
    </cfRule>
    <cfRule type="expression" dxfId="296" priority="282">
      <formula>BC207&gt;#REF!</formula>
    </cfRule>
  </conditionalFormatting>
  <conditionalFormatting sqref="BC211:BC212">
    <cfRule type="expression" dxfId="295" priority="279">
      <formula>BC211&lt;#REF!</formula>
    </cfRule>
    <cfRule type="expression" dxfId="294" priority="280">
      <formula>BC211&gt;#REF!</formula>
    </cfRule>
  </conditionalFormatting>
  <conditionalFormatting sqref="BC215:BC218">
    <cfRule type="expression" dxfId="293" priority="277">
      <formula>BC215&lt;#REF!</formula>
    </cfRule>
    <cfRule type="expression" dxfId="292" priority="278">
      <formula>BC215&gt;#REF!</formula>
    </cfRule>
  </conditionalFormatting>
  <conditionalFormatting sqref="BC221:BC222">
    <cfRule type="expression" dxfId="291" priority="275">
      <formula>BC221&lt;#REF!</formula>
    </cfRule>
    <cfRule type="expression" dxfId="290" priority="276">
      <formula>BC221&gt;#REF!</formula>
    </cfRule>
  </conditionalFormatting>
  <conditionalFormatting sqref="BC225:BC226">
    <cfRule type="expression" dxfId="289" priority="273">
      <formula>BC225&lt;#REF!</formula>
    </cfRule>
    <cfRule type="expression" dxfId="288" priority="274">
      <formula>BC225&gt;#REF!</formula>
    </cfRule>
  </conditionalFormatting>
  <conditionalFormatting sqref="BC219:BC220">
    <cfRule type="expression" dxfId="287" priority="271">
      <formula>BC219&lt;#REF!</formula>
    </cfRule>
    <cfRule type="expression" dxfId="286" priority="272">
      <formula>BC219&gt;#REF!</formula>
    </cfRule>
  </conditionalFormatting>
  <conditionalFormatting sqref="BC223:BC224">
    <cfRule type="expression" dxfId="285" priority="269">
      <formula>BC223&lt;#REF!</formula>
    </cfRule>
    <cfRule type="expression" dxfId="284" priority="270">
      <formula>BC223&gt;#REF!</formula>
    </cfRule>
  </conditionalFormatting>
  <conditionalFormatting sqref="BC227:BC228">
    <cfRule type="expression" dxfId="283" priority="267">
      <formula>BC227&lt;#REF!</formula>
    </cfRule>
    <cfRule type="expression" dxfId="282" priority="268">
      <formula>BC227&gt;#REF!</formula>
    </cfRule>
  </conditionalFormatting>
  <conditionalFormatting sqref="BC231:BC234">
    <cfRule type="expression" dxfId="281" priority="265">
      <formula>BC231&lt;#REF!</formula>
    </cfRule>
    <cfRule type="expression" dxfId="280" priority="266">
      <formula>BC231&gt;#REF!</formula>
    </cfRule>
  </conditionalFormatting>
  <conditionalFormatting sqref="BC237:BC238">
    <cfRule type="expression" dxfId="279" priority="263">
      <formula>BC237&lt;#REF!</formula>
    </cfRule>
    <cfRule type="expression" dxfId="278" priority="264">
      <formula>BC237&gt;#REF!</formula>
    </cfRule>
  </conditionalFormatting>
  <conditionalFormatting sqref="BC241:BC242">
    <cfRule type="expression" dxfId="277" priority="261">
      <formula>BC241&lt;#REF!</formula>
    </cfRule>
    <cfRule type="expression" dxfId="276" priority="262">
      <formula>BC241&gt;#REF!</formula>
    </cfRule>
  </conditionalFormatting>
  <conditionalFormatting sqref="BC235:BC236">
    <cfRule type="expression" dxfId="275" priority="259">
      <formula>BC235&lt;#REF!</formula>
    </cfRule>
    <cfRule type="expression" dxfId="274" priority="260">
      <formula>BC235&gt;#REF!</formula>
    </cfRule>
  </conditionalFormatting>
  <conditionalFormatting sqref="BC239:BC240">
    <cfRule type="expression" dxfId="273" priority="257">
      <formula>BC239&lt;#REF!</formula>
    </cfRule>
    <cfRule type="expression" dxfId="272" priority="258">
      <formula>BC239&gt;#REF!</formula>
    </cfRule>
  </conditionalFormatting>
  <conditionalFormatting sqref="BC243:BC244">
    <cfRule type="expression" dxfId="271" priority="255">
      <formula>BC243&lt;#REF!</formula>
    </cfRule>
    <cfRule type="expression" dxfId="270" priority="256">
      <formula>BC243&gt;#REF!</formula>
    </cfRule>
  </conditionalFormatting>
  <conditionalFormatting sqref="BC261:BC262 BC277:BC278 BC247:BC250">
    <cfRule type="expression" dxfId="269" priority="253">
      <formula>BC247&lt;#REF!</formula>
    </cfRule>
    <cfRule type="expression" dxfId="268" priority="254">
      <formula>BC247&gt;#REF!</formula>
    </cfRule>
  </conditionalFormatting>
  <conditionalFormatting sqref="BC253:BC254">
    <cfRule type="expression" dxfId="267" priority="251">
      <formula>BC253&lt;#REF!</formula>
    </cfRule>
    <cfRule type="expression" dxfId="266" priority="252">
      <formula>BC253&gt;#REF!</formula>
    </cfRule>
  </conditionalFormatting>
  <conditionalFormatting sqref="BC257:BC258">
    <cfRule type="expression" dxfId="265" priority="249">
      <formula>BC257&lt;#REF!</formula>
    </cfRule>
    <cfRule type="expression" dxfId="264" priority="250">
      <formula>BC257&gt;#REF!</formula>
    </cfRule>
  </conditionalFormatting>
  <conditionalFormatting sqref="BC251:BC252">
    <cfRule type="expression" dxfId="263" priority="247">
      <formula>BC251&lt;#REF!</formula>
    </cfRule>
    <cfRule type="expression" dxfId="262" priority="248">
      <formula>BC251&gt;#REF!</formula>
    </cfRule>
  </conditionalFormatting>
  <conditionalFormatting sqref="BC255:BC256">
    <cfRule type="expression" dxfId="261" priority="245">
      <formula>BC255&lt;#REF!</formula>
    </cfRule>
    <cfRule type="expression" dxfId="260" priority="246">
      <formula>BC255&gt;#REF!</formula>
    </cfRule>
  </conditionalFormatting>
  <conditionalFormatting sqref="BC259:BC260">
    <cfRule type="expression" dxfId="259" priority="243">
      <formula>BC259&lt;#REF!</formula>
    </cfRule>
    <cfRule type="expression" dxfId="258" priority="244">
      <formula>BC259&gt;#REF!</formula>
    </cfRule>
  </conditionalFormatting>
  <conditionalFormatting sqref="BC263:BC266">
    <cfRule type="expression" dxfId="257" priority="241">
      <formula>BC263&lt;#REF!</formula>
    </cfRule>
    <cfRule type="expression" dxfId="256" priority="242">
      <formula>BC263&gt;#REF!</formula>
    </cfRule>
  </conditionalFormatting>
  <conditionalFormatting sqref="BC269:BC270">
    <cfRule type="expression" dxfId="255" priority="239">
      <formula>BC269&lt;#REF!</formula>
    </cfRule>
    <cfRule type="expression" dxfId="254" priority="240">
      <formula>BC269&gt;#REF!</formula>
    </cfRule>
  </conditionalFormatting>
  <conditionalFormatting sqref="BC273:BC274">
    <cfRule type="expression" dxfId="253" priority="237">
      <formula>BC273&lt;#REF!</formula>
    </cfRule>
    <cfRule type="expression" dxfId="252" priority="238">
      <formula>BC273&gt;#REF!</formula>
    </cfRule>
  </conditionalFormatting>
  <conditionalFormatting sqref="BC267:BC268">
    <cfRule type="expression" dxfId="251" priority="235">
      <formula>BC267&lt;#REF!</formula>
    </cfRule>
    <cfRule type="expression" dxfId="250" priority="236">
      <formula>BC267&gt;#REF!</formula>
    </cfRule>
  </conditionalFormatting>
  <conditionalFormatting sqref="BC271:BC272">
    <cfRule type="expression" dxfId="249" priority="233">
      <formula>BC271&lt;#REF!</formula>
    </cfRule>
    <cfRule type="expression" dxfId="248" priority="234">
      <formula>BC271&gt;#REF!</formula>
    </cfRule>
  </conditionalFormatting>
  <conditionalFormatting sqref="BC275:BC276">
    <cfRule type="expression" dxfId="247" priority="231">
      <formula>BC275&lt;#REF!</formula>
    </cfRule>
    <cfRule type="expression" dxfId="246" priority="232">
      <formula>BC275&gt;#REF!</formula>
    </cfRule>
  </conditionalFormatting>
  <conditionalFormatting sqref="BC279:BC282">
    <cfRule type="expression" dxfId="245" priority="229">
      <formula>BC279&lt;#REF!</formula>
    </cfRule>
    <cfRule type="expression" dxfId="244" priority="230">
      <formula>BC279&gt;#REF!</formula>
    </cfRule>
  </conditionalFormatting>
  <conditionalFormatting sqref="BC285:BC286">
    <cfRule type="expression" dxfId="243" priority="227">
      <formula>BC285&lt;#REF!</formula>
    </cfRule>
    <cfRule type="expression" dxfId="242" priority="228">
      <formula>BC285&gt;#REF!</formula>
    </cfRule>
  </conditionalFormatting>
  <conditionalFormatting sqref="BC289:BC290">
    <cfRule type="expression" dxfId="241" priority="225">
      <formula>BC289&lt;#REF!</formula>
    </cfRule>
    <cfRule type="expression" dxfId="240" priority="226">
      <formula>BC289&gt;#REF!</formula>
    </cfRule>
  </conditionalFormatting>
  <conditionalFormatting sqref="BC283:BC284">
    <cfRule type="expression" dxfId="239" priority="223">
      <formula>BC283&lt;#REF!</formula>
    </cfRule>
    <cfRule type="expression" dxfId="238" priority="224">
      <formula>BC283&gt;#REF!</formula>
    </cfRule>
  </conditionalFormatting>
  <conditionalFormatting sqref="BC287:BC288">
    <cfRule type="expression" dxfId="237" priority="221">
      <formula>BC287&lt;#REF!</formula>
    </cfRule>
    <cfRule type="expression" dxfId="236" priority="222">
      <formula>BC287&gt;#REF!</formula>
    </cfRule>
  </conditionalFormatting>
  <conditionalFormatting sqref="BC291:BC292">
    <cfRule type="expression" dxfId="235" priority="219">
      <formula>BC291&lt;#REF!</formula>
    </cfRule>
    <cfRule type="expression" dxfId="234" priority="220">
      <formula>BC291&gt;#REF!</formula>
    </cfRule>
  </conditionalFormatting>
  <conditionalFormatting sqref="BC309:BC310 BC325:BC326 BC341:BC342 BC295:BC298">
    <cfRule type="expression" dxfId="233" priority="217">
      <formula>BC295&lt;#REF!</formula>
    </cfRule>
    <cfRule type="expression" dxfId="232" priority="218">
      <formula>BC295&gt;#REF!</formula>
    </cfRule>
  </conditionalFormatting>
  <conditionalFormatting sqref="BC301:BC302">
    <cfRule type="expression" dxfId="231" priority="215">
      <formula>BC301&lt;#REF!</formula>
    </cfRule>
    <cfRule type="expression" dxfId="230" priority="216">
      <formula>BC301&gt;#REF!</formula>
    </cfRule>
  </conditionalFormatting>
  <conditionalFormatting sqref="BC305:BC306">
    <cfRule type="expression" dxfId="229" priority="213">
      <formula>BC305&lt;#REF!</formula>
    </cfRule>
    <cfRule type="expression" dxfId="228" priority="214">
      <formula>BC305&gt;#REF!</formula>
    </cfRule>
  </conditionalFormatting>
  <conditionalFormatting sqref="BC299:BC300">
    <cfRule type="expression" dxfId="227" priority="211">
      <formula>BC299&lt;#REF!</formula>
    </cfRule>
    <cfRule type="expression" dxfId="226" priority="212">
      <formula>BC299&gt;#REF!</formula>
    </cfRule>
  </conditionalFormatting>
  <conditionalFormatting sqref="BC303:BC304">
    <cfRule type="expression" dxfId="225" priority="209">
      <formula>BC303&lt;#REF!</formula>
    </cfRule>
    <cfRule type="expression" dxfId="224" priority="210">
      <formula>BC303&gt;#REF!</formula>
    </cfRule>
  </conditionalFormatting>
  <conditionalFormatting sqref="BC307:BC308">
    <cfRule type="expression" dxfId="223" priority="207">
      <formula>BC307&lt;#REF!</formula>
    </cfRule>
    <cfRule type="expression" dxfId="222" priority="208">
      <formula>BC307&gt;#REF!</formula>
    </cfRule>
  </conditionalFormatting>
  <conditionalFormatting sqref="BC311:BC314">
    <cfRule type="expression" dxfId="221" priority="205">
      <formula>BC311&lt;#REF!</formula>
    </cfRule>
    <cfRule type="expression" dxfId="220" priority="206">
      <formula>BC311&gt;#REF!</formula>
    </cfRule>
  </conditionalFormatting>
  <conditionalFormatting sqref="BC317:BC318">
    <cfRule type="expression" dxfId="219" priority="203">
      <formula>BC317&lt;#REF!</formula>
    </cfRule>
    <cfRule type="expression" dxfId="218" priority="204">
      <formula>BC317&gt;#REF!</formula>
    </cfRule>
  </conditionalFormatting>
  <conditionalFormatting sqref="BC321:BC322">
    <cfRule type="expression" dxfId="217" priority="201">
      <formula>BC321&lt;#REF!</formula>
    </cfRule>
    <cfRule type="expression" dxfId="216" priority="202">
      <formula>BC321&gt;#REF!</formula>
    </cfRule>
  </conditionalFormatting>
  <conditionalFormatting sqref="BC315:BC316">
    <cfRule type="expression" dxfId="215" priority="199">
      <formula>BC315&lt;#REF!</formula>
    </cfRule>
    <cfRule type="expression" dxfId="214" priority="200">
      <formula>BC315&gt;#REF!</formula>
    </cfRule>
  </conditionalFormatting>
  <conditionalFormatting sqref="BC319:BC320">
    <cfRule type="expression" dxfId="213" priority="197">
      <formula>BC319&lt;#REF!</formula>
    </cfRule>
    <cfRule type="expression" dxfId="212" priority="198">
      <formula>BC319&gt;#REF!</formula>
    </cfRule>
  </conditionalFormatting>
  <conditionalFormatting sqref="BC323:BC324">
    <cfRule type="expression" dxfId="211" priority="195">
      <formula>BC323&lt;#REF!</formula>
    </cfRule>
    <cfRule type="expression" dxfId="210" priority="196">
      <formula>BC323&gt;#REF!</formula>
    </cfRule>
  </conditionalFormatting>
  <conditionalFormatting sqref="BC327:BC330">
    <cfRule type="expression" dxfId="209" priority="193">
      <formula>BC327&lt;#REF!</formula>
    </cfRule>
    <cfRule type="expression" dxfId="208" priority="194">
      <formula>BC327&gt;#REF!</formula>
    </cfRule>
  </conditionalFormatting>
  <conditionalFormatting sqref="BC333:BC334">
    <cfRule type="expression" dxfId="207" priority="191">
      <formula>BC333&lt;#REF!</formula>
    </cfRule>
    <cfRule type="expression" dxfId="206" priority="192">
      <formula>BC333&gt;#REF!</formula>
    </cfRule>
  </conditionalFormatting>
  <conditionalFormatting sqref="BC337:BC338">
    <cfRule type="expression" dxfId="205" priority="189">
      <formula>BC337&lt;#REF!</formula>
    </cfRule>
    <cfRule type="expression" dxfId="204" priority="190">
      <formula>BC337&gt;#REF!</formula>
    </cfRule>
  </conditionalFormatting>
  <conditionalFormatting sqref="BC331:BC332">
    <cfRule type="expression" dxfId="203" priority="187">
      <formula>BC331&lt;#REF!</formula>
    </cfRule>
    <cfRule type="expression" dxfId="202" priority="188">
      <formula>BC331&gt;#REF!</formula>
    </cfRule>
  </conditionalFormatting>
  <conditionalFormatting sqref="BC335:BC336">
    <cfRule type="expression" dxfId="201" priority="185">
      <formula>BC335&lt;#REF!</formula>
    </cfRule>
    <cfRule type="expression" dxfId="200" priority="186">
      <formula>BC335&gt;#REF!</formula>
    </cfRule>
  </conditionalFormatting>
  <conditionalFormatting sqref="BC339:BC340">
    <cfRule type="expression" dxfId="199" priority="183">
      <formula>BC339&lt;#REF!</formula>
    </cfRule>
    <cfRule type="expression" dxfId="198" priority="184">
      <formula>BC339&gt;#REF!</formula>
    </cfRule>
  </conditionalFormatting>
  <conditionalFormatting sqref="BC357:BC358 BC373:BC374 BC343:BC346">
    <cfRule type="expression" dxfId="197" priority="181">
      <formula>BC343&lt;#REF!</formula>
    </cfRule>
    <cfRule type="expression" dxfId="196" priority="182">
      <formula>BC343&gt;#REF!</formula>
    </cfRule>
  </conditionalFormatting>
  <conditionalFormatting sqref="BC349:BC350">
    <cfRule type="expression" dxfId="195" priority="179">
      <formula>BC349&lt;#REF!</formula>
    </cfRule>
    <cfRule type="expression" dxfId="194" priority="180">
      <formula>BC349&gt;#REF!</formula>
    </cfRule>
  </conditionalFormatting>
  <conditionalFormatting sqref="BC353:BC354">
    <cfRule type="expression" dxfId="193" priority="177">
      <formula>BC353&lt;#REF!</formula>
    </cfRule>
    <cfRule type="expression" dxfId="192" priority="178">
      <formula>BC353&gt;#REF!</formula>
    </cfRule>
  </conditionalFormatting>
  <conditionalFormatting sqref="BC347:BC348">
    <cfRule type="expression" dxfId="191" priority="175">
      <formula>BC347&lt;#REF!</formula>
    </cfRule>
    <cfRule type="expression" dxfId="190" priority="176">
      <formula>BC347&gt;#REF!</formula>
    </cfRule>
  </conditionalFormatting>
  <conditionalFormatting sqref="BC351:BC352">
    <cfRule type="expression" dxfId="189" priority="173">
      <formula>BC351&lt;#REF!</formula>
    </cfRule>
    <cfRule type="expression" dxfId="188" priority="174">
      <formula>BC351&gt;#REF!</formula>
    </cfRule>
  </conditionalFormatting>
  <conditionalFormatting sqref="BC355:BC356">
    <cfRule type="expression" dxfId="187" priority="171">
      <formula>BC355&lt;#REF!</formula>
    </cfRule>
    <cfRule type="expression" dxfId="186" priority="172">
      <formula>BC355&gt;#REF!</formula>
    </cfRule>
  </conditionalFormatting>
  <conditionalFormatting sqref="BC359:BC362">
    <cfRule type="expression" dxfId="185" priority="169">
      <formula>BC359&lt;#REF!</formula>
    </cfRule>
    <cfRule type="expression" dxfId="184" priority="170">
      <formula>BC359&gt;#REF!</formula>
    </cfRule>
  </conditionalFormatting>
  <conditionalFormatting sqref="BC365:BC366">
    <cfRule type="expression" dxfId="183" priority="167">
      <formula>BC365&lt;#REF!</formula>
    </cfRule>
    <cfRule type="expression" dxfId="182" priority="168">
      <formula>BC365&gt;#REF!</formula>
    </cfRule>
  </conditionalFormatting>
  <conditionalFormatting sqref="BC369:BC370">
    <cfRule type="expression" dxfId="181" priority="165">
      <formula>BC369&lt;#REF!</formula>
    </cfRule>
    <cfRule type="expression" dxfId="180" priority="166">
      <formula>BC369&gt;#REF!</formula>
    </cfRule>
  </conditionalFormatting>
  <conditionalFormatting sqref="BC363:BC364">
    <cfRule type="expression" dxfId="179" priority="163">
      <formula>BC363&lt;#REF!</formula>
    </cfRule>
    <cfRule type="expression" dxfId="178" priority="164">
      <formula>BC363&gt;#REF!</formula>
    </cfRule>
  </conditionalFormatting>
  <conditionalFormatting sqref="BC367:BC368">
    <cfRule type="expression" dxfId="177" priority="161">
      <formula>BC367&lt;#REF!</formula>
    </cfRule>
    <cfRule type="expression" dxfId="176" priority="162">
      <formula>BC367&gt;#REF!</formula>
    </cfRule>
  </conditionalFormatting>
  <conditionalFormatting sqref="BC371:BC372">
    <cfRule type="expression" dxfId="175" priority="159">
      <formula>BC371&lt;#REF!</formula>
    </cfRule>
    <cfRule type="expression" dxfId="174" priority="160">
      <formula>BC371&gt;#REF!</formula>
    </cfRule>
  </conditionalFormatting>
  <conditionalFormatting sqref="BC375:BC378">
    <cfRule type="expression" dxfId="173" priority="157">
      <formula>BC375&lt;#REF!</formula>
    </cfRule>
    <cfRule type="expression" dxfId="172" priority="158">
      <formula>BC375&gt;#REF!</formula>
    </cfRule>
  </conditionalFormatting>
  <conditionalFormatting sqref="BC381:BC382">
    <cfRule type="expression" dxfId="171" priority="155">
      <formula>BC381&lt;#REF!</formula>
    </cfRule>
    <cfRule type="expression" dxfId="170" priority="156">
      <formula>BC381&gt;#REF!</formula>
    </cfRule>
  </conditionalFormatting>
  <conditionalFormatting sqref="BC385:BC386">
    <cfRule type="expression" dxfId="169" priority="153">
      <formula>BC385&lt;#REF!</formula>
    </cfRule>
    <cfRule type="expression" dxfId="168" priority="154">
      <formula>BC385&gt;#REF!</formula>
    </cfRule>
  </conditionalFormatting>
  <conditionalFormatting sqref="BC379:BC380">
    <cfRule type="expression" dxfId="167" priority="151">
      <formula>BC379&lt;#REF!</formula>
    </cfRule>
    <cfRule type="expression" dxfId="166" priority="152">
      <formula>BC379&gt;#REF!</formula>
    </cfRule>
  </conditionalFormatting>
  <conditionalFormatting sqref="BC383:BC384">
    <cfRule type="expression" dxfId="165" priority="149">
      <formula>BC383&lt;#REF!</formula>
    </cfRule>
    <cfRule type="expression" dxfId="164" priority="150">
      <formula>BC383&gt;#REF!</formula>
    </cfRule>
  </conditionalFormatting>
  <conditionalFormatting sqref="BC387:BC388">
    <cfRule type="expression" dxfId="163" priority="147">
      <formula>BC387&lt;#REF!</formula>
    </cfRule>
    <cfRule type="expression" dxfId="162" priority="148">
      <formula>BC387&gt;#REF!</formula>
    </cfRule>
  </conditionalFormatting>
  <conditionalFormatting sqref="BC397:BC398">
    <cfRule type="expression" dxfId="161" priority="145">
      <formula>BC397&lt;#REF!</formula>
    </cfRule>
    <cfRule type="expression" dxfId="160" priority="146">
      <formula>BC397&gt;#REF!</formula>
    </cfRule>
  </conditionalFormatting>
  <conditionalFormatting sqref="BC393:BC394">
    <cfRule type="expression" dxfId="159" priority="143">
      <formula>BC393&lt;#REF!</formula>
    </cfRule>
    <cfRule type="expression" dxfId="158" priority="144">
      <formula>BC393&gt;#REF!</formula>
    </cfRule>
  </conditionalFormatting>
  <conditionalFormatting sqref="BC391:BC392">
    <cfRule type="expression" dxfId="157" priority="141">
      <formula>BC391&lt;#REF!</formula>
    </cfRule>
    <cfRule type="expression" dxfId="156" priority="142">
      <formula>BC391&gt;#REF!</formula>
    </cfRule>
  </conditionalFormatting>
  <conditionalFormatting sqref="BC395:BC396">
    <cfRule type="expression" dxfId="155" priority="139">
      <formula>BC395&lt;#REF!</formula>
    </cfRule>
    <cfRule type="expression" dxfId="154" priority="140">
      <formula>BC395&gt;#REF!</formula>
    </cfRule>
  </conditionalFormatting>
  <conditionalFormatting sqref="BC413:BC414 BC429:BC430 BC445:BC446 BC399:BC402">
    <cfRule type="expression" dxfId="153" priority="137">
      <formula>BC399&lt;#REF!</formula>
    </cfRule>
    <cfRule type="expression" dxfId="152" priority="138">
      <formula>BC399&gt;#REF!</formula>
    </cfRule>
  </conditionalFormatting>
  <conditionalFormatting sqref="BC405:BC406">
    <cfRule type="expression" dxfId="151" priority="135">
      <formula>BC405&lt;#REF!</formula>
    </cfRule>
    <cfRule type="expression" dxfId="150" priority="136">
      <formula>BC405&gt;#REF!</formula>
    </cfRule>
  </conditionalFormatting>
  <conditionalFormatting sqref="BC409:BC410">
    <cfRule type="expression" dxfId="149" priority="133">
      <formula>BC409&lt;#REF!</formula>
    </cfRule>
    <cfRule type="expression" dxfId="148" priority="134">
      <formula>BC409&gt;#REF!</formula>
    </cfRule>
  </conditionalFormatting>
  <conditionalFormatting sqref="BC403:BC404">
    <cfRule type="expression" dxfId="147" priority="131">
      <formula>BC403&lt;#REF!</formula>
    </cfRule>
    <cfRule type="expression" dxfId="146" priority="132">
      <formula>BC403&gt;#REF!</formula>
    </cfRule>
  </conditionalFormatting>
  <conditionalFormatting sqref="BC407:BC408">
    <cfRule type="expression" dxfId="145" priority="129">
      <formula>BC407&lt;#REF!</formula>
    </cfRule>
    <cfRule type="expression" dxfId="144" priority="130">
      <formula>BC407&gt;#REF!</formula>
    </cfRule>
  </conditionalFormatting>
  <conditionalFormatting sqref="BC411:BC412">
    <cfRule type="expression" dxfId="143" priority="127">
      <formula>BC411&lt;#REF!</formula>
    </cfRule>
    <cfRule type="expression" dxfId="142" priority="128">
      <formula>BC411&gt;#REF!</formula>
    </cfRule>
  </conditionalFormatting>
  <conditionalFormatting sqref="BC415:BC418">
    <cfRule type="expression" dxfId="141" priority="125">
      <formula>BC415&lt;#REF!</formula>
    </cfRule>
    <cfRule type="expression" dxfId="140" priority="126">
      <formula>BC415&gt;#REF!</formula>
    </cfRule>
  </conditionalFormatting>
  <conditionalFormatting sqref="BC421:BC422">
    <cfRule type="expression" dxfId="139" priority="123">
      <formula>BC421&lt;#REF!</formula>
    </cfRule>
    <cfRule type="expression" dxfId="138" priority="124">
      <formula>BC421&gt;#REF!</formula>
    </cfRule>
  </conditionalFormatting>
  <conditionalFormatting sqref="BC425:BC426">
    <cfRule type="expression" dxfId="137" priority="121">
      <formula>BC425&lt;#REF!</formula>
    </cfRule>
    <cfRule type="expression" dxfId="136" priority="122">
      <formula>BC425&gt;#REF!</formula>
    </cfRule>
  </conditionalFormatting>
  <conditionalFormatting sqref="BC419:BC420">
    <cfRule type="expression" dxfId="135" priority="119">
      <formula>BC419&lt;#REF!</formula>
    </cfRule>
    <cfRule type="expression" dxfId="134" priority="120">
      <formula>BC419&gt;#REF!</formula>
    </cfRule>
  </conditionalFormatting>
  <conditionalFormatting sqref="BC423:BC424">
    <cfRule type="expression" dxfId="133" priority="117">
      <formula>BC423&lt;#REF!</formula>
    </cfRule>
    <cfRule type="expression" dxfId="132" priority="118">
      <formula>BC423&gt;#REF!</formula>
    </cfRule>
  </conditionalFormatting>
  <conditionalFormatting sqref="BC427:BC428">
    <cfRule type="expression" dxfId="131" priority="115">
      <formula>BC427&lt;#REF!</formula>
    </cfRule>
    <cfRule type="expression" dxfId="130" priority="116">
      <formula>BC427&gt;#REF!</formula>
    </cfRule>
  </conditionalFormatting>
  <conditionalFormatting sqref="BC431:BC434">
    <cfRule type="expression" dxfId="129" priority="113">
      <formula>BC431&lt;#REF!</formula>
    </cfRule>
    <cfRule type="expression" dxfId="128" priority="114">
      <formula>BC431&gt;#REF!</formula>
    </cfRule>
  </conditionalFormatting>
  <conditionalFormatting sqref="BC437:BC438">
    <cfRule type="expression" dxfId="127" priority="111">
      <formula>BC437&lt;#REF!</formula>
    </cfRule>
    <cfRule type="expression" dxfId="126" priority="112">
      <formula>BC437&gt;#REF!</formula>
    </cfRule>
  </conditionalFormatting>
  <conditionalFormatting sqref="BC441:BC442">
    <cfRule type="expression" dxfId="125" priority="109">
      <formula>BC441&lt;#REF!</formula>
    </cfRule>
    <cfRule type="expression" dxfId="124" priority="110">
      <formula>BC441&gt;#REF!</formula>
    </cfRule>
  </conditionalFormatting>
  <conditionalFormatting sqref="BC435:BC436">
    <cfRule type="expression" dxfId="123" priority="107">
      <formula>BC435&lt;#REF!</formula>
    </cfRule>
    <cfRule type="expression" dxfId="122" priority="108">
      <formula>BC435&gt;#REF!</formula>
    </cfRule>
  </conditionalFormatting>
  <conditionalFormatting sqref="BC439:BC440">
    <cfRule type="expression" dxfId="121" priority="105">
      <formula>BC439&lt;#REF!</formula>
    </cfRule>
    <cfRule type="expression" dxfId="120" priority="106">
      <formula>BC439&gt;#REF!</formula>
    </cfRule>
  </conditionalFormatting>
  <conditionalFormatting sqref="BC443:BC444">
    <cfRule type="expression" dxfId="119" priority="103">
      <formula>BC443&lt;#REF!</formula>
    </cfRule>
    <cfRule type="expression" dxfId="118" priority="104">
      <formula>BC443&gt;#REF!</formula>
    </cfRule>
  </conditionalFormatting>
  <conditionalFormatting sqref="BC461:BC462 BC477:BC478 BC447:BC450">
    <cfRule type="expression" dxfId="117" priority="101">
      <formula>BC447&lt;#REF!</formula>
    </cfRule>
    <cfRule type="expression" dxfId="116" priority="102">
      <formula>BC447&gt;#REF!</formula>
    </cfRule>
  </conditionalFormatting>
  <conditionalFormatting sqref="BC453:BC454">
    <cfRule type="expression" dxfId="115" priority="99">
      <formula>BC453&lt;#REF!</formula>
    </cfRule>
    <cfRule type="expression" dxfId="114" priority="100">
      <formula>BC453&gt;#REF!</formula>
    </cfRule>
  </conditionalFormatting>
  <conditionalFormatting sqref="BC457:BC458">
    <cfRule type="expression" dxfId="113" priority="97">
      <formula>BC457&lt;#REF!</formula>
    </cfRule>
    <cfRule type="expression" dxfId="112" priority="98">
      <formula>BC457&gt;#REF!</formula>
    </cfRule>
  </conditionalFormatting>
  <conditionalFormatting sqref="BC451:BC452">
    <cfRule type="expression" dxfId="111" priority="95">
      <formula>BC451&lt;#REF!</formula>
    </cfRule>
    <cfRule type="expression" dxfId="110" priority="96">
      <formula>BC451&gt;#REF!</formula>
    </cfRule>
  </conditionalFormatting>
  <conditionalFormatting sqref="BC455:BC456">
    <cfRule type="expression" dxfId="109" priority="93">
      <formula>BC455&lt;#REF!</formula>
    </cfRule>
    <cfRule type="expression" dxfId="108" priority="94">
      <formula>BC455&gt;#REF!</formula>
    </cfRule>
  </conditionalFormatting>
  <conditionalFormatting sqref="BC459:BC460">
    <cfRule type="expression" dxfId="107" priority="91">
      <formula>BC459&lt;#REF!</formula>
    </cfRule>
    <cfRule type="expression" dxfId="106" priority="92">
      <formula>BC459&gt;#REF!</formula>
    </cfRule>
  </conditionalFormatting>
  <conditionalFormatting sqref="BC463:BC466">
    <cfRule type="expression" dxfId="105" priority="89">
      <formula>BC463&lt;#REF!</formula>
    </cfRule>
    <cfRule type="expression" dxfId="104" priority="90">
      <formula>BC463&gt;#REF!</formula>
    </cfRule>
  </conditionalFormatting>
  <conditionalFormatting sqref="BC469:BC470">
    <cfRule type="expression" dxfId="103" priority="87">
      <formula>BC469&lt;#REF!</formula>
    </cfRule>
    <cfRule type="expression" dxfId="102" priority="88">
      <formula>BC469&gt;#REF!</formula>
    </cfRule>
  </conditionalFormatting>
  <conditionalFormatting sqref="BC473:BC474">
    <cfRule type="expression" dxfId="101" priority="85">
      <formula>BC473&lt;#REF!</formula>
    </cfRule>
    <cfRule type="expression" dxfId="100" priority="86">
      <formula>BC473&gt;#REF!</formula>
    </cfRule>
  </conditionalFormatting>
  <conditionalFormatting sqref="BC467:BC468">
    <cfRule type="expression" dxfId="99" priority="83">
      <formula>BC467&lt;#REF!</formula>
    </cfRule>
    <cfRule type="expression" dxfId="98" priority="84">
      <formula>BC467&gt;#REF!</formula>
    </cfRule>
  </conditionalFormatting>
  <conditionalFormatting sqref="BC471:BC472">
    <cfRule type="expression" dxfId="97" priority="81">
      <formula>BC471&lt;#REF!</formula>
    </cfRule>
    <cfRule type="expression" dxfId="96" priority="82">
      <formula>BC471&gt;#REF!</formula>
    </cfRule>
  </conditionalFormatting>
  <conditionalFormatting sqref="BC475:BC476">
    <cfRule type="expression" dxfId="95" priority="79">
      <formula>BC475&lt;#REF!</formula>
    </cfRule>
    <cfRule type="expression" dxfId="94" priority="80">
      <formula>BC475&gt;#REF!</formula>
    </cfRule>
  </conditionalFormatting>
  <conditionalFormatting sqref="BC479:BC482">
    <cfRule type="expression" dxfId="93" priority="77">
      <formula>BC479&lt;#REF!</formula>
    </cfRule>
    <cfRule type="expression" dxfId="92" priority="78">
      <formula>BC479&gt;#REF!</formula>
    </cfRule>
  </conditionalFormatting>
  <conditionalFormatting sqref="BC485:BC486">
    <cfRule type="expression" dxfId="91" priority="75">
      <formula>BC485&lt;#REF!</formula>
    </cfRule>
    <cfRule type="expression" dxfId="90" priority="76">
      <formula>BC485&gt;#REF!</formula>
    </cfRule>
  </conditionalFormatting>
  <conditionalFormatting sqref="BC489:BC490">
    <cfRule type="expression" dxfId="89" priority="73">
      <formula>BC489&lt;#REF!</formula>
    </cfRule>
    <cfRule type="expression" dxfId="88" priority="74">
      <formula>BC489&gt;#REF!</formula>
    </cfRule>
  </conditionalFormatting>
  <conditionalFormatting sqref="BC483:BC484">
    <cfRule type="expression" dxfId="87" priority="71">
      <formula>BC483&lt;#REF!</formula>
    </cfRule>
    <cfRule type="expression" dxfId="86" priority="72">
      <formula>BC483&gt;#REF!</formula>
    </cfRule>
  </conditionalFormatting>
  <conditionalFormatting sqref="BC487:BC488">
    <cfRule type="expression" dxfId="85" priority="69">
      <formula>BC487&lt;#REF!</formula>
    </cfRule>
    <cfRule type="expression" dxfId="84" priority="70">
      <formula>BC487&gt;#REF!</formula>
    </cfRule>
  </conditionalFormatting>
  <conditionalFormatting sqref="BC491:BC492">
    <cfRule type="expression" dxfId="83" priority="67">
      <formula>BC491&lt;#REF!</formula>
    </cfRule>
    <cfRule type="expression" dxfId="82" priority="68">
      <formula>BC491&gt;#REF!</formula>
    </cfRule>
  </conditionalFormatting>
  <conditionalFormatting sqref="BC495:BC498">
    <cfRule type="expression" dxfId="81" priority="65">
      <formula>BC495&lt;#REF!</formula>
    </cfRule>
    <cfRule type="expression" dxfId="80" priority="66">
      <formula>BC495&gt;#REF!</formula>
    </cfRule>
  </conditionalFormatting>
  <conditionalFormatting sqref="BC501:BC502">
    <cfRule type="expression" dxfId="79" priority="63">
      <formula>BC501&lt;#REF!</formula>
    </cfRule>
    <cfRule type="expression" dxfId="78" priority="64">
      <formula>BC501&gt;#REF!</formula>
    </cfRule>
  </conditionalFormatting>
  <conditionalFormatting sqref="BC505:BC506">
    <cfRule type="expression" dxfId="77" priority="61">
      <formula>BC505&lt;#REF!</formula>
    </cfRule>
    <cfRule type="expression" dxfId="76" priority="62">
      <formula>BC505&gt;#REF!</formula>
    </cfRule>
  </conditionalFormatting>
  <conditionalFormatting sqref="BC499:BC500">
    <cfRule type="expression" dxfId="75" priority="59">
      <formula>BC499&lt;#REF!</formula>
    </cfRule>
    <cfRule type="expression" dxfId="74" priority="60">
      <formula>BC499&gt;#REF!</formula>
    </cfRule>
  </conditionalFormatting>
  <conditionalFormatting sqref="BC503:BC504">
    <cfRule type="expression" dxfId="73" priority="57">
      <formula>BC503&lt;#REF!</formula>
    </cfRule>
    <cfRule type="expression" dxfId="72" priority="58">
      <formula>BC503&gt;#REF!</formula>
    </cfRule>
  </conditionalFormatting>
  <conditionalFormatting sqref="BC507:BC508">
    <cfRule type="expression" dxfId="71" priority="55">
      <formula>BC507&lt;#REF!</formula>
    </cfRule>
    <cfRule type="expression" dxfId="70" priority="56">
      <formula>BC507&gt;#REF!</formula>
    </cfRule>
  </conditionalFormatting>
  <conditionalFormatting sqref="BC511:BC514">
    <cfRule type="expression" dxfId="69" priority="53">
      <formula>BC511&lt;#REF!</formula>
    </cfRule>
    <cfRule type="expression" dxfId="68" priority="54">
      <formula>BC511&gt;#REF!</formula>
    </cfRule>
  </conditionalFormatting>
  <conditionalFormatting sqref="BC517:BC518">
    <cfRule type="expression" dxfId="67" priority="51">
      <formula>BC517&lt;#REF!</formula>
    </cfRule>
    <cfRule type="expression" dxfId="66" priority="52">
      <formula>BC517&gt;#REF!</formula>
    </cfRule>
  </conditionalFormatting>
  <conditionalFormatting sqref="BC521:BC522">
    <cfRule type="expression" dxfId="65" priority="49">
      <formula>BC521&lt;#REF!</formula>
    </cfRule>
    <cfRule type="expression" dxfId="64" priority="50">
      <formula>BC521&gt;#REF!</formula>
    </cfRule>
  </conditionalFormatting>
  <conditionalFormatting sqref="BC515:BC516">
    <cfRule type="expression" dxfId="63" priority="47">
      <formula>BC515&lt;#REF!</formula>
    </cfRule>
    <cfRule type="expression" dxfId="62" priority="48">
      <formula>BC515&gt;#REF!</formula>
    </cfRule>
  </conditionalFormatting>
  <conditionalFormatting sqref="BC519:BC520">
    <cfRule type="expression" dxfId="61" priority="45">
      <formula>BC519&lt;#REF!</formula>
    </cfRule>
    <cfRule type="expression" dxfId="60" priority="46">
      <formula>BC519&gt;#REF!</formula>
    </cfRule>
  </conditionalFormatting>
  <conditionalFormatting sqref="BC523:BC524">
    <cfRule type="expression" dxfId="59" priority="43">
      <formula>BC523&lt;#REF!</formula>
    </cfRule>
    <cfRule type="expression" dxfId="58" priority="44">
      <formula>BC523&gt;#REF!</formula>
    </cfRule>
  </conditionalFormatting>
  <conditionalFormatting sqref="BC527:BC530">
    <cfRule type="expression" dxfId="57" priority="41">
      <formula>BC527&lt;#REF!</formula>
    </cfRule>
    <cfRule type="expression" dxfId="56" priority="42">
      <formula>BC527&gt;#REF!</formula>
    </cfRule>
  </conditionalFormatting>
  <conditionalFormatting sqref="BC533:BC534">
    <cfRule type="expression" dxfId="55" priority="39">
      <formula>BC533&lt;#REF!</formula>
    </cfRule>
    <cfRule type="expression" dxfId="54" priority="40">
      <formula>BC533&gt;#REF!</formula>
    </cfRule>
  </conditionalFormatting>
  <conditionalFormatting sqref="BC537:BC538">
    <cfRule type="expression" dxfId="53" priority="37">
      <formula>BC537&lt;#REF!</formula>
    </cfRule>
    <cfRule type="expression" dxfId="52" priority="38">
      <formula>BC537&gt;#REF!</formula>
    </cfRule>
  </conditionalFormatting>
  <conditionalFormatting sqref="BC531:BC532">
    <cfRule type="expression" dxfId="51" priority="35">
      <formula>BC531&lt;#REF!</formula>
    </cfRule>
    <cfRule type="expression" dxfId="50" priority="36">
      <formula>BC531&gt;#REF!</formula>
    </cfRule>
  </conditionalFormatting>
  <conditionalFormatting sqref="BC535:BC536">
    <cfRule type="expression" dxfId="49" priority="33">
      <formula>BC535&lt;#REF!</formula>
    </cfRule>
    <cfRule type="expression" dxfId="48" priority="34">
      <formula>BC535&gt;#REF!</formula>
    </cfRule>
  </conditionalFormatting>
  <conditionalFormatting sqref="BC539:BC540">
    <cfRule type="expression" dxfId="47" priority="31">
      <formula>BC539&lt;#REF!</formula>
    </cfRule>
    <cfRule type="expression" dxfId="46" priority="32">
      <formula>BC539&gt;#REF!</formula>
    </cfRule>
  </conditionalFormatting>
  <conditionalFormatting sqref="BC543:BC546">
    <cfRule type="expression" dxfId="45" priority="29">
      <formula>BC543&lt;#REF!</formula>
    </cfRule>
    <cfRule type="expression" dxfId="44" priority="30">
      <formula>BC543&gt;#REF!</formula>
    </cfRule>
  </conditionalFormatting>
  <conditionalFormatting sqref="BC549:BC550">
    <cfRule type="expression" dxfId="43" priority="27">
      <formula>BC549&lt;#REF!</formula>
    </cfRule>
    <cfRule type="expression" dxfId="42" priority="28">
      <formula>BC549&gt;#REF!</formula>
    </cfRule>
  </conditionalFormatting>
  <conditionalFormatting sqref="BC553:BC554">
    <cfRule type="expression" dxfId="41" priority="25">
      <formula>BC553&lt;#REF!</formula>
    </cfRule>
    <cfRule type="expression" dxfId="40" priority="26">
      <formula>BC553&gt;#REF!</formula>
    </cfRule>
  </conditionalFormatting>
  <conditionalFormatting sqref="BC547:BC548">
    <cfRule type="expression" dxfId="39" priority="23">
      <formula>BC547&lt;#REF!</formula>
    </cfRule>
    <cfRule type="expression" dxfId="38" priority="24">
      <formula>BC547&gt;#REF!</formula>
    </cfRule>
  </conditionalFormatting>
  <conditionalFormatting sqref="BC551:BC552">
    <cfRule type="expression" dxfId="37" priority="21">
      <formula>BC551&lt;#REF!</formula>
    </cfRule>
    <cfRule type="expression" dxfId="36" priority="22">
      <formula>BC551&gt;#REF!</formula>
    </cfRule>
  </conditionalFormatting>
  <conditionalFormatting sqref="BC555:BC556">
    <cfRule type="expression" dxfId="35" priority="19">
      <formula>BC555&lt;#REF!</formula>
    </cfRule>
    <cfRule type="expression" dxfId="34" priority="20">
      <formula>BC555&gt;#REF!</formula>
    </cfRule>
  </conditionalFormatting>
  <conditionalFormatting sqref="BC559:BC562">
    <cfRule type="expression" dxfId="33" priority="17">
      <formula>BC559&lt;#REF!</formula>
    </cfRule>
    <cfRule type="expression" dxfId="32" priority="18">
      <formula>BC559&gt;#REF!</formula>
    </cfRule>
  </conditionalFormatting>
  <conditionalFormatting sqref="BC565:BC566">
    <cfRule type="expression" dxfId="31" priority="15">
      <formula>BC565&lt;#REF!</formula>
    </cfRule>
    <cfRule type="expression" dxfId="30" priority="16">
      <formula>BC565&gt;#REF!</formula>
    </cfRule>
  </conditionalFormatting>
  <conditionalFormatting sqref="BC569:BC570">
    <cfRule type="expression" dxfId="29" priority="13">
      <formula>BC569&lt;#REF!</formula>
    </cfRule>
    <cfRule type="expression" dxfId="28" priority="14">
      <formula>BC569&gt;#REF!</formula>
    </cfRule>
  </conditionalFormatting>
  <conditionalFormatting sqref="BC563:BC564">
    <cfRule type="expression" dxfId="27" priority="11">
      <formula>BC563&lt;#REF!</formula>
    </cfRule>
    <cfRule type="expression" dxfId="26" priority="12">
      <formula>BC563&gt;#REF!</formula>
    </cfRule>
  </conditionalFormatting>
  <conditionalFormatting sqref="BC567:BC568">
    <cfRule type="expression" dxfId="25" priority="9">
      <formula>BC567&lt;#REF!</formula>
    </cfRule>
    <cfRule type="expression" dxfId="24" priority="10">
      <formula>BC567&gt;#REF!</formula>
    </cfRule>
  </conditionalFormatting>
  <conditionalFormatting sqref="BC571:BC572">
    <cfRule type="expression" dxfId="23" priority="7">
      <formula>BC571&lt;#REF!</formula>
    </cfRule>
    <cfRule type="expression" dxfId="22" priority="8">
      <formula>BC571&gt;#REF!</formula>
    </cfRule>
  </conditionalFormatting>
  <conditionalFormatting sqref="BC577:BC578">
    <cfRule type="expression" dxfId="21" priority="5">
      <formula>BC577&lt;#REF!</formula>
    </cfRule>
    <cfRule type="expression" dxfId="20" priority="6">
      <formula>BC577&gt;#REF!</formula>
    </cfRule>
  </conditionalFormatting>
  <conditionalFormatting sqref="BC575:BC576">
    <cfRule type="expression" dxfId="19" priority="3">
      <formula>BC575&lt;#REF!</formula>
    </cfRule>
    <cfRule type="expression" dxfId="18" priority="4">
      <formula>BC575&gt;#REF!</formula>
    </cfRule>
  </conditionalFormatting>
  <conditionalFormatting sqref="BC579:BC580">
    <cfRule type="expression" dxfId="17" priority="1">
      <formula>BC579&lt;#REF!</formula>
    </cfRule>
    <cfRule type="expression" dxfId="16" priority="2">
      <formula>BC579&gt;#REF!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53"/>
  <sheetViews>
    <sheetView workbookViewId="0">
      <selection activeCell="U6" sqref="U6"/>
    </sheetView>
  </sheetViews>
  <sheetFormatPr defaultColWidth="2.5" defaultRowHeight="13.5"/>
  <cols>
    <col min="1" max="1" width="23" style="20" customWidth="1"/>
    <col min="2" max="2" width="2.5" style="20" customWidth="1"/>
    <col min="3" max="21" width="2.625" style="20" customWidth="1"/>
    <col min="22" max="22" width="2.75" style="20" customWidth="1"/>
    <col min="23" max="23" width="57.375" style="47" customWidth="1"/>
    <col min="24" max="16384" width="2.5" style="20"/>
  </cols>
  <sheetData>
    <row r="1" spans="1:23" ht="25.5" customHeight="1">
      <c r="A1" s="33" t="s">
        <v>233</v>
      </c>
      <c r="B1" s="34"/>
      <c r="C1" s="34"/>
      <c r="D1" s="34"/>
      <c r="E1" s="34"/>
      <c r="F1" s="34"/>
      <c r="G1" s="34"/>
      <c r="H1" s="34"/>
      <c r="I1" s="34"/>
      <c r="J1" s="34"/>
      <c r="K1" s="34"/>
      <c r="L1" s="34"/>
      <c r="M1" s="34"/>
      <c r="N1" s="34"/>
      <c r="O1" s="34"/>
      <c r="P1" s="34"/>
      <c r="Q1" s="34"/>
      <c r="R1" s="34"/>
      <c r="S1" s="34"/>
      <c r="T1" s="34"/>
      <c r="U1" s="34"/>
      <c r="V1" s="34"/>
      <c r="W1" s="34"/>
    </row>
    <row r="3" spans="1:23" ht="20.25" customHeight="1">
      <c r="A3" s="1461" t="s">
        <v>348</v>
      </c>
      <c r="B3" s="1464" t="s">
        <v>349</v>
      </c>
      <c r="C3" s="1620" t="s">
        <v>245</v>
      </c>
      <c r="D3" s="75"/>
      <c r="E3" s="1633" t="s">
        <v>236</v>
      </c>
      <c r="F3" s="1633"/>
      <c r="G3" s="1633"/>
      <c r="H3" s="1633"/>
      <c r="I3" s="1633"/>
      <c r="J3" s="76"/>
      <c r="K3" s="1634" t="s">
        <v>246</v>
      </c>
      <c r="L3" s="1634"/>
      <c r="M3" s="1634"/>
      <c r="N3" s="1634"/>
      <c r="O3" s="1634"/>
      <c r="P3" s="1634"/>
      <c r="Q3" s="1634"/>
      <c r="R3" s="1634"/>
      <c r="S3" s="76"/>
      <c r="T3" s="76"/>
      <c r="U3" s="76"/>
      <c r="V3" s="77"/>
      <c r="W3" s="1617" t="s">
        <v>247</v>
      </c>
    </row>
    <row r="4" spans="1:23" ht="25.5" customHeight="1">
      <c r="A4" s="1629"/>
      <c r="B4" s="1631"/>
      <c r="C4" s="1621"/>
      <c r="D4" s="78" t="s">
        <v>239</v>
      </c>
      <c r="E4" s="1618">
        <v>24930</v>
      </c>
      <c r="F4" s="1618"/>
      <c r="G4" s="1618"/>
      <c r="H4" s="1618"/>
      <c r="I4" s="1618"/>
      <c r="J4" s="79" t="s">
        <v>240</v>
      </c>
      <c r="K4" s="1619">
        <v>240</v>
      </c>
      <c r="L4" s="1619"/>
      <c r="M4" s="1619"/>
      <c r="N4" s="1619"/>
      <c r="O4" s="1619"/>
      <c r="P4" s="1619"/>
      <c r="Q4" s="1619"/>
      <c r="R4" s="1619"/>
      <c r="S4" s="80" t="s">
        <v>241</v>
      </c>
      <c r="T4" s="79"/>
      <c r="U4" s="79"/>
      <c r="V4" s="81"/>
      <c r="W4" s="1617"/>
    </row>
    <row r="5" spans="1:23" ht="20.25" customHeight="1">
      <c r="A5" s="1629"/>
      <c r="B5" s="1631"/>
      <c r="C5" s="1622"/>
      <c r="D5" s="82"/>
      <c r="E5" s="82"/>
      <c r="F5" s="82"/>
      <c r="G5" s="83"/>
      <c r="H5" s="83"/>
      <c r="I5" s="83"/>
      <c r="J5" s="83"/>
      <c r="K5" s="83"/>
      <c r="L5" s="83"/>
      <c r="M5" s="1478" t="s">
        <v>242</v>
      </c>
      <c r="N5" s="1478"/>
      <c r="O5" s="1478"/>
      <c r="P5" s="1478"/>
      <c r="Q5" s="1478"/>
      <c r="R5" s="1478"/>
      <c r="S5" s="1478"/>
      <c r="T5" s="1478"/>
      <c r="U5" s="1478"/>
      <c r="V5" s="1611"/>
      <c r="W5" s="1617"/>
    </row>
    <row r="6" spans="1:23" ht="20.25" customHeight="1">
      <c r="A6" s="1629"/>
      <c r="B6" s="1631"/>
      <c r="C6" s="1620" t="s">
        <v>248</v>
      </c>
      <c r="D6" s="75"/>
      <c r="E6" s="1633" t="s">
        <v>236</v>
      </c>
      <c r="F6" s="1633"/>
      <c r="G6" s="1633"/>
      <c r="H6" s="1633"/>
      <c r="I6" s="1633"/>
      <c r="J6" s="76"/>
      <c r="K6" s="1634" t="s">
        <v>246</v>
      </c>
      <c r="L6" s="1634"/>
      <c r="M6" s="1634"/>
      <c r="N6" s="1634"/>
      <c r="O6" s="1634"/>
      <c r="P6" s="1634"/>
      <c r="Q6" s="1634"/>
      <c r="R6" s="1634"/>
      <c r="S6" s="76"/>
      <c r="T6" s="76"/>
      <c r="U6" s="76"/>
      <c r="V6" s="77"/>
      <c r="W6" s="1617"/>
    </row>
    <row r="7" spans="1:23" ht="25.5" customHeight="1">
      <c r="A7" s="1629"/>
      <c r="B7" s="1631"/>
      <c r="C7" s="1621"/>
      <c r="D7" s="78" t="s">
        <v>239</v>
      </c>
      <c r="E7" s="1618">
        <v>16620</v>
      </c>
      <c r="F7" s="1618"/>
      <c r="G7" s="1618"/>
      <c r="H7" s="1618"/>
      <c r="I7" s="1618"/>
      <c r="J7" s="79" t="s">
        <v>240</v>
      </c>
      <c r="K7" s="1619">
        <v>160</v>
      </c>
      <c r="L7" s="1619"/>
      <c r="M7" s="1619"/>
      <c r="N7" s="1619"/>
      <c r="O7" s="1619"/>
      <c r="P7" s="1619"/>
      <c r="Q7" s="1619"/>
      <c r="R7" s="1619"/>
      <c r="S7" s="80" t="s">
        <v>241</v>
      </c>
      <c r="T7" s="79"/>
      <c r="U7" s="79"/>
      <c r="V7" s="81"/>
      <c r="W7" s="1617"/>
    </row>
    <row r="8" spans="1:23" ht="20.25" customHeight="1">
      <c r="A8" s="1630"/>
      <c r="B8" s="1632"/>
      <c r="C8" s="1622"/>
      <c r="D8" s="82"/>
      <c r="E8" s="82"/>
      <c r="F8" s="82"/>
      <c r="G8" s="83"/>
      <c r="H8" s="83"/>
      <c r="I8" s="83"/>
      <c r="J8" s="83"/>
      <c r="K8" s="83"/>
      <c r="L8" s="83"/>
      <c r="M8" s="1635" t="s">
        <v>242</v>
      </c>
      <c r="N8" s="1635"/>
      <c r="O8" s="1635"/>
      <c r="P8" s="1635"/>
      <c r="Q8" s="1635"/>
      <c r="R8" s="1635"/>
      <c r="S8" s="1635"/>
      <c r="T8" s="1635"/>
      <c r="U8" s="1635"/>
      <c r="V8" s="1636"/>
      <c r="W8" s="1617"/>
    </row>
    <row r="9" spans="1:23" ht="20.25" customHeight="1">
      <c r="A9" s="35"/>
      <c r="B9" s="35"/>
      <c r="C9" s="73"/>
      <c r="D9" s="84"/>
      <c r="E9" s="84"/>
      <c r="F9" s="84"/>
      <c r="G9" s="85"/>
      <c r="H9" s="85"/>
      <c r="I9" s="85"/>
      <c r="J9" s="85"/>
      <c r="K9" s="85"/>
      <c r="L9" s="85"/>
      <c r="M9" s="86"/>
      <c r="N9" s="86"/>
      <c r="O9" s="86"/>
      <c r="P9" s="86"/>
      <c r="Q9" s="86"/>
      <c r="R9" s="86"/>
      <c r="S9" s="86"/>
      <c r="T9" s="86"/>
      <c r="U9" s="86"/>
      <c r="V9" s="86"/>
      <c r="W9" s="36"/>
    </row>
    <row r="10" spans="1:23" ht="30" customHeight="1">
      <c r="A10" s="1461" t="s">
        <v>350</v>
      </c>
      <c r="B10" s="1464" t="s">
        <v>351</v>
      </c>
      <c r="C10" s="1414" t="s">
        <v>258</v>
      </c>
      <c r="D10" s="1627"/>
      <c r="E10" s="1627"/>
      <c r="F10" s="1627"/>
      <c r="G10" s="1627"/>
      <c r="H10" s="1627"/>
      <c r="I10" s="1627"/>
      <c r="J10" s="1627"/>
      <c r="K10" s="1627"/>
      <c r="L10" s="1627"/>
      <c r="M10" s="1627"/>
      <c r="N10" s="1627"/>
      <c r="O10" s="1627"/>
      <c r="P10" s="1627"/>
      <c r="Q10" s="1627"/>
      <c r="R10" s="1627"/>
      <c r="S10" s="1627"/>
      <c r="T10" s="1627"/>
      <c r="U10" s="1627"/>
      <c r="V10" s="1628"/>
      <c r="W10" s="1469" t="s">
        <v>352</v>
      </c>
    </row>
    <row r="11" spans="1:23" ht="20.25" customHeight="1">
      <c r="A11" s="1623"/>
      <c r="B11" s="1625"/>
      <c r="C11" s="1472" t="s">
        <v>260</v>
      </c>
      <c r="D11" s="1473"/>
      <c r="E11" s="1473"/>
      <c r="F11" s="1473"/>
      <c r="G11" s="1473"/>
      <c r="H11" s="1473"/>
      <c r="I11" s="1473"/>
      <c r="J11" s="1473"/>
      <c r="K11" s="1473"/>
      <c r="L11" s="1618">
        <v>49980</v>
      </c>
      <c r="M11" s="1639"/>
      <c r="N11" s="1639"/>
      <c r="O11" s="1473" t="s">
        <v>353</v>
      </c>
      <c r="P11" s="1473"/>
      <c r="Q11" s="1473"/>
      <c r="R11" s="1473"/>
      <c r="S11" s="1473"/>
      <c r="T11" s="1473"/>
      <c r="U11" s="1473"/>
      <c r="V11" s="1640"/>
      <c r="W11" s="1637"/>
    </row>
    <row r="12" spans="1:23" ht="20.25" customHeight="1">
      <c r="A12" s="1624"/>
      <c r="B12" s="1626"/>
      <c r="C12" s="1477" t="s">
        <v>264</v>
      </c>
      <c r="D12" s="1478"/>
      <c r="E12" s="1478"/>
      <c r="F12" s="1478"/>
      <c r="G12" s="1478"/>
      <c r="H12" s="1478"/>
      <c r="I12" s="1478"/>
      <c r="J12" s="1478"/>
      <c r="K12" s="1478"/>
      <c r="L12" s="1641">
        <v>6250</v>
      </c>
      <c r="M12" s="1642"/>
      <c r="N12" s="1642"/>
      <c r="O12" s="1478" t="s">
        <v>354</v>
      </c>
      <c r="P12" s="1478"/>
      <c r="Q12" s="1478"/>
      <c r="R12" s="1478"/>
      <c r="S12" s="1478"/>
      <c r="T12" s="1478"/>
      <c r="U12" s="1478"/>
      <c r="V12" s="1611"/>
      <c r="W12" s="1638"/>
    </row>
    <row r="13" spans="1:23" ht="20.25" customHeight="1">
      <c r="A13" s="307"/>
      <c r="B13" s="307"/>
      <c r="C13" s="300"/>
      <c r="D13" s="300"/>
      <c r="E13" s="300"/>
      <c r="F13" s="300"/>
      <c r="G13" s="300"/>
      <c r="H13" s="300"/>
      <c r="I13" s="300"/>
      <c r="J13" s="300"/>
      <c r="K13" s="300"/>
      <c r="L13" s="303"/>
      <c r="M13" s="304"/>
      <c r="N13" s="304"/>
      <c r="O13" s="300"/>
      <c r="P13" s="300"/>
      <c r="Q13" s="300"/>
      <c r="R13" s="300"/>
      <c r="S13" s="300"/>
      <c r="T13" s="300"/>
      <c r="U13" s="300"/>
      <c r="V13" s="300"/>
      <c r="W13" s="307"/>
    </row>
    <row r="14" spans="1:23" ht="20.25" customHeight="1">
      <c r="A14" s="1414" t="s">
        <v>728</v>
      </c>
      <c r="B14" s="1416" t="s">
        <v>734</v>
      </c>
      <c r="C14" s="1612"/>
      <c r="D14" s="1614" t="s">
        <v>730</v>
      </c>
      <c r="E14" s="1614"/>
      <c r="F14" s="1614"/>
      <c r="G14" s="1614"/>
      <c r="H14" s="1614"/>
      <c r="I14" s="1614"/>
      <c r="J14" s="76" t="s">
        <v>731</v>
      </c>
      <c r="K14" s="1615" t="s">
        <v>732</v>
      </c>
      <c r="L14" s="1615"/>
      <c r="M14" s="1615"/>
      <c r="N14" s="1615"/>
      <c r="O14" s="1615"/>
      <c r="P14" s="1615"/>
      <c r="Q14" s="1615"/>
      <c r="R14" s="1615"/>
      <c r="S14" s="1615"/>
      <c r="T14" s="1615"/>
      <c r="U14" s="1615"/>
      <c r="V14" s="1616"/>
      <c r="W14" s="1424" t="s">
        <v>733</v>
      </c>
    </row>
    <row r="15" spans="1:23" ht="20.25" customHeight="1">
      <c r="A15" s="1415"/>
      <c r="B15" s="1417"/>
      <c r="C15" s="1613"/>
      <c r="D15" s="82"/>
      <c r="E15" s="82"/>
      <c r="F15" s="82"/>
      <c r="G15" s="83"/>
      <c r="H15" s="83"/>
      <c r="I15" s="83"/>
      <c r="J15" s="83"/>
      <c r="K15" s="83"/>
      <c r="L15" s="83"/>
      <c r="M15" s="1478" t="s">
        <v>242</v>
      </c>
      <c r="N15" s="1478"/>
      <c r="O15" s="1478"/>
      <c r="P15" s="1478"/>
      <c r="Q15" s="1478"/>
      <c r="R15" s="1478"/>
      <c r="S15" s="1478"/>
      <c r="T15" s="1478"/>
      <c r="U15" s="1478"/>
      <c r="V15" s="1611"/>
      <c r="W15" s="1424"/>
    </row>
    <row r="16" spans="1:23" ht="25.5" customHeight="1">
      <c r="A16" s="37"/>
      <c r="B16" s="37"/>
      <c r="C16" s="87"/>
      <c r="D16" s="88"/>
      <c r="E16" s="88"/>
      <c r="F16" s="88"/>
      <c r="G16" s="88"/>
      <c r="H16" s="89"/>
      <c r="I16" s="89"/>
      <c r="J16" s="89"/>
      <c r="K16" s="89"/>
      <c r="L16" s="87"/>
      <c r="M16" s="89"/>
      <c r="N16" s="89"/>
      <c r="O16" s="89"/>
      <c r="P16" s="89"/>
      <c r="Q16" s="90"/>
      <c r="R16" s="90"/>
      <c r="S16" s="90"/>
      <c r="T16" s="90"/>
      <c r="U16" s="90"/>
      <c r="V16" s="90"/>
      <c r="W16" s="38"/>
    </row>
    <row r="17" spans="1:23" ht="30" customHeight="1">
      <c r="A17" s="1461" t="s">
        <v>266</v>
      </c>
      <c r="B17" s="1416" t="s">
        <v>735</v>
      </c>
      <c r="C17" s="1645" t="s">
        <v>268</v>
      </c>
      <c r="D17" s="1646"/>
      <c r="E17" s="1646"/>
      <c r="F17" s="1646"/>
      <c r="G17" s="1646"/>
      <c r="H17" s="1647">
        <v>1800</v>
      </c>
      <c r="I17" s="1647"/>
      <c r="J17" s="1647"/>
      <c r="K17" s="1647"/>
      <c r="L17" s="1648"/>
      <c r="M17" s="1645" t="s">
        <v>269</v>
      </c>
      <c r="N17" s="1646"/>
      <c r="O17" s="1646"/>
      <c r="P17" s="1646"/>
      <c r="Q17" s="1646"/>
      <c r="R17" s="1647">
        <v>1240</v>
      </c>
      <c r="S17" s="1647"/>
      <c r="T17" s="1647"/>
      <c r="U17" s="1647"/>
      <c r="V17" s="1648"/>
      <c r="W17" s="1617" t="s">
        <v>270</v>
      </c>
    </row>
    <row r="18" spans="1:23" ht="30" customHeight="1">
      <c r="A18" s="1629"/>
      <c r="B18" s="1643"/>
      <c r="C18" s="1645" t="s">
        <v>271</v>
      </c>
      <c r="D18" s="1646"/>
      <c r="E18" s="1646"/>
      <c r="F18" s="1646"/>
      <c r="G18" s="1646"/>
      <c r="H18" s="1647">
        <v>1590</v>
      </c>
      <c r="I18" s="1647"/>
      <c r="J18" s="1647"/>
      <c r="K18" s="1647"/>
      <c r="L18" s="1648"/>
      <c r="M18" s="1645" t="s">
        <v>272</v>
      </c>
      <c r="N18" s="1646"/>
      <c r="O18" s="1646"/>
      <c r="P18" s="1646"/>
      <c r="Q18" s="1646"/>
      <c r="R18" s="1647">
        <v>110</v>
      </c>
      <c r="S18" s="1647"/>
      <c r="T18" s="1647"/>
      <c r="U18" s="1647"/>
      <c r="V18" s="1648"/>
      <c r="W18" s="1617"/>
    </row>
    <row r="19" spans="1:23" ht="30" customHeight="1">
      <c r="A19" s="1630"/>
      <c r="B19" s="1644"/>
      <c r="C19" s="1645" t="s">
        <v>273</v>
      </c>
      <c r="D19" s="1646"/>
      <c r="E19" s="1646"/>
      <c r="F19" s="1646"/>
      <c r="G19" s="1646"/>
      <c r="H19" s="1647">
        <v>1570</v>
      </c>
      <c r="I19" s="1647"/>
      <c r="J19" s="1647"/>
      <c r="K19" s="1647"/>
      <c r="L19" s="1648"/>
      <c r="M19" s="1649"/>
      <c r="N19" s="1650"/>
      <c r="O19" s="1650"/>
      <c r="P19" s="1650"/>
      <c r="Q19" s="1650"/>
      <c r="R19" s="1650"/>
      <c r="S19" s="1650"/>
      <c r="T19" s="1650"/>
      <c r="U19" s="1650"/>
      <c r="V19" s="1651"/>
      <c r="W19" s="1617"/>
    </row>
    <row r="20" spans="1:23" ht="25.5" customHeight="1">
      <c r="A20" s="37"/>
      <c r="B20" s="87"/>
      <c r="C20" s="87"/>
      <c r="D20" s="88"/>
      <c r="E20" s="88"/>
      <c r="F20" s="88"/>
      <c r="G20" s="88"/>
      <c r="H20" s="89"/>
      <c r="I20" s="89"/>
      <c r="J20" s="89"/>
      <c r="K20" s="89"/>
      <c r="L20" s="87"/>
      <c r="M20" s="89"/>
      <c r="N20" s="89"/>
      <c r="O20" s="89"/>
      <c r="P20" s="89"/>
      <c r="Q20" s="90"/>
      <c r="R20" s="90"/>
      <c r="S20" s="90"/>
      <c r="T20" s="90"/>
      <c r="U20" s="90"/>
      <c r="V20" s="90"/>
      <c r="W20" s="38"/>
    </row>
    <row r="21" spans="1:23" s="5" customFormat="1" ht="25.5" customHeight="1">
      <c r="A21" s="1483" t="s">
        <v>355</v>
      </c>
      <c r="B21" s="1486" t="s">
        <v>736</v>
      </c>
      <c r="C21" s="1488" t="s">
        <v>120</v>
      </c>
      <c r="D21" s="1489">
        <v>153010</v>
      </c>
      <c r="E21" s="1489"/>
      <c r="F21" s="1489"/>
      <c r="G21" s="1489"/>
      <c r="H21" s="1489"/>
      <c r="I21" s="1489"/>
      <c r="J21" s="1489"/>
      <c r="K21" s="1489"/>
      <c r="L21" s="1489"/>
      <c r="M21" s="1489"/>
      <c r="N21" s="1489"/>
      <c r="O21" s="1489"/>
      <c r="P21" s="1489"/>
      <c r="Q21" s="1489"/>
      <c r="R21" s="1489"/>
      <c r="S21" s="1489"/>
      <c r="T21" s="1489"/>
      <c r="U21" s="1489"/>
      <c r="V21" s="1490"/>
      <c r="W21" s="1493" t="s">
        <v>275</v>
      </c>
    </row>
    <row r="22" spans="1:23" s="5" customFormat="1" ht="25.5" customHeight="1">
      <c r="A22" s="1484"/>
      <c r="B22" s="1487"/>
      <c r="C22" s="1488"/>
      <c r="D22" s="1491"/>
      <c r="E22" s="1491"/>
      <c r="F22" s="1491"/>
      <c r="G22" s="1491"/>
      <c r="H22" s="1491"/>
      <c r="I22" s="1491"/>
      <c r="J22" s="1491"/>
      <c r="K22" s="1491"/>
      <c r="L22" s="1491"/>
      <c r="M22" s="1491"/>
      <c r="N22" s="1491"/>
      <c r="O22" s="1491"/>
      <c r="P22" s="1491"/>
      <c r="Q22" s="1491"/>
      <c r="R22" s="1491"/>
      <c r="S22" s="1491"/>
      <c r="T22" s="1491"/>
      <c r="U22" s="1491"/>
      <c r="V22" s="1492"/>
      <c r="W22" s="1494"/>
    </row>
    <row r="23" spans="1:23" s="5" customFormat="1" ht="25.5" customHeight="1">
      <c r="A23" s="1484"/>
      <c r="B23" s="1487"/>
      <c r="C23" s="1488" t="s">
        <v>121</v>
      </c>
      <c r="D23" s="1489">
        <v>30260</v>
      </c>
      <c r="E23" s="1489"/>
      <c r="F23" s="1489"/>
      <c r="G23" s="1489"/>
      <c r="H23" s="1489"/>
      <c r="I23" s="1489"/>
      <c r="J23" s="1489"/>
      <c r="K23" s="1489"/>
      <c r="L23" s="1489"/>
      <c r="M23" s="1489"/>
      <c r="N23" s="1489"/>
      <c r="O23" s="1489"/>
      <c r="P23" s="1489"/>
      <c r="Q23" s="1489"/>
      <c r="R23" s="1489"/>
      <c r="S23" s="1489"/>
      <c r="T23" s="1489"/>
      <c r="U23" s="1489"/>
      <c r="V23" s="1490"/>
      <c r="W23" s="1494"/>
    </row>
    <row r="24" spans="1:23" s="5" customFormat="1" ht="30" customHeight="1">
      <c r="A24" s="1485"/>
      <c r="B24" s="1444"/>
      <c r="C24" s="1488"/>
      <c r="D24" s="1491"/>
      <c r="E24" s="1491"/>
      <c r="F24" s="1491"/>
      <c r="G24" s="1491"/>
      <c r="H24" s="1491"/>
      <c r="I24" s="1491"/>
      <c r="J24" s="1491"/>
      <c r="K24" s="1491"/>
      <c r="L24" s="1491"/>
      <c r="M24" s="1491"/>
      <c r="N24" s="1491"/>
      <c r="O24" s="1491"/>
      <c r="P24" s="1491"/>
      <c r="Q24" s="1491"/>
      <c r="R24" s="1491"/>
      <c r="S24" s="1491"/>
      <c r="T24" s="1491"/>
      <c r="U24" s="1491"/>
      <c r="V24" s="1492"/>
      <c r="W24" s="1495"/>
    </row>
    <row r="25" spans="1:23" ht="25.5" customHeight="1">
      <c r="A25" s="37"/>
      <c r="B25" s="87"/>
      <c r="C25" s="87"/>
      <c r="D25" s="88"/>
      <c r="E25" s="88"/>
      <c r="F25" s="88"/>
      <c r="G25" s="88"/>
      <c r="H25" s="89"/>
      <c r="I25" s="89"/>
      <c r="J25" s="89"/>
      <c r="K25" s="89"/>
      <c r="L25" s="87"/>
      <c r="M25" s="89"/>
      <c r="N25" s="89"/>
      <c r="O25" s="89"/>
      <c r="P25" s="89"/>
      <c r="Q25" s="90"/>
      <c r="R25" s="90"/>
      <c r="S25" s="90"/>
      <c r="T25" s="90"/>
      <c r="U25" s="90"/>
      <c r="V25" s="90"/>
      <c r="W25" s="38"/>
    </row>
    <row r="26" spans="1:23" ht="30" customHeight="1">
      <c r="A26" s="39" t="s">
        <v>276</v>
      </c>
      <c r="B26" s="308" t="s">
        <v>357</v>
      </c>
      <c r="C26" s="1652">
        <v>6120</v>
      </c>
      <c r="D26" s="1652"/>
      <c r="E26" s="1652"/>
      <c r="F26" s="1652"/>
      <c r="G26" s="1652"/>
      <c r="H26" s="1652"/>
      <c r="I26" s="1652"/>
      <c r="J26" s="1652"/>
      <c r="K26" s="1652"/>
      <c r="L26" s="1652"/>
      <c r="M26" s="1652"/>
      <c r="N26" s="1652"/>
      <c r="O26" s="1652"/>
      <c r="P26" s="1652"/>
      <c r="Q26" s="1652"/>
      <c r="R26" s="1652"/>
      <c r="S26" s="1652"/>
      <c r="T26" s="1652"/>
      <c r="U26" s="1652"/>
      <c r="V26" s="1653"/>
      <c r="W26" s="40" t="s">
        <v>278</v>
      </c>
    </row>
    <row r="27" spans="1:23" ht="25.5" customHeight="1">
      <c r="A27" s="37"/>
      <c r="B27" s="87"/>
      <c r="C27" s="87"/>
      <c r="D27" s="88"/>
      <c r="E27" s="88"/>
      <c r="F27" s="88"/>
      <c r="G27" s="88"/>
      <c r="H27" s="89"/>
      <c r="I27" s="89"/>
      <c r="J27" s="89"/>
      <c r="K27" s="89"/>
      <c r="L27" s="87"/>
      <c r="M27" s="89"/>
      <c r="N27" s="89"/>
      <c r="O27" s="89"/>
      <c r="P27" s="89"/>
      <c r="Q27" s="90"/>
      <c r="R27" s="90"/>
      <c r="S27" s="90"/>
      <c r="T27" s="90"/>
      <c r="U27" s="90"/>
      <c r="V27" s="90"/>
      <c r="W27" s="41"/>
    </row>
    <row r="28" spans="1:23" ht="30" customHeight="1">
      <c r="A28" s="39" t="s">
        <v>356</v>
      </c>
      <c r="B28" s="308" t="s">
        <v>358</v>
      </c>
      <c r="C28" s="1654">
        <v>77440</v>
      </c>
      <c r="D28" s="1654"/>
      <c r="E28" s="1654"/>
      <c r="F28" s="1654"/>
      <c r="G28" s="1654"/>
      <c r="H28" s="1654"/>
      <c r="I28" s="1654"/>
      <c r="J28" s="1654"/>
      <c r="K28" s="1654"/>
      <c r="L28" s="1654"/>
      <c r="M28" s="1654"/>
      <c r="N28" s="1654"/>
      <c r="O28" s="1654"/>
      <c r="P28" s="1654"/>
      <c r="Q28" s="1654"/>
      <c r="R28" s="1654"/>
      <c r="S28" s="1654"/>
      <c r="T28" s="1654"/>
      <c r="U28" s="1654"/>
      <c r="V28" s="1655"/>
      <c r="W28" s="40" t="s">
        <v>278</v>
      </c>
    </row>
    <row r="29" spans="1:23" ht="25.5" customHeight="1">
      <c r="A29" s="37"/>
      <c r="B29" s="87"/>
      <c r="C29" s="87"/>
      <c r="D29" s="88"/>
      <c r="E29" s="88"/>
      <c r="F29" s="88"/>
      <c r="G29" s="88"/>
      <c r="H29" s="89"/>
      <c r="I29" s="89"/>
      <c r="J29" s="89"/>
      <c r="K29" s="89"/>
      <c r="L29" s="87"/>
      <c r="M29" s="89"/>
      <c r="N29" s="89"/>
      <c r="O29" s="89"/>
      <c r="P29" s="89"/>
      <c r="Q29" s="90"/>
      <c r="R29" s="90"/>
      <c r="S29" s="90"/>
      <c r="T29" s="90"/>
      <c r="U29" s="90"/>
      <c r="V29" s="90"/>
      <c r="W29" s="41"/>
    </row>
    <row r="30" spans="1:23" ht="18" customHeight="1">
      <c r="A30" s="1461" t="s">
        <v>39</v>
      </c>
      <c r="B30" s="1416" t="s">
        <v>361</v>
      </c>
      <c r="C30" s="1656" t="s">
        <v>281</v>
      </c>
      <c r="D30" s="1657"/>
      <c r="E30" s="1657"/>
      <c r="F30" s="1657"/>
      <c r="G30" s="1657"/>
      <c r="H30" s="1657"/>
      <c r="I30" s="1657"/>
      <c r="J30" s="1657"/>
      <c r="K30" s="1657"/>
      <c r="L30" s="1660">
        <v>456000</v>
      </c>
      <c r="M30" s="1660"/>
      <c r="N30" s="1660"/>
      <c r="O30" s="1660"/>
      <c r="P30" s="91"/>
      <c r="Q30" s="91"/>
      <c r="R30" s="91"/>
      <c r="S30" s="91"/>
      <c r="T30" s="91"/>
      <c r="U30" s="91"/>
      <c r="V30" s="92"/>
      <c r="W30" s="1617" t="s">
        <v>359</v>
      </c>
    </row>
    <row r="31" spans="1:23" ht="18" customHeight="1">
      <c r="A31" s="1629"/>
      <c r="B31" s="1643"/>
      <c r="C31" s="1658"/>
      <c r="D31" s="1659"/>
      <c r="E31" s="1659"/>
      <c r="F31" s="1659"/>
      <c r="G31" s="1659"/>
      <c r="H31" s="1659"/>
      <c r="I31" s="1659"/>
      <c r="J31" s="1659"/>
      <c r="K31" s="1659"/>
      <c r="L31" s="1661" t="s">
        <v>283</v>
      </c>
      <c r="M31" s="1661"/>
      <c r="N31" s="1661"/>
      <c r="O31" s="1661"/>
      <c r="P31" s="1661"/>
      <c r="Q31" s="1661"/>
      <c r="R31" s="1661"/>
      <c r="S31" s="1661"/>
      <c r="T31" s="1661"/>
      <c r="U31" s="1661"/>
      <c r="V31" s="1662"/>
      <c r="W31" s="1617"/>
    </row>
    <row r="32" spans="1:23" ht="18" customHeight="1">
      <c r="A32" s="1629"/>
      <c r="B32" s="1643"/>
      <c r="C32" s="1656" t="s">
        <v>284</v>
      </c>
      <c r="D32" s="1657"/>
      <c r="E32" s="1657"/>
      <c r="F32" s="1657"/>
      <c r="G32" s="1657"/>
      <c r="H32" s="1657"/>
      <c r="I32" s="1657"/>
      <c r="J32" s="1657"/>
      <c r="K32" s="1657"/>
      <c r="L32" s="1660">
        <v>760000</v>
      </c>
      <c r="M32" s="1660"/>
      <c r="N32" s="1660"/>
      <c r="O32" s="1660"/>
      <c r="P32" s="91"/>
      <c r="Q32" s="91"/>
      <c r="R32" s="91"/>
      <c r="S32" s="91"/>
      <c r="T32" s="91"/>
      <c r="U32" s="91"/>
      <c r="V32" s="92"/>
      <c r="W32" s="1617"/>
    </row>
    <row r="33" spans="1:23" ht="18" customHeight="1">
      <c r="A33" s="1629"/>
      <c r="B33" s="1643"/>
      <c r="C33" s="1658"/>
      <c r="D33" s="1659"/>
      <c r="E33" s="1659"/>
      <c r="F33" s="1659"/>
      <c r="G33" s="1659"/>
      <c r="H33" s="1659"/>
      <c r="I33" s="1659"/>
      <c r="J33" s="1659"/>
      <c r="K33" s="1659"/>
      <c r="L33" s="1661" t="s">
        <v>283</v>
      </c>
      <c r="M33" s="1661"/>
      <c r="N33" s="1661"/>
      <c r="O33" s="1661"/>
      <c r="P33" s="1661"/>
      <c r="Q33" s="1661"/>
      <c r="R33" s="1661"/>
      <c r="S33" s="1661"/>
      <c r="T33" s="1661"/>
      <c r="U33" s="1661"/>
      <c r="V33" s="1662"/>
      <c r="W33" s="1617"/>
    </row>
    <row r="34" spans="1:23" ht="18" customHeight="1">
      <c r="A34" s="1629"/>
      <c r="B34" s="1643"/>
      <c r="C34" s="1656" t="s">
        <v>285</v>
      </c>
      <c r="D34" s="1657"/>
      <c r="E34" s="1657"/>
      <c r="F34" s="1657"/>
      <c r="G34" s="1657"/>
      <c r="H34" s="1657"/>
      <c r="I34" s="1657"/>
      <c r="J34" s="1657"/>
      <c r="K34" s="1657"/>
      <c r="L34" s="1660">
        <v>1065000</v>
      </c>
      <c r="M34" s="1660"/>
      <c r="N34" s="1660"/>
      <c r="O34" s="1660"/>
      <c r="P34" s="91"/>
      <c r="Q34" s="91"/>
      <c r="R34" s="91"/>
      <c r="S34" s="91"/>
      <c r="T34" s="91"/>
      <c r="U34" s="91"/>
      <c r="V34" s="92"/>
      <c r="W34" s="1617"/>
    </row>
    <row r="35" spans="1:23" ht="18" customHeight="1">
      <c r="A35" s="1630"/>
      <c r="B35" s="1644"/>
      <c r="C35" s="1658"/>
      <c r="D35" s="1659"/>
      <c r="E35" s="1659"/>
      <c r="F35" s="1659"/>
      <c r="G35" s="1659"/>
      <c r="H35" s="1659"/>
      <c r="I35" s="1659"/>
      <c r="J35" s="1659"/>
      <c r="K35" s="1659"/>
      <c r="L35" s="1661" t="s">
        <v>283</v>
      </c>
      <c r="M35" s="1661"/>
      <c r="N35" s="1661"/>
      <c r="O35" s="1661"/>
      <c r="P35" s="1661"/>
      <c r="Q35" s="1661"/>
      <c r="R35" s="1661"/>
      <c r="S35" s="1661"/>
      <c r="T35" s="1661"/>
      <c r="U35" s="1661"/>
      <c r="V35" s="1662"/>
      <c r="W35" s="1617"/>
    </row>
    <row r="36" spans="1:23" ht="25.5" customHeight="1">
      <c r="A36" s="37"/>
      <c r="B36" s="87"/>
      <c r="C36" s="87"/>
      <c r="D36" s="88"/>
      <c r="E36" s="88"/>
      <c r="F36" s="88"/>
      <c r="G36" s="88"/>
      <c r="H36" s="89"/>
      <c r="I36" s="89"/>
      <c r="J36" s="89"/>
      <c r="K36" s="89"/>
      <c r="L36" s="87"/>
      <c r="M36" s="90"/>
      <c r="N36" s="89"/>
      <c r="O36" s="89"/>
      <c r="P36" s="89"/>
      <c r="Q36" s="90"/>
      <c r="R36" s="90"/>
      <c r="S36" s="90"/>
      <c r="T36" s="90"/>
      <c r="U36" s="90"/>
      <c r="V36" s="90"/>
      <c r="W36" s="41"/>
    </row>
    <row r="37" spans="1:23" ht="30" customHeight="1">
      <c r="A37" s="39" t="s">
        <v>360</v>
      </c>
      <c r="B37" s="308" t="s">
        <v>737</v>
      </c>
      <c r="C37" s="1663">
        <v>80000</v>
      </c>
      <c r="D37" s="1663"/>
      <c r="E37" s="1663"/>
      <c r="F37" s="1663"/>
      <c r="G37" s="1663"/>
      <c r="H37" s="1663"/>
      <c r="I37" s="1663"/>
      <c r="J37" s="1663"/>
      <c r="K37" s="1663"/>
      <c r="L37" s="1663"/>
      <c r="M37" s="1663"/>
      <c r="N37" s="1663"/>
      <c r="O37" s="1663"/>
      <c r="P37" s="1663"/>
      <c r="Q37" s="1663"/>
      <c r="R37" s="1663"/>
      <c r="S37" s="1663"/>
      <c r="T37" s="1663"/>
      <c r="U37" s="1663"/>
      <c r="V37" s="1664"/>
      <c r="W37" s="40" t="s">
        <v>278</v>
      </c>
    </row>
    <row r="38" spans="1:23" ht="25.5" customHeight="1">
      <c r="A38" s="37"/>
      <c r="B38" s="87"/>
      <c r="C38" s="87"/>
      <c r="D38" s="88"/>
      <c r="E38" s="88"/>
      <c r="F38" s="88"/>
      <c r="G38" s="88"/>
      <c r="H38" s="89"/>
      <c r="I38" s="89"/>
      <c r="J38" s="89"/>
      <c r="K38" s="89"/>
      <c r="L38" s="87"/>
      <c r="M38" s="90"/>
      <c r="N38" s="89"/>
      <c r="O38" s="89"/>
      <c r="P38" s="89"/>
      <c r="Q38" s="90"/>
      <c r="R38" s="90"/>
      <c r="S38" s="90"/>
      <c r="T38" s="90"/>
      <c r="U38" s="90"/>
      <c r="V38" s="90"/>
      <c r="W38" s="42"/>
    </row>
    <row r="39" spans="1:23" ht="30" customHeight="1">
      <c r="A39" s="39" t="s">
        <v>362</v>
      </c>
      <c r="B39" s="308" t="s">
        <v>738</v>
      </c>
      <c r="C39" s="1654">
        <v>48420</v>
      </c>
      <c r="D39" s="1654"/>
      <c r="E39" s="1654"/>
      <c r="F39" s="1654"/>
      <c r="G39" s="1654"/>
      <c r="H39" s="1654"/>
      <c r="I39" s="1654"/>
      <c r="J39" s="1654"/>
      <c r="K39" s="1654"/>
      <c r="L39" s="1654"/>
      <c r="M39" s="1654"/>
      <c r="N39" s="1654"/>
      <c r="O39" s="1654"/>
      <c r="P39" s="1654"/>
      <c r="Q39" s="1654"/>
      <c r="R39" s="1654"/>
      <c r="S39" s="1654"/>
      <c r="T39" s="1654"/>
      <c r="U39" s="1654"/>
      <c r="V39" s="1655"/>
      <c r="W39" s="40" t="s">
        <v>278</v>
      </c>
    </row>
    <row r="40" spans="1:23" ht="25.5" customHeight="1">
      <c r="A40" s="37"/>
      <c r="B40" s="87"/>
      <c r="C40" s="87"/>
      <c r="D40" s="88"/>
      <c r="E40" s="88"/>
      <c r="F40" s="88"/>
      <c r="G40" s="88"/>
      <c r="H40" s="89"/>
      <c r="I40" s="89"/>
      <c r="J40" s="89"/>
      <c r="K40" s="89"/>
      <c r="L40" s="87"/>
      <c r="M40" s="90"/>
      <c r="N40" s="89"/>
      <c r="O40" s="89"/>
      <c r="P40" s="89"/>
      <c r="Q40" s="90"/>
      <c r="R40" s="90"/>
      <c r="S40" s="90"/>
      <c r="T40" s="90"/>
      <c r="U40" s="90"/>
      <c r="V40" s="90"/>
      <c r="W40" s="42" t="s">
        <v>288</v>
      </c>
    </row>
    <row r="41" spans="1:23" s="5" customFormat="1" ht="20.25" customHeight="1">
      <c r="A41" s="1461" t="s">
        <v>363</v>
      </c>
      <c r="B41" s="1448" t="s">
        <v>370</v>
      </c>
      <c r="C41" s="1620" t="s">
        <v>245</v>
      </c>
      <c r="D41" s="93"/>
      <c r="E41" s="1436" t="s">
        <v>236</v>
      </c>
      <c r="F41" s="1436"/>
      <c r="G41" s="1436"/>
      <c r="H41" s="1436"/>
      <c r="I41" s="1436"/>
      <c r="J41" s="43"/>
      <c r="K41" s="1437" t="s">
        <v>364</v>
      </c>
      <c r="L41" s="1437"/>
      <c r="M41" s="1437"/>
      <c r="N41" s="1437"/>
      <c r="O41" s="1437"/>
      <c r="P41" s="1437"/>
      <c r="Q41" s="1437"/>
      <c r="R41" s="1437"/>
      <c r="S41" s="93"/>
      <c r="T41" s="43"/>
      <c r="U41" s="43"/>
      <c r="V41" s="44"/>
      <c r="W41" s="1669" t="s">
        <v>365</v>
      </c>
    </row>
    <row r="42" spans="1:23" s="5" customFormat="1" ht="30" customHeight="1">
      <c r="A42" s="1623"/>
      <c r="B42" s="1449"/>
      <c r="C42" s="1621"/>
      <c r="D42" s="4" t="s">
        <v>239</v>
      </c>
      <c r="E42" s="1670">
        <v>76960</v>
      </c>
      <c r="F42" s="1670"/>
      <c r="G42" s="1670"/>
      <c r="H42" s="1670"/>
      <c r="I42" s="1670"/>
      <c r="J42" s="4" t="s">
        <v>240</v>
      </c>
      <c r="K42" s="1442">
        <v>760</v>
      </c>
      <c r="L42" s="1442"/>
      <c r="M42" s="1442"/>
      <c r="N42" s="1442"/>
      <c r="O42" s="1442"/>
      <c r="P42" s="1442"/>
      <c r="Q42" s="1442"/>
      <c r="R42" s="1442"/>
      <c r="S42" s="72" t="s">
        <v>241</v>
      </c>
      <c r="T42" s="4"/>
      <c r="U42" s="4"/>
      <c r="V42" s="45"/>
      <c r="W42" s="1625"/>
    </row>
    <row r="43" spans="1:23" s="5" customFormat="1" ht="30" customHeight="1">
      <c r="A43" s="1623"/>
      <c r="B43" s="1449"/>
      <c r="C43" s="1622"/>
      <c r="D43" s="46"/>
      <c r="E43" s="94"/>
      <c r="F43" s="94"/>
      <c r="G43" s="94"/>
      <c r="H43" s="94"/>
      <c r="I43" s="1671" t="s">
        <v>242</v>
      </c>
      <c r="J43" s="1671"/>
      <c r="K43" s="1671"/>
      <c r="L43" s="1671"/>
      <c r="M43" s="1671"/>
      <c r="N43" s="1671"/>
      <c r="O43" s="1671"/>
      <c r="P43" s="1671"/>
      <c r="Q43" s="1671"/>
      <c r="R43" s="1671"/>
      <c r="S43" s="1671"/>
      <c r="T43" s="1671"/>
      <c r="U43" s="1671"/>
      <c r="V43" s="1672"/>
      <c r="W43" s="1625"/>
    </row>
    <row r="44" spans="1:23" s="5" customFormat="1" ht="20.25" customHeight="1">
      <c r="A44" s="1623"/>
      <c r="B44" s="1449"/>
      <c r="C44" s="1620" t="s">
        <v>366</v>
      </c>
      <c r="D44" s="93"/>
      <c r="E44" s="1436" t="s">
        <v>236</v>
      </c>
      <c r="F44" s="1436"/>
      <c r="G44" s="1436"/>
      <c r="H44" s="1436"/>
      <c r="I44" s="1436"/>
      <c r="J44" s="43"/>
      <c r="K44" s="1437" t="s">
        <v>364</v>
      </c>
      <c r="L44" s="1437"/>
      <c r="M44" s="1437"/>
      <c r="N44" s="1437"/>
      <c r="O44" s="1437"/>
      <c r="P44" s="1437"/>
      <c r="Q44" s="1437"/>
      <c r="R44" s="1437"/>
      <c r="S44" s="93"/>
      <c r="T44" s="43"/>
      <c r="U44" s="43"/>
      <c r="V44" s="44"/>
      <c r="W44" s="1625"/>
    </row>
    <row r="45" spans="1:23" s="5" customFormat="1" ht="30" customHeight="1">
      <c r="A45" s="1623"/>
      <c r="B45" s="1449"/>
      <c r="C45" s="1621"/>
      <c r="D45" s="4" t="s">
        <v>239</v>
      </c>
      <c r="E45" s="1670">
        <v>50000</v>
      </c>
      <c r="F45" s="1670"/>
      <c r="G45" s="1670"/>
      <c r="H45" s="1670"/>
      <c r="I45" s="1670"/>
      <c r="J45" s="4" t="s">
        <v>240</v>
      </c>
      <c r="K45" s="1442">
        <v>500</v>
      </c>
      <c r="L45" s="1442"/>
      <c r="M45" s="1442"/>
      <c r="N45" s="1442"/>
      <c r="O45" s="1442"/>
      <c r="P45" s="1442"/>
      <c r="Q45" s="1442"/>
      <c r="R45" s="1442"/>
      <c r="S45" s="72" t="s">
        <v>241</v>
      </c>
      <c r="T45" s="4"/>
      <c r="U45" s="4"/>
      <c r="V45" s="45"/>
      <c r="W45" s="1625"/>
    </row>
    <row r="46" spans="1:23" s="5" customFormat="1" ht="30" customHeight="1">
      <c r="A46" s="1623"/>
      <c r="B46" s="1449"/>
      <c r="C46" s="1622"/>
      <c r="D46" s="46"/>
      <c r="E46" s="94"/>
      <c r="F46" s="94"/>
      <c r="G46" s="94"/>
      <c r="H46" s="94"/>
      <c r="I46" s="1671" t="s">
        <v>242</v>
      </c>
      <c r="J46" s="1671"/>
      <c r="K46" s="1671"/>
      <c r="L46" s="1671"/>
      <c r="M46" s="1671"/>
      <c r="N46" s="1671"/>
      <c r="O46" s="1671"/>
      <c r="P46" s="1671"/>
      <c r="Q46" s="1671"/>
      <c r="R46" s="1671"/>
      <c r="S46" s="1671"/>
      <c r="T46" s="1671"/>
      <c r="U46" s="1671"/>
      <c r="V46" s="1672"/>
      <c r="W46" s="1625"/>
    </row>
    <row r="47" spans="1:23" s="5" customFormat="1" ht="20.25" customHeight="1">
      <c r="A47" s="1623"/>
      <c r="B47" s="1449"/>
      <c r="C47" s="1620" t="s">
        <v>367</v>
      </c>
      <c r="D47" s="1665" t="s">
        <v>236</v>
      </c>
      <c r="E47" s="1436"/>
      <c r="F47" s="1436"/>
      <c r="G47" s="1436"/>
      <c r="H47" s="1436"/>
      <c r="I47" s="1436"/>
      <c r="J47" s="1436"/>
      <c r="K47" s="1436"/>
      <c r="L47" s="1436"/>
      <c r="M47" s="95"/>
      <c r="N47" s="95"/>
      <c r="O47" s="95"/>
      <c r="P47" s="95"/>
      <c r="Q47" s="95"/>
      <c r="R47" s="95"/>
      <c r="S47" s="95"/>
      <c r="T47" s="95"/>
      <c r="U47" s="95"/>
      <c r="V47" s="96"/>
      <c r="W47" s="1625"/>
    </row>
    <row r="48" spans="1:23" s="5" customFormat="1" ht="30" customHeight="1">
      <c r="A48" s="1624"/>
      <c r="B48" s="1450"/>
      <c r="C48" s="1622"/>
      <c r="D48" s="294"/>
      <c r="E48" s="1673">
        <v>10000</v>
      </c>
      <c r="F48" s="1673"/>
      <c r="G48" s="1673"/>
      <c r="H48" s="1673"/>
      <c r="I48" s="1673"/>
      <c r="J48" s="1666" t="s">
        <v>368</v>
      </c>
      <c r="K48" s="1666"/>
      <c r="L48" s="1666"/>
      <c r="M48" s="1666"/>
      <c r="N48" s="1666"/>
      <c r="O48" s="1666"/>
      <c r="P48" s="1666"/>
      <c r="Q48" s="1666"/>
      <c r="R48" s="1666"/>
      <c r="S48" s="1666"/>
      <c r="T48" s="1666"/>
      <c r="U48" s="1666"/>
      <c r="V48" s="1667"/>
      <c r="W48" s="1626"/>
    </row>
    <row r="49" spans="1:23" ht="25.5" customHeight="1">
      <c r="A49" s="37"/>
      <c r="B49" s="87"/>
      <c r="C49" s="87"/>
      <c r="D49" s="88"/>
      <c r="E49" s="88"/>
      <c r="F49" s="88"/>
      <c r="G49" s="88"/>
      <c r="H49" s="89"/>
      <c r="I49" s="89"/>
      <c r="J49" s="89"/>
      <c r="K49" s="89"/>
      <c r="L49" s="87"/>
      <c r="M49" s="90"/>
      <c r="N49" s="89"/>
      <c r="O49" s="89"/>
      <c r="P49" s="89"/>
      <c r="Q49" s="90"/>
      <c r="R49" s="90"/>
      <c r="S49" s="90"/>
      <c r="T49" s="90"/>
      <c r="U49" s="90"/>
      <c r="V49" s="90"/>
      <c r="W49" s="42" t="s">
        <v>288</v>
      </c>
    </row>
    <row r="50" spans="1:23" ht="30" customHeight="1">
      <c r="A50" s="39" t="s">
        <v>369</v>
      </c>
      <c r="B50" s="308" t="s">
        <v>739</v>
      </c>
      <c r="C50" s="1654">
        <v>75000</v>
      </c>
      <c r="D50" s="1654"/>
      <c r="E50" s="1654"/>
      <c r="F50" s="1654"/>
      <c r="G50" s="1654"/>
      <c r="H50" s="1654"/>
      <c r="I50" s="1654"/>
      <c r="J50" s="1654"/>
      <c r="K50" s="1654"/>
      <c r="L50" s="1654"/>
      <c r="M50" s="1654"/>
      <c r="N50" s="1654"/>
      <c r="O50" s="1654"/>
      <c r="P50" s="1654"/>
      <c r="Q50" s="1654"/>
      <c r="R50" s="1654"/>
      <c r="S50" s="1654"/>
      <c r="T50" s="1654"/>
      <c r="U50" s="1654"/>
      <c r="V50" s="1655"/>
      <c r="W50" s="40" t="s">
        <v>278</v>
      </c>
    </row>
    <row r="51" spans="1:23" ht="25.5" customHeight="1">
      <c r="A51" s="1668"/>
      <c r="B51" s="1668"/>
      <c r="C51" s="1668"/>
      <c r="D51" s="1668"/>
      <c r="E51" s="1668"/>
      <c r="F51" s="1668"/>
      <c r="G51" s="1668"/>
      <c r="H51" s="1668"/>
      <c r="I51" s="1668"/>
      <c r="J51" s="1668"/>
      <c r="K51" s="1668"/>
      <c r="L51" s="1668"/>
      <c r="M51" s="1668"/>
      <c r="N51" s="1668"/>
      <c r="O51" s="1668"/>
      <c r="P51" s="1668"/>
      <c r="Q51" s="1668"/>
      <c r="R51" s="1668"/>
      <c r="S51" s="1668"/>
      <c r="T51" s="1668"/>
      <c r="U51" s="1668"/>
      <c r="V51" s="1668"/>
      <c r="W51" s="1668"/>
    </row>
    <row r="52" spans="1:23" ht="25.5" customHeight="1">
      <c r="A52" s="1668" t="s">
        <v>291</v>
      </c>
      <c r="B52" s="1668"/>
      <c r="C52" s="1668"/>
      <c r="D52" s="1668"/>
      <c r="E52" s="1668"/>
      <c r="F52" s="1668"/>
      <c r="G52" s="1668"/>
      <c r="H52" s="1668"/>
      <c r="I52" s="1668"/>
      <c r="J52" s="1668"/>
      <c r="K52" s="1668"/>
      <c r="L52" s="1668"/>
      <c r="M52" s="1668"/>
      <c r="N52" s="1668"/>
      <c r="O52" s="1668"/>
      <c r="P52" s="1668"/>
      <c r="Q52" s="1668"/>
      <c r="R52" s="1668"/>
      <c r="S52" s="1668"/>
      <c r="T52" s="1668"/>
      <c r="U52" s="1668"/>
      <c r="V52" s="1668"/>
      <c r="W52" s="1668"/>
    </row>
    <row r="53" spans="1:23" ht="25.5" customHeight="1">
      <c r="A53" s="20" t="s">
        <v>371</v>
      </c>
    </row>
  </sheetData>
  <mergeCells count="91">
    <mergeCell ref="C50:V50"/>
    <mergeCell ref="A51:W51"/>
    <mergeCell ref="A52:W52"/>
    <mergeCell ref="W41:W48"/>
    <mergeCell ref="E42:I42"/>
    <mergeCell ref="K42:R42"/>
    <mergeCell ref="I43:V43"/>
    <mergeCell ref="C44:C46"/>
    <mergeCell ref="E44:I44"/>
    <mergeCell ref="K44:R44"/>
    <mergeCell ref="E45:I45"/>
    <mergeCell ref="K45:R45"/>
    <mergeCell ref="I46:V46"/>
    <mergeCell ref="E48:I48"/>
    <mergeCell ref="C37:V37"/>
    <mergeCell ref="C39:V39"/>
    <mergeCell ref="A41:A48"/>
    <mergeCell ref="B41:B48"/>
    <mergeCell ref="C41:C43"/>
    <mergeCell ref="E41:I41"/>
    <mergeCell ref="K41:R41"/>
    <mergeCell ref="C47:C48"/>
    <mergeCell ref="D47:L47"/>
    <mergeCell ref="J48:V48"/>
    <mergeCell ref="W30:W35"/>
    <mergeCell ref="L31:V31"/>
    <mergeCell ref="C32:K33"/>
    <mergeCell ref="L32:O32"/>
    <mergeCell ref="L33:V33"/>
    <mergeCell ref="C34:K35"/>
    <mergeCell ref="L34:O34"/>
    <mergeCell ref="L35:V35"/>
    <mergeCell ref="C26:V26"/>
    <mergeCell ref="C28:V28"/>
    <mergeCell ref="A30:A35"/>
    <mergeCell ref="B30:B35"/>
    <mergeCell ref="C30:K31"/>
    <mergeCell ref="L30:O30"/>
    <mergeCell ref="A21:A24"/>
    <mergeCell ref="B21:B24"/>
    <mergeCell ref="C21:C22"/>
    <mergeCell ref="D21:V22"/>
    <mergeCell ref="W21:W24"/>
    <mergeCell ref="C23:C24"/>
    <mergeCell ref="D23:V24"/>
    <mergeCell ref="W17:W19"/>
    <mergeCell ref="C18:G18"/>
    <mergeCell ref="H18:L18"/>
    <mergeCell ref="M18:Q18"/>
    <mergeCell ref="R18:V18"/>
    <mergeCell ref="C19:G19"/>
    <mergeCell ref="H19:L19"/>
    <mergeCell ref="M19:V19"/>
    <mergeCell ref="R17:V17"/>
    <mergeCell ref="A17:A19"/>
    <mergeCell ref="B17:B19"/>
    <mergeCell ref="C17:G17"/>
    <mergeCell ref="H17:L17"/>
    <mergeCell ref="M17:Q17"/>
    <mergeCell ref="W10:W12"/>
    <mergeCell ref="C11:K11"/>
    <mergeCell ref="L11:N11"/>
    <mergeCell ref="O11:V11"/>
    <mergeCell ref="C12:K12"/>
    <mergeCell ref="L12:N12"/>
    <mergeCell ref="O12:V12"/>
    <mergeCell ref="A10:A12"/>
    <mergeCell ref="B10:B12"/>
    <mergeCell ref="C10:V10"/>
    <mergeCell ref="A3:A8"/>
    <mergeCell ref="B3:B8"/>
    <mergeCell ref="C3:C5"/>
    <mergeCell ref="E3:I3"/>
    <mergeCell ref="K3:R3"/>
    <mergeCell ref="E6:I6"/>
    <mergeCell ref="K6:R6"/>
    <mergeCell ref="E7:I7"/>
    <mergeCell ref="K7:R7"/>
    <mergeCell ref="M8:V8"/>
    <mergeCell ref="W3:W8"/>
    <mergeCell ref="E4:I4"/>
    <mergeCell ref="K4:R4"/>
    <mergeCell ref="M5:V5"/>
    <mergeCell ref="C6:C8"/>
    <mergeCell ref="W14:W15"/>
    <mergeCell ref="M15:V15"/>
    <mergeCell ref="A14:A15"/>
    <mergeCell ref="B14:B15"/>
    <mergeCell ref="C14:C15"/>
    <mergeCell ref="D14:I14"/>
    <mergeCell ref="K14:V14"/>
  </mergeCells>
  <phoneticPr fontId="1"/>
  <conditionalFormatting sqref="A1:XFD2 A51:XFD1048576 A25:A50 W25:XFD50 A3:B13 W3:XFD13 W16:XFD20 X14:XFD15 A16:B16 A17:A20">
    <cfRule type="expression" dxfId="15" priority="15">
      <formula>A1&lt;#REF!</formula>
    </cfRule>
    <cfRule type="expression" dxfId="14" priority="16">
      <formula>A1&gt;#REF!</formula>
    </cfRule>
  </conditionalFormatting>
  <conditionalFormatting sqref="W21:XFD24 A21:A24">
    <cfRule type="expression" dxfId="13" priority="13">
      <formula>A21&lt;A21</formula>
    </cfRule>
    <cfRule type="expression" dxfId="12" priority="14">
      <formula>A21&gt;A21</formula>
    </cfRule>
  </conditionalFormatting>
  <conditionalFormatting sqref="C3:V13 C25:V47 C49:V50 C48:E48 J48:V48 C16:V20">
    <cfRule type="expression" dxfId="11" priority="11">
      <formula>C3&lt;#REF!</formula>
    </cfRule>
    <cfRule type="expression" dxfId="10" priority="12">
      <formula>C3&gt;#REF!</formula>
    </cfRule>
  </conditionalFormatting>
  <conditionalFormatting sqref="C21:D21 C23:D23">
    <cfRule type="expression" dxfId="9" priority="9">
      <formula>C21&lt;C21</formula>
    </cfRule>
    <cfRule type="expression" dxfId="8" priority="10">
      <formula>C21&gt;C21</formula>
    </cfRule>
  </conditionalFormatting>
  <conditionalFormatting sqref="A14:V15">
    <cfRule type="expression" dxfId="7" priority="7">
      <formula>A14&lt;#REF!</formula>
    </cfRule>
    <cfRule type="expression" dxfId="6" priority="8">
      <formula>A14&gt;#REF!</formula>
    </cfRule>
  </conditionalFormatting>
  <conditionalFormatting sqref="W14:W15">
    <cfRule type="expression" dxfId="5" priority="5">
      <formula>W14&lt;#REF!</formula>
    </cfRule>
    <cfRule type="expression" dxfId="4" priority="6">
      <formula>W14&gt;#REF!</formula>
    </cfRule>
  </conditionalFormatting>
  <conditionalFormatting sqref="B25:B50 B17:B20">
    <cfRule type="expression" dxfId="3" priority="3">
      <formula>B17&lt;#REF!</formula>
    </cfRule>
    <cfRule type="expression" dxfId="2" priority="4">
      <formula>B17&gt;#REF!</formula>
    </cfRule>
  </conditionalFormatting>
  <conditionalFormatting sqref="B21:B24">
    <cfRule type="expression" dxfId="1" priority="1">
      <formula>B21&lt;B21</formula>
    </cfRule>
    <cfRule type="expression" dxfId="0" priority="2">
      <formula>B21&gt;B21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2"/>
  <sheetViews>
    <sheetView view="pageBreakPreview" topLeftCell="A305" zoomScale="85" zoomScaleNormal="100" zoomScaleSheetLayoutView="85" workbookViewId="0">
      <selection activeCell="K315" sqref="K315:K318"/>
    </sheetView>
  </sheetViews>
  <sheetFormatPr defaultRowHeight="13.5"/>
  <cols>
    <col min="1" max="1" width="5.625" style="522" customWidth="1"/>
    <col min="2" max="2" width="7.5" style="522" bestFit="1" customWidth="1"/>
    <col min="3" max="3" width="4.5" style="522" bestFit="1" customWidth="1"/>
    <col min="4" max="4" width="8.375" style="522" customWidth="1"/>
    <col min="5" max="16384" width="9" style="523"/>
  </cols>
  <sheetData>
    <row r="1" spans="1:22" ht="18.75">
      <c r="A1" s="521" t="s">
        <v>850</v>
      </c>
    </row>
    <row r="2" spans="1:22">
      <c r="A2" s="1526" t="s">
        <v>851</v>
      </c>
      <c r="B2" s="1526" t="s">
        <v>852</v>
      </c>
      <c r="C2" s="1526" t="s">
        <v>853</v>
      </c>
      <c r="D2" s="1526" t="s">
        <v>854</v>
      </c>
      <c r="E2" s="1539" t="s">
        <v>855</v>
      </c>
      <c r="F2" s="1540"/>
      <c r="G2" s="1540"/>
      <c r="H2" s="1540"/>
      <c r="I2" s="1540"/>
      <c r="J2" s="1540"/>
      <c r="K2" s="1540"/>
      <c r="L2" s="1540"/>
      <c r="M2" s="1540"/>
      <c r="N2" s="1540"/>
      <c r="O2" s="1540"/>
      <c r="P2" s="1540"/>
      <c r="Q2" s="1540"/>
      <c r="R2" s="1540"/>
      <c r="S2" s="1540"/>
      <c r="T2" s="1540"/>
      <c r="U2" s="1540"/>
      <c r="V2" s="1541"/>
    </row>
    <row r="3" spans="1:22">
      <c r="A3" s="1526"/>
      <c r="B3" s="1526"/>
      <c r="C3" s="1526"/>
      <c r="D3" s="1526"/>
      <c r="E3" s="1718" t="s">
        <v>856</v>
      </c>
      <c r="F3" s="1715" t="s">
        <v>857</v>
      </c>
      <c r="G3" s="1715" t="s">
        <v>858</v>
      </c>
      <c r="H3" s="1715" t="s">
        <v>859</v>
      </c>
      <c r="I3" s="1715" t="s">
        <v>860</v>
      </c>
      <c r="J3" s="1715" t="s">
        <v>861</v>
      </c>
      <c r="K3" s="1715" t="s">
        <v>862</v>
      </c>
      <c r="L3" s="1715" t="s">
        <v>863</v>
      </c>
      <c r="M3" s="1715" t="s">
        <v>864</v>
      </c>
      <c r="N3" s="1715" t="s">
        <v>865</v>
      </c>
      <c r="O3" s="1715" t="s">
        <v>866</v>
      </c>
      <c r="P3" s="1715" t="s">
        <v>867</v>
      </c>
      <c r="Q3" s="1715" t="s">
        <v>868</v>
      </c>
      <c r="R3" s="1715" t="s">
        <v>869</v>
      </c>
      <c r="S3" s="1715" t="s">
        <v>870</v>
      </c>
      <c r="T3" s="1715" t="s">
        <v>871</v>
      </c>
      <c r="U3" s="1715" t="s">
        <v>872</v>
      </c>
      <c r="V3" s="1712" t="s">
        <v>873</v>
      </c>
    </row>
    <row r="4" spans="1:22">
      <c r="A4" s="1526"/>
      <c r="B4" s="1526"/>
      <c r="C4" s="1526"/>
      <c r="D4" s="1526"/>
      <c r="E4" s="1719"/>
      <c r="F4" s="1716"/>
      <c r="G4" s="1716"/>
      <c r="H4" s="1716"/>
      <c r="I4" s="1716"/>
      <c r="J4" s="1716"/>
      <c r="K4" s="1716"/>
      <c r="L4" s="1716"/>
      <c r="M4" s="1716"/>
      <c r="N4" s="1716"/>
      <c r="O4" s="1716"/>
      <c r="P4" s="1716"/>
      <c r="Q4" s="1716"/>
      <c r="R4" s="1716"/>
      <c r="S4" s="1716"/>
      <c r="T4" s="1716"/>
      <c r="U4" s="1716"/>
      <c r="V4" s="1713"/>
    </row>
    <row r="5" spans="1:22">
      <c r="A5" s="1524"/>
      <c r="B5" s="1524"/>
      <c r="C5" s="1524"/>
      <c r="D5" s="1524"/>
      <c r="E5" s="1720"/>
      <c r="F5" s="1717"/>
      <c r="G5" s="1717"/>
      <c r="H5" s="1717"/>
      <c r="I5" s="1717"/>
      <c r="J5" s="1717"/>
      <c r="K5" s="1717"/>
      <c r="L5" s="1717"/>
      <c r="M5" s="1717"/>
      <c r="N5" s="1717"/>
      <c r="O5" s="1717"/>
      <c r="P5" s="1717"/>
      <c r="Q5" s="1717"/>
      <c r="R5" s="1717"/>
      <c r="S5" s="1717"/>
      <c r="T5" s="1717"/>
      <c r="U5" s="1717"/>
      <c r="V5" s="1714"/>
    </row>
    <row r="6" spans="1:22" ht="3" customHeight="1">
      <c r="A6" s="524"/>
      <c r="B6" s="525"/>
      <c r="C6" s="525"/>
      <c r="D6" s="525"/>
    </row>
    <row r="7" spans="1:22">
      <c r="A7" s="1524" t="s">
        <v>178</v>
      </c>
      <c r="B7" s="1688" t="s">
        <v>874</v>
      </c>
      <c r="C7" s="1524" t="s">
        <v>875</v>
      </c>
      <c r="D7" s="526" t="s">
        <v>876</v>
      </c>
      <c r="E7" s="1690"/>
      <c r="F7" s="1699">
        <v>0.61</v>
      </c>
      <c r="G7" s="1699">
        <v>0.4819</v>
      </c>
      <c r="H7" s="1699">
        <v>0.41925299999999999</v>
      </c>
      <c r="I7" s="1699">
        <v>0.40248287999999999</v>
      </c>
      <c r="J7" s="1699">
        <v>0.3702842496</v>
      </c>
      <c r="K7" s="1699">
        <v>0.34806719462399999</v>
      </c>
      <c r="L7" s="1699">
        <v>0.33066383489279999</v>
      </c>
      <c r="M7" s="1699">
        <v>0.317437281497088</v>
      </c>
      <c r="N7" s="1699">
        <v>0.29521667179229183</v>
      </c>
      <c r="O7" s="1699">
        <v>0.28931233835644599</v>
      </c>
      <c r="P7" s="1699">
        <v>0.28352609158931708</v>
      </c>
      <c r="Q7" s="1699">
        <v>0.27785556975753073</v>
      </c>
      <c r="R7" s="1699">
        <v>0.27507701405995544</v>
      </c>
      <c r="S7" s="1699">
        <v>0.27232624391935589</v>
      </c>
      <c r="T7" s="1699">
        <v>0.26960298148016232</v>
      </c>
      <c r="U7" s="1694">
        <v>0.26690695166536071</v>
      </c>
      <c r="V7" s="1685">
        <v>0.26423788214870708</v>
      </c>
    </row>
    <row r="8" spans="1:22">
      <c r="A8" s="1532"/>
      <c r="B8" s="1689"/>
      <c r="C8" s="1711"/>
      <c r="D8" s="527" t="s">
        <v>877</v>
      </c>
      <c r="E8" s="1691"/>
      <c r="F8" s="1700"/>
      <c r="G8" s="1700"/>
      <c r="H8" s="1700"/>
      <c r="I8" s="1700"/>
      <c r="J8" s="1700"/>
      <c r="K8" s="1700"/>
      <c r="L8" s="1700"/>
      <c r="M8" s="1700"/>
      <c r="N8" s="1700"/>
      <c r="O8" s="1700"/>
      <c r="P8" s="1700"/>
      <c r="Q8" s="1700"/>
      <c r="R8" s="1700"/>
      <c r="S8" s="1700"/>
      <c r="T8" s="1700"/>
      <c r="U8" s="1695"/>
      <c r="V8" s="1686"/>
    </row>
    <row r="9" spans="1:22">
      <c r="A9" s="1532"/>
      <c r="B9" s="1689"/>
      <c r="C9" s="1709" t="s">
        <v>878</v>
      </c>
      <c r="D9" s="527" t="s">
        <v>879</v>
      </c>
      <c r="E9" s="1691"/>
      <c r="F9" s="1700"/>
      <c r="G9" s="1700"/>
      <c r="H9" s="1700"/>
      <c r="I9" s="1700"/>
      <c r="J9" s="1700"/>
      <c r="K9" s="1700"/>
      <c r="L9" s="1700"/>
      <c r="M9" s="1700"/>
      <c r="N9" s="1700"/>
      <c r="O9" s="1700"/>
      <c r="P9" s="1700"/>
      <c r="Q9" s="1700"/>
      <c r="R9" s="1700"/>
      <c r="S9" s="1700"/>
      <c r="T9" s="1700"/>
      <c r="U9" s="1695"/>
      <c r="V9" s="1686"/>
    </row>
    <row r="10" spans="1:22">
      <c r="A10" s="1532"/>
      <c r="B10" s="1689"/>
      <c r="C10" s="1710"/>
      <c r="D10" s="528" t="s">
        <v>880</v>
      </c>
      <c r="E10" s="1692"/>
      <c r="F10" s="1701"/>
      <c r="G10" s="1701"/>
      <c r="H10" s="1701"/>
      <c r="I10" s="1701"/>
      <c r="J10" s="1701"/>
      <c r="K10" s="1701"/>
      <c r="L10" s="1701"/>
      <c r="M10" s="1701"/>
      <c r="N10" s="1701"/>
      <c r="O10" s="1701"/>
      <c r="P10" s="1701"/>
      <c r="Q10" s="1701"/>
      <c r="R10" s="1701"/>
      <c r="S10" s="1701"/>
      <c r="T10" s="1701"/>
      <c r="U10" s="1696"/>
      <c r="V10" s="1687"/>
    </row>
    <row r="11" spans="1:22">
      <c r="A11" s="1532"/>
      <c r="B11" s="1688" t="s">
        <v>857</v>
      </c>
      <c r="C11" s="1524" t="s">
        <v>875</v>
      </c>
      <c r="D11" s="526" t="s">
        <v>876</v>
      </c>
      <c r="E11" s="1698"/>
      <c r="F11" s="1693"/>
      <c r="G11" s="1699">
        <v>0.79</v>
      </c>
      <c r="H11" s="1699">
        <v>0.68730000000000002</v>
      </c>
      <c r="I11" s="1699">
        <v>0.65980799999999995</v>
      </c>
      <c r="J11" s="1699">
        <v>0.60702336000000001</v>
      </c>
      <c r="K11" s="1699">
        <v>0.57060195839999994</v>
      </c>
      <c r="L11" s="1699">
        <v>0.54207186047999989</v>
      </c>
      <c r="M11" s="1699">
        <v>0.52038898606079986</v>
      </c>
      <c r="N11" s="1699">
        <v>0.48396175703654387</v>
      </c>
      <c r="O11" s="1699">
        <v>0.47428252189581299</v>
      </c>
      <c r="P11" s="1699">
        <v>0.46479687145789672</v>
      </c>
      <c r="Q11" s="1699">
        <v>0.45550093402873876</v>
      </c>
      <c r="R11" s="1699">
        <v>0.45094592468845135</v>
      </c>
      <c r="S11" s="1699">
        <v>0.44643646544156684</v>
      </c>
      <c r="T11" s="1699">
        <v>0.44197210078715116</v>
      </c>
      <c r="U11" s="1694">
        <v>0.43755237977927963</v>
      </c>
      <c r="V11" s="1685">
        <v>0.43317685598148681</v>
      </c>
    </row>
    <row r="12" spans="1:22">
      <c r="A12" s="1532"/>
      <c r="B12" s="1689"/>
      <c r="C12" s="1711"/>
      <c r="D12" s="527" t="s">
        <v>877</v>
      </c>
      <c r="E12" s="1698"/>
      <c r="F12" s="1693"/>
      <c r="G12" s="1700"/>
      <c r="H12" s="1700"/>
      <c r="I12" s="1700"/>
      <c r="J12" s="1700"/>
      <c r="K12" s="1700"/>
      <c r="L12" s="1700"/>
      <c r="M12" s="1700"/>
      <c r="N12" s="1700"/>
      <c r="O12" s="1700"/>
      <c r="P12" s="1700"/>
      <c r="Q12" s="1700"/>
      <c r="R12" s="1700"/>
      <c r="S12" s="1700"/>
      <c r="T12" s="1700"/>
      <c r="U12" s="1695"/>
      <c r="V12" s="1686"/>
    </row>
    <row r="13" spans="1:22">
      <c r="A13" s="1532"/>
      <c r="B13" s="1689"/>
      <c r="C13" s="1709" t="s">
        <v>878</v>
      </c>
      <c r="D13" s="527" t="s">
        <v>879</v>
      </c>
      <c r="E13" s="1698"/>
      <c r="F13" s="1693"/>
      <c r="G13" s="1700"/>
      <c r="H13" s="1700"/>
      <c r="I13" s="1700"/>
      <c r="J13" s="1700"/>
      <c r="K13" s="1700"/>
      <c r="L13" s="1700"/>
      <c r="M13" s="1700"/>
      <c r="N13" s="1700"/>
      <c r="O13" s="1700"/>
      <c r="P13" s="1700"/>
      <c r="Q13" s="1700"/>
      <c r="R13" s="1700"/>
      <c r="S13" s="1700"/>
      <c r="T13" s="1700"/>
      <c r="U13" s="1695"/>
      <c r="V13" s="1686"/>
    </row>
    <row r="14" spans="1:22">
      <c r="A14" s="1532"/>
      <c r="B14" s="1689"/>
      <c r="C14" s="1710"/>
      <c r="D14" s="528" t="s">
        <v>880</v>
      </c>
      <c r="E14" s="1698"/>
      <c r="F14" s="1693"/>
      <c r="G14" s="1701"/>
      <c r="H14" s="1701"/>
      <c r="I14" s="1701"/>
      <c r="J14" s="1701"/>
      <c r="K14" s="1701"/>
      <c r="L14" s="1701"/>
      <c r="M14" s="1701"/>
      <c r="N14" s="1701"/>
      <c r="O14" s="1701"/>
      <c r="P14" s="1701"/>
      <c r="Q14" s="1701"/>
      <c r="R14" s="1701"/>
      <c r="S14" s="1701"/>
      <c r="T14" s="1701"/>
      <c r="U14" s="1696"/>
      <c r="V14" s="1687"/>
    </row>
    <row r="15" spans="1:22">
      <c r="A15" s="1532"/>
      <c r="B15" s="1688" t="s">
        <v>858</v>
      </c>
      <c r="C15" s="1530" t="s">
        <v>875</v>
      </c>
      <c r="D15" s="526" t="s">
        <v>876</v>
      </c>
      <c r="E15" s="1698"/>
      <c r="F15" s="1693"/>
      <c r="G15" s="1693"/>
      <c r="H15" s="1699">
        <v>0.87</v>
      </c>
      <c r="I15" s="1699">
        <v>0.83519999999999994</v>
      </c>
      <c r="J15" s="1699">
        <v>0.76838399999999996</v>
      </c>
      <c r="K15" s="1699">
        <v>0.72228095999999997</v>
      </c>
      <c r="L15" s="1699">
        <v>0.68616691199999991</v>
      </c>
      <c r="M15" s="1699">
        <v>0.65872023551999992</v>
      </c>
      <c r="N15" s="1699">
        <v>0.61260981903360001</v>
      </c>
      <c r="O15" s="1699">
        <v>0.60035762265292802</v>
      </c>
      <c r="P15" s="1699">
        <v>0.58835047019986941</v>
      </c>
      <c r="Q15" s="1699">
        <v>0.57658346079587197</v>
      </c>
      <c r="R15" s="1699">
        <v>0.57081762618791321</v>
      </c>
      <c r="S15" s="1699">
        <v>0.56510944992603407</v>
      </c>
      <c r="T15" s="1699">
        <v>0.55945835542677369</v>
      </c>
      <c r="U15" s="1694">
        <v>0.55386377187250591</v>
      </c>
      <c r="V15" s="1685">
        <v>0.54832513415378081</v>
      </c>
    </row>
    <row r="16" spans="1:22">
      <c r="A16" s="1532"/>
      <c r="B16" s="1689"/>
      <c r="C16" s="1531"/>
      <c r="D16" s="527" t="s">
        <v>877</v>
      </c>
      <c r="E16" s="1698"/>
      <c r="F16" s="1693"/>
      <c r="G16" s="1693"/>
      <c r="H16" s="1700"/>
      <c r="I16" s="1700"/>
      <c r="J16" s="1700"/>
      <c r="K16" s="1700"/>
      <c r="L16" s="1700"/>
      <c r="M16" s="1700"/>
      <c r="N16" s="1700"/>
      <c r="O16" s="1700"/>
      <c r="P16" s="1700"/>
      <c r="Q16" s="1700"/>
      <c r="R16" s="1700"/>
      <c r="S16" s="1700"/>
      <c r="T16" s="1700"/>
      <c r="U16" s="1695"/>
      <c r="V16" s="1686"/>
    </row>
    <row r="17" spans="1:22">
      <c r="A17" s="1532"/>
      <c r="B17" s="1689"/>
      <c r="C17" s="1674" t="s">
        <v>878</v>
      </c>
      <c r="D17" s="527" t="s">
        <v>879</v>
      </c>
      <c r="E17" s="1698"/>
      <c r="F17" s="1693"/>
      <c r="G17" s="1693"/>
      <c r="H17" s="1700"/>
      <c r="I17" s="1700"/>
      <c r="J17" s="1700"/>
      <c r="K17" s="1700"/>
      <c r="L17" s="1700"/>
      <c r="M17" s="1700"/>
      <c r="N17" s="1700"/>
      <c r="O17" s="1700"/>
      <c r="P17" s="1700"/>
      <c r="Q17" s="1700"/>
      <c r="R17" s="1700"/>
      <c r="S17" s="1700"/>
      <c r="T17" s="1700"/>
      <c r="U17" s="1695"/>
      <c r="V17" s="1686"/>
    </row>
    <row r="18" spans="1:22">
      <c r="A18" s="1532"/>
      <c r="B18" s="1689"/>
      <c r="C18" s="1675"/>
      <c r="D18" s="528" t="s">
        <v>880</v>
      </c>
      <c r="E18" s="1698"/>
      <c r="F18" s="1693"/>
      <c r="G18" s="1693"/>
      <c r="H18" s="1701"/>
      <c r="I18" s="1701"/>
      <c r="J18" s="1701"/>
      <c r="K18" s="1701"/>
      <c r="L18" s="1701"/>
      <c r="M18" s="1701"/>
      <c r="N18" s="1701"/>
      <c r="O18" s="1701"/>
      <c r="P18" s="1701"/>
      <c r="Q18" s="1701"/>
      <c r="R18" s="1701"/>
      <c r="S18" s="1701"/>
      <c r="T18" s="1701"/>
      <c r="U18" s="1696"/>
      <c r="V18" s="1687"/>
    </row>
    <row r="19" spans="1:22">
      <c r="A19" s="1532"/>
      <c r="B19" s="1688" t="s">
        <v>859</v>
      </c>
      <c r="C19" s="1530" t="s">
        <v>875</v>
      </c>
      <c r="D19" s="526" t="s">
        <v>876</v>
      </c>
      <c r="E19" s="1698"/>
      <c r="F19" s="1693"/>
      <c r="G19" s="1693"/>
      <c r="H19" s="1693"/>
      <c r="I19" s="1699">
        <v>0.96</v>
      </c>
      <c r="J19" s="1699">
        <v>0.88319999999999999</v>
      </c>
      <c r="K19" s="1699">
        <v>0.83020799999999995</v>
      </c>
      <c r="L19" s="1699">
        <v>0.78869759999999989</v>
      </c>
      <c r="M19" s="1699">
        <v>0.75714969599999982</v>
      </c>
      <c r="N19" s="1699">
        <v>0.70414921727999991</v>
      </c>
      <c r="O19" s="1699">
        <v>0.69006623293439995</v>
      </c>
      <c r="P19" s="1699">
        <v>0.67626490827571195</v>
      </c>
      <c r="Q19" s="1699">
        <v>0.66273961011019766</v>
      </c>
      <c r="R19" s="1699">
        <v>0.6561122140090957</v>
      </c>
      <c r="S19" s="1699">
        <v>0.64955109186900473</v>
      </c>
      <c r="T19" s="1699">
        <v>0.64305558095031468</v>
      </c>
      <c r="U19" s="1694">
        <v>0.63662502514081154</v>
      </c>
      <c r="V19" s="1685">
        <v>0.63025877488940341</v>
      </c>
    </row>
    <row r="20" spans="1:22">
      <c r="A20" s="1532"/>
      <c r="B20" s="1689"/>
      <c r="C20" s="1531"/>
      <c r="D20" s="527" t="s">
        <v>877</v>
      </c>
      <c r="E20" s="1698"/>
      <c r="F20" s="1693"/>
      <c r="G20" s="1693"/>
      <c r="H20" s="1693"/>
      <c r="I20" s="1700"/>
      <c r="J20" s="1700"/>
      <c r="K20" s="1700"/>
      <c r="L20" s="1700"/>
      <c r="M20" s="1700"/>
      <c r="N20" s="1700"/>
      <c r="O20" s="1700"/>
      <c r="P20" s="1700"/>
      <c r="Q20" s="1700"/>
      <c r="R20" s="1700"/>
      <c r="S20" s="1700"/>
      <c r="T20" s="1700"/>
      <c r="U20" s="1695"/>
      <c r="V20" s="1686"/>
    </row>
    <row r="21" spans="1:22">
      <c r="A21" s="1532"/>
      <c r="B21" s="1689"/>
      <c r="C21" s="1674" t="s">
        <v>878</v>
      </c>
      <c r="D21" s="527" t="s">
        <v>879</v>
      </c>
      <c r="E21" s="1698"/>
      <c r="F21" s="1693"/>
      <c r="G21" s="1693"/>
      <c r="H21" s="1693"/>
      <c r="I21" s="1700"/>
      <c r="J21" s="1700"/>
      <c r="K21" s="1700"/>
      <c r="L21" s="1700"/>
      <c r="M21" s="1700"/>
      <c r="N21" s="1700"/>
      <c r="O21" s="1700"/>
      <c r="P21" s="1700"/>
      <c r="Q21" s="1700"/>
      <c r="R21" s="1700"/>
      <c r="S21" s="1700"/>
      <c r="T21" s="1700"/>
      <c r="U21" s="1695"/>
      <c r="V21" s="1686"/>
    </row>
    <row r="22" spans="1:22">
      <c r="A22" s="1532"/>
      <c r="B22" s="1689"/>
      <c r="C22" s="1675"/>
      <c r="D22" s="528" t="s">
        <v>880</v>
      </c>
      <c r="E22" s="1698"/>
      <c r="F22" s="1693"/>
      <c r="G22" s="1693"/>
      <c r="H22" s="1693"/>
      <c r="I22" s="1701"/>
      <c r="J22" s="1701"/>
      <c r="K22" s="1701"/>
      <c r="L22" s="1701"/>
      <c r="M22" s="1701"/>
      <c r="N22" s="1701"/>
      <c r="O22" s="1701"/>
      <c r="P22" s="1701"/>
      <c r="Q22" s="1701"/>
      <c r="R22" s="1701"/>
      <c r="S22" s="1701"/>
      <c r="T22" s="1701"/>
      <c r="U22" s="1696"/>
      <c r="V22" s="1687"/>
    </row>
    <row r="23" spans="1:22">
      <c r="A23" s="1532"/>
      <c r="B23" s="1697" t="s">
        <v>860</v>
      </c>
      <c r="C23" s="1530" t="s">
        <v>875</v>
      </c>
      <c r="D23" s="526" t="s">
        <v>876</v>
      </c>
      <c r="E23" s="1698"/>
      <c r="F23" s="1693"/>
      <c r="G23" s="1693"/>
      <c r="H23" s="1693"/>
      <c r="I23" s="1693"/>
      <c r="J23" s="1699">
        <v>0.92</v>
      </c>
      <c r="K23" s="1699">
        <v>0.86480000000000001</v>
      </c>
      <c r="L23" s="1699">
        <v>0.82155999999999996</v>
      </c>
      <c r="M23" s="1699">
        <v>0.78869759999999989</v>
      </c>
      <c r="N23" s="1699">
        <v>0.73348876799999996</v>
      </c>
      <c r="O23" s="1699">
        <v>0.71881899263999993</v>
      </c>
      <c r="P23" s="1699">
        <v>0.70444261278719988</v>
      </c>
      <c r="Q23" s="1699">
        <v>0.69035376053145592</v>
      </c>
      <c r="R23" s="1699">
        <v>0.68345022292614133</v>
      </c>
      <c r="S23" s="1699">
        <v>0.67661572069687992</v>
      </c>
      <c r="T23" s="1699">
        <v>0.66984956348991109</v>
      </c>
      <c r="U23" s="1694">
        <v>0.66315106785501199</v>
      </c>
      <c r="V23" s="1685">
        <v>0.65651955717646182</v>
      </c>
    </row>
    <row r="24" spans="1:22">
      <c r="A24" s="1532"/>
      <c r="B24" s="1689"/>
      <c r="C24" s="1531"/>
      <c r="D24" s="527" t="s">
        <v>877</v>
      </c>
      <c r="E24" s="1698"/>
      <c r="F24" s="1693"/>
      <c r="G24" s="1693"/>
      <c r="H24" s="1693"/>
      <c r="I24" s="1693"/>
      <c r="J24" s="1700"/>
      <c r="K24" s="1700"/>
      <c r="L24" s="1700"/>
      <c r="M24" s="1700"/>
      <c r="N24" s="1700"/>
      <c r="O24" s="1700"/>
      <c r="P24" s="1700"/>
      <c r="Q24" s="1700"/>
      <c r="R24" s="1700"/>
      <c r="S24" s="1700"/>
      <c r="T24" s="1700"/>
      <c r="U24" s="1695"/>
      <c r="V24" s="1686"/>
    </row>
    <row r="25" spans="1:22">
      <c r="A25" s="1532"/>
      <c r="B25" s="1689"/>
      <c r="C25" s="1674" t="s">
        <v>878</v>
      </c>
      <c r="D25" s="527" t="s">
        <v>879</v>
      </c>
      <c r="E25" s="1698"/>
      <c r="F25" s="1693"/>
      <c r="G25" s="1693"/>
      <c r="H25" s="1693"/>
      <c r="I25" s="1693"/>
      <c r="J25" s="1700"/>
      <c r="K25" s="1700"/>
      <c r="L25" s="1700"/>
      <c r="M25" s="1700"/>
      <c r="N25" s="1700"/>
      <c r="O25" s="1700"/>
      <c r="P25" s="1700"/>
      <c r="Q25" s="1700"/>
      <c r="R25" s="1700"/>
      <c r="S25" s="1700"/>
      <c r="T25" s="1700"/>
      <c r="U25" s="1695"/>
      <c r="V25" s="1686"/>
    </row>
    <row r="26" spans="1:22">
      <c r="A26" s="1532"/>
      <c r="B26" s="1689"/>
      <c r="C26" s="1675"/>
      <c r="D26" s="528" t="s">
        <v>880</v>
      </c>
      <c r="E26" s="1698"/>
      <c r="F26" s="1693"/>
      <c r="G26" s="1693"/>
      <c r="H26" s="1693"/>
      <c r="I26" s="1693"/>
      <c r="J26" s="1701"/>
      <c r="K26" s="1701"/>
      <c r="L26" s="1701"/>
      <c r="M26" s="1701"/>
      <c r="N26" s="1701"/>
      <c r="O26" s="1701"/>
      <c r="P26" s="1701"/>
      <c r="Q26" s="1701"/>
      <c r="R26" s="1701"/>
      <c r="S26" s="1701"/>
      <c r="T26" s="1701"/>
      <c r="U26" s="1696"/>
      <c r="V26" s="1687"/>
    </row>
    <row r="27" spans="1:22">
      <c r="A27" s="1532"/>
      <c r="B27" s="1702" t="s">
        <v>861</v>
      </c>
      <c r="C27" s="1530" t="s">
        <v>875</v>
      </c>
      <c r="D27" s="526" t="s">
        <v>876</v>
      </c>
      <c r="E27" s="1698"/>
      <c r="F27" s="1693"/>
      <c r="G27" s="1693"/>
      <c r="H27" s="1693"/>
      <c r="I27" s="1693"/>
      <c r="J27" s="1693"/>
      <c r="K27" s="1699">
        <v>0.94</v>
      </c>
      <c r="L27" s="1699">
        <v>0.8929999999999999</v>
      </c>
      <c r="M27" s="1699">
        <v>0.85727999999999993</v>
      </c>
      <c r="N27" s="1699">
        <v>0.79727039999999993</v>
      </c>
      <c r="O27" s="1699">
        <v>0.78132499199999994</v>
      </c>
      <c r="P27" s="1699">
        <v>0.76569849215999997</v>
      </c>
      <c r="Q27" s="1699">
        <v>0.75038452231679997</v>
      </c>
      <c r="R27" s="1699">
        <v>0.74288067709363192</v>
      </c>
      <c r="S27" s="1699">
        <v>0.73545187032269554</v>
      </c>
      <c r="T27" s="1699">
        <v>0.72809735161946854</v>
      </c>
      <c r="U27" s="1694">
        <v>0.72081637810327381</v>
      </c>
      <c r="V27" s="1685">
        <v>0.71360821432224109</v>
      </c>
    </row>
    <row r="28" spans="1:22">
      <c r="A28" s="1532"/>
      <c r="B28" s="1704"/>
      <c r="C28" s="1531"/>
      <c r="D28" s="527" t="s">
        <v>877</v>
      </c>
      <c r="E28" s="1698"/>
      <c r="F28" s="1693"/>
      <c r="G28" s="1693"/>
      <c r="H28" s="1693"/>
      <c r="I28" s="1693"/>
      <c r="J28" s="1693"/>
      <c r="K28" s="1700"/>
      <c r="L28" s="1700"/>
      <c r="M28" s="1700"/>
      <c r="N28" s="1700"/>
      <c r="O28" s="1700"/>
      <c r="P28" s="1700"/>
      <c r="Q28" s="1700"/>
      <c r="R28" s="1700"/>
      <c r="S28" s="1700"/>
      <c r="T28" s="1700"/>
      <c r="U28" s="1695"/>
      <c r="V28" s="1686"/>
    </row>
    <row r="29" spans="1:22">
      <c r="A29" s="1532"/>
      <c r="B29" s="1704"/>
      <c r="C29" s="1674" t="s">
        <v>878</v>
      </c>
      <c r="D29" s="527" t="s">
        <v>879</v>
      </c>
      <c r="E29" s="1698"/>
      <c r="F29" s="1693"/>
      <c r="G29" s="1693"/>
      <c r="H29" s="1693"/>
      <c r="I29" s="1693"/>
      <c r="J29" s="1693"/>
      <c r="K29" s="1700"/>
      <c r="L29" s="1700"/>
      <c r="M29" s="1700"/>
      <c r="N29" s="1700"/>
      <c r="O29" s="1700"/>
      <c r="P29" s="1700"/>
      <c r="Q29" s="1700"/>
      <c r="R29" s="1700"/>
      <c r="S29" s="1700"/>
      <c r="T29" s="1700"/>
      <c r="U29" s="1695"/>
      <c r="V29" s="1686"/>
    </row>
    <row r="30" spans="1:22">
      <c r="A30" s="1532"/>
      <c r="B30" s="1704"/>
      <c r="C30" s="1675"/>
      <c r="D30" s="528" t="s">
        <v>880</v>
      </c>
      <c r="E30" s="1698"/>
      <c r="F30" s="1693"/>
      <c r="G30" s="1693"/>
      <c r="H30" s="1693"/>
      <c r="I30" s="1693"/>
      <c r="J30" s="1693"/>
      <c r="K30" s="1701"/>
      <c r="L30" s="1701"/>
      <c r="M30" s="1701"/>
      <c r="N30" s="1701"/>
      <c r="O30" s="1701"/>
      <c r="P30" s="1701"/>
      <c r="Q30" s="1701"/>
      <c r="R30" s="1701"/>
      <c r="S30" s="1701"/>
      <c r="T30" s="1701"/>
      <c r="U30" s="1696"/>
      <c r="V30" s="1687"/>
    </row>
    <row r="31" spans="1:22">
      <c r="A31" s="1532"/>
      <c r="B31" s="1697" t="s">
        <v>862</v>
      </c>
      <c r="C31" s="1530" t="s">
        <v>875</v>
      </c>
      <c r="D31" s="526" t="s">
        <v>876</v>
      </c>
      <c r="E31" s="1698"/>
      <c r="F31" s="1693"/>
      <c r="G31" s="1693"/>
      <c r="H31" s="1693"/>
      <c r="I31" s="1693"/>
      <c r="J31" s="1693"/>
      <c r="K31" s="1693"/>
      <c r="L31" s="1699">
        <v>0.95</v>
      </c>
      <c r="M31" s="1699">
        <v>0.91199999999999992</v>
      </c>
      <c r="N31" s="1699">
        <v>0.84816000000000003</v>
      </c>
      <c r="O31" s="1699">
        <v>0.83119679999999996</v>
      </c>
      <c r="P31" s="1699">
        <v>0.81457286399999995</v>
      </c>
      <c r="Q31" s="1699">
        <v>0.79828140671999992</v>
      </c>
      <c r="R31" s="1699">
        <v>0.79029859265279989</v>
      </c>
      <c r="S31" s="1699">
        <v>0.78239560672627184</v>
      </c>
      <c r="T31" s="1699">
        <v>0.77457165065900913</v>
      </c>
      <c r="U31" s="1694">
        <v>0.76682593415241906</v>
      </c>
      <c r="V31" s="1685">
        <v>0.75915767481089491</v>
      </c>
    </row>
    <row r="32" spans="1:22">
      <c r="A32" s="1532"/>
      <c r="B32" s="1689"/>
      <c r="C32" s="1531"/>
      <c r="D32" s="527" t="s">
        <v>877</v>
      </c>
      <c r="E32" s="1698"/>
      <c r="F32" s="1693"/>
      <c r="G32" s="1693"/>
      <c r="H32" s="1693"/>
      <c r="I32" s="1693"/>
      <c r="J32" s="1693"/>
      <c r="K32" s="1693"/>
      <c r="L32" s="1700"/>
      <c r="M32" s="1700"/>
      <c r="N32" s="1700"/>
      <c r="O32" s="1700"/>
      <c r="P32" s="1700"/>
      <c r="Q32" s="1700"/>
      <c r="R32" s="1700"/>
      <c r="S32" s="1700"/>
      <c r="T32" s="1700"/>
      <c r="U32" s="1695"/>
      <c r="V32" s="1686"/>
    </row>
    <row r="33" spans="1:22">
      <c r="A33" s="1532"/>
      <c r="B33" s="1689"/>
      <c r="C33" s="1674" t="s">
        <v>878</v>
      </c>
      <c r="D33" s="527" t="s">
        <v>879</v>
      </c>
      <c r="E33" s="1698"/>
      <c r="F33" s="1693"/>
      <c r="G33" s="1693"/>
      <c r="H33" s="1693"/>
      <c r="I33" s="1693"/>
      <c r="J33" s="1693"/>
      <c r="K33" s="1693"/>
      <c r="L33" s="1700"/>
      <c r="M33" s="1700"/>
      <c r="N33" s="1700"/>
      <c r="O33" s="1700"/>
      <c r="P33" s="1700"/>
      <c r="Q33" s="1700"/>
      <c r="R33" s="1700"/>
      <c r="S33" s="1700"/>
      <c r="T33" s="1700"/>
      <c r="U33" s="1695"/>
      <c r="V33" s="1686"/>
    </row>
    <row r="34" spans="1:22">
      <c r="A34" s="1532"/>
      <c r="B34" s="1689"/>
      <c r="C34" s="1675"/>
      <c r="D34" s="528" t="s">
        <v>880</v>
      </c>
      <c r="E34" s="1698"/>
      <c r="F34" s="1693"/>
      <c r="G34" s="1693"/>
      <c r="H34" s="1693"/>
      <c r="I34" s="1693"/>
      <c r="J34" s="1693"/>
      <c r="K34" s="1693"/>
      <c r="L34" s="1701"/>
      <c r="M34" s="1701"/>
      <c r="N34" s="1701"/>
      <c r="O34" s="1701"/>
      <c r="P34" s="1701"/>
      <c r="Q34" s="1701"/>
      <c r="R34" s="1701"/>
      <c r="S34" s="1701"/>
      <c r="T34" s="1701"/>
      <c r="U34" s="1696"/>
      <c r="V34" s="1687"/>
    </row>
    <row r="35" spans="1:22">
      <c r="A35" s="1532"/>
      <c r="B35" s="1702" t="s">
        <v>863</v>
      </c>
      <c r="C35" s="1530" t="s">
        <v>875</v>
      </c>
      <c r="D35" s="526" t="s">
        <v>876</v>
      </c>
      <c r="E35" s="1698"/>
      <c r="F35" s="1693"/>
      <c r="G35" s="1693"/>
      <c r="H35" s="1693"/>
      <c r="I35" s="1693"/>
      <c r="J35" s="1693"/>
      <c r="K35" s="1693"/>
      <c r="L35" s="1693"/>
      <c r="M35" s="1699">
        <v>0.96</v>
      </c>
      <c r="N35" s="1699">
        <v>0.89280000000000004</v>
      </c>
      <c r="O35" s="1699">
        <v>0.87494400000000006</v>
      </c>
      <c r="P35" s="1699">
        <v>0.85744512000000006</v>
      </c>
      <c r="Q35" s="1699">
        <v>0.84029621760000006</v>
      </c>
      <c r="R35" s="1699">
        <v>0.83189325542400006</v>
      </c>
      <c r="S35" s="1699">
        <v>0.82357432286976007</v>
      </c>
      <c r="T35" s="1699">
        <v>0.81533857964106249</v>
      </c>
      <c r="U35" s="1694">
        <v>0.80718519384465182</v>
      </c>
      <c r="V35" s="1685">
        <v>0.79911334190620531</v>
      </c>
    </row>
    <row r="36" spans="1:22">
      <c r="A36" s="1532"/>
      <c r="B36" s="1703"/>
      <c r="C36" s="1531"/>
      <c r="D36" s="527" t="s">
        <v>877</v>
      </c>
      <c r="E36" s="1698"/>
      <c r="F36" s="1693"/>
      <c r="G36" s="1693"/>
      <c r="H36" s="1693"/>
      <c r="I36" s="1693"/>
      <c r="J36" s="1693"/>
      <c r="K36" s="1693"/>
      <c r="L36" s="1693"/>
      <c r="M36" s="1700"/>
      <c r="N36" s="1700"/>
      <c r="O36" s="1700"/>
      <c r="P36" s="1700"/>
      <c r="Q36" s="1700"/>
      <c r="R36" s="1700"/>
      <c r="S36" s="1700"/>
      <c r="T36" s="1700"/>
      <c r="U36" s="1695"/>
      <c r="V36" s="1686"/>
    </row>
    <row r="37" spans="1:22">
      <c r="A37" s="1532"/>
      <c r="B37" s="1703"/>
      <c r="C37" s="1674" t="s">
        <v>878</v>
      </c>
      <c r="D37" s="527" t="s">
        <v>879</v>
      </c>
      <c r="E37" s="1698"/>
      <c r="F37" s="1693"/>
      <c r="G37" s="1693"/>
      <c r="H37" s="1693"/>
      <c r="I37" s="1693"/>
      <c r="J37" s="1693"/>
      <c r="K37" s="1693"/>
      <c r="L37" s="1693"/>
      <c r="M37" s="1700"/>
      <c r="N37" s="1700"/>
      <c r="O37" s="1700"/>
      <c r="P37" s="1700"/>
      <c r="Q37" s="1700"/>
      <c r="R37" s="1700"/>
      <c r="S37" s="1700"/>
      <c r="T37" s="1700"/>
      <c r="U37" s="1695"/>
      <c r="V37" s="1686"/>
    </row>
    <row r="38" spans="1:22">
      <c r="A38" s="1532"/>
      <c r="B38" s="1703"/>
      <c r="C38" s="1675"/>
      <c r="D38" s="528" t="s">
        <v>880</v>
      </c>
      <c r="E38" s="1698"/>
      <c r="F38" s="1693"/>
      <c r="G38" s="1693"/>
      <c r="H38" s="1693"/>
      <c r="I38" s="1693"/>
      <c r="J38" s="1693"/>
      <c r="K38" s="1693"/>
      <c r="L38" s="1693"/>
      <c r="M38" s="1701"/>
      <c r="N38" s="1701"/>
      <c r="O38" s="1701"/>
      <c r="P38" s="1701"/>
      <c r="Q38" s="1701"/>
      <c r="R38" s="1701"/>
      <c r="S38" s="1701"/>
      <c r="T38" s="1701"/>
      <c r="U38" s="1696"/>
      <c r="V38" s="1687"/>
    </row>
    <row r="39" spans="1:22">
      <c r="A39" s="1532"/>
      <c r="B39" s="1702" t="s">
        <v>864</v>
      </c>
      <c r="C39" s="1530" t="s">
        <v>875</v>
      </c>
      <c r="D39" s="526" t="s">
        <v>876</v>
      </c>
      <c r="E39" s="1698"/>
      <c r="F39" s="1693"/>
      <c r="G39" s="1693"/>
      <c r="H39" s="1693"/>
      <c r="I39" s="1693"/>
      <c r="J39" s="1693"/>
      <c r="K39" s="1693"/>
      <c r="L39" s="1693"/>
      <c r="M39" s="1693"/>
      <c r="N39" s="1699">
        <v>0.93</v>
      </c>
      <c r="O39" s="1699">
        <v>0.91139999999999999</v>
      </c>
      <c r="P39" s="1699">
        <v>0.89317199999999997</v>
      </c>
      <c r="Q39" s="1699">
        <v>0.8753085599999999</v>
      </c>
      <c r="R39" s="1699">
        <v>0.86655547439999991</v>
      </c>
      <c r="S39" s="1699">
        <v>0.85788991965599992</v>
      </c>
      <c r="T39" s="1699">
        <v>0.84931102045943996</v>
      </c>
      <c r="U39" s="1694">
        <v>0.84081791025484554</v>
      </c>
      <c r="V39" s="1685">
        <v>0.83240973115229711</v>
      </c>
    </row>
    <row r="40" spans="1:22">
      <c r="A40" s="1532"/>
      <c r="B40" s="1703"/>
      <c r="C40" s="1531"/>
      <c r="D40" s="527" t="s">
        <v>877</v>
      </c>
      <c r="E40" s="1698"/>
      <c r="F40" s="1693"/>
      <c r="G40" s="1693"/>
      <c r="H40" s="1693"/>
      <c r="I40" s="1693"/>
      <c r="J40" s="1693"/>
      <c r="K40" s="1693"/>
      <c r="L40" s="1693"/>
      <c r="M40" s="1693"/>
      <c r="N40" s="1700"/>
      <c r="O40" s="1700"/>
      <c r="P40" s="1700"/>
      <c r="Q40" s="1700"/>
      <c r="R40" s="1700"/>
      <c r="S40" s="1700"/>
      <c r="T40" s="1700"/>
      <c r="U40" s="1695"/>
      <c r="V40" s="1686"/>
    </row>
    <row r="41" spans="1:22">
      <c r="A41" s="1532"/>
      <c r="B41" s="1703"/>
      <c r="C41" s="1674" t="s">
        <v>878</v>
      </c>
      <c r="D41" s="527" t="s">
        <v>879</v>
      </c>
      <c r="E41" s="1698"/>
      <c r="F41" s="1693"/>
      <c r="G41" s="1693"/>
      <c r="H41" s="1693"/>
      <c r="I41" s="1693"/>
      <c r="J41" s="1693"/>
      <c r="K41" s="1693"/>
      <c r="L41" s="1693"/>
      <c r="M41" s="1693"/>
      <c r="N41" s="1700"/>
      <c r="O41" s="1700"/>
      <c r="P41" s="1700"/>
      <c r="Q41" s="1700"/>
      <c r="R41" s="1700"/>
      <c r="S41" s="1700"/>
      <c r="T41" s="1700"/>
      <c r="U41" s="1695"/>
      <c r="V41" s="1686"/>
    </row>
    <row r="42" spans="1:22">
      <c r="A42" s="1532"/>
      <c r="B42" s="1703"/>
      <c r="C42" s="1675"/>
      <c r="D42" s="528" t="s">
        <v>880</v>
      </c>
      <c r="E42" s="1698"/>
      <c r="F42" s="1693"/>
      <c r="G42" s="1693"/>
      <c r="H42" s="1693"/>
      <c r="I42" s="1693"/>
      <c r="J42" s="1693"/>
      <c r="K42" s="1693"/>
      <c r="L42" s="1693"/>
      <c r="M42" s="1693"/>
      <c r="N42" s="1701"/>
      <c r="O42" s="1701"/>
      <c r="P42" s="1701"/>
      <c r="Q42" s="1701"/>
      <c r="R42" s="1701"/>
      <c r="S42" s="1701"/>
      <c r="T42" s="1701"/>
      <c r="U42" s="1696"/>
      <c r="V42" s="1687"/>
    </row>
    <row r="43" spans="1:22">
      <c r="A43" s="1532"/>
      <c r="B43" s="1702" t="s">
        <v>865</v>
      </c>
      <c r="C43" s="1530" t="s">
        <v>875</v>
      </c>
      <c r="D43" s="526" t="s">
        <v>876</v>
      </c>
      <c r="E43" s="1698"/>
      <c r="F43" s="1693"/>
      <c r="G43" s="1693"/>
      <c r="H43" s="1693"/>
      <c r="I43" s="1693"/>
      <c r="J43" s="1693"/>
      <c r="K43" s="1693"/>
      <c r="L43" s="1693"/>
      <c r="M43" s="1693"/>
      <c r="N43" s="1693"/>
      <c r="O43" s="1699">
        <v>0.98</v>
      </c>
      <c r="P43" s="1699">
        <v>0.96039999999999992</v>
      </c>
      <c r="Q43" s="1699">
        <v>0.94119199999999992</v>
      </c>
      <c r="R43" s="1699">
        <v>0.9317800799999999</v>
      </c>
      <c r="S43" s="1699">
        <v>0.9224622791999999</v>
      </c>
      <c r="T43" s="1699">
        <v>0.91323765640799992</v>
      </c>
      <c r="U43" s="1694">
        <v>0.90410527984391986</v>
      </c>
      <c r="V43" s="1685">
        <v>0.89506422704548061</v>
      </c>
    </row>
    <row r="44" spans="1:22">
      <c r="A44" s="1532"/>
      <c r="B44" s="1703"/>
      <c r="C44" s="1531"/>
      <c r="D44" s="527" t="s">
        <v>877</v>
      </c>
      <c r="E44" s="1698"/>
      <c r="F44" s="1693"/>
      <c r="G44" s="1693"/>
      <c r="H44" s="1693"/>
      <c r="I44" s="1693"/>
      <c r="J44" s="1693"/>
      <c r="K44" s="1693"/>
      <c r="L44" s="1693"/>
      <c r="M44" s="1693"/>
      <c r="N44" s="1693"/>
      <c r="O44" s="1700"/>
      <c r="P44" s="1700"/>
      <c r="Q44" s="1700"/>
      <c r="R44" s="1700"/>
      <c r="S44" s="1700"/>
      <c r="T44" s="1700"/>
      <c r="U44" s="1695"/>
      <c r="V44" s="1686"/>
    </row>
    <row r="45" spans="1:22">
      <c r="A45" s="1532"/>
      <c r="B45" s="1703"/>
      <c r="C45" s="1674" t="s">
        <v>878</v>
      </c>
      <c r="D45" s="527" t="s">
        <v>879</v>
      </c>
      <c r="E45" s="1698"/>
      <c r="F45" s="1693"/>
      <c r="G45" s="1693"/>
      <c r="H45" s="1693"/>
      <c r="I45" s="1693"/>
      <c r="J45" s="1693"/>
      <c r="K45" s="1693"/>
      <c r="L45" s="1693"/>
      <c r="M45" s="1693"/>
      <c r="N45" s="1693"/>
      <c r="O45" s="1700"/>
      <c r="P45" s="1700"/>
      <c r="Q45" s="1700"/>
      <c r="R45" s="1700"/>
      <c r="S45" s="1700"/>
      <c r="T45" s="1700"/>
      <c r="U45" s="1695"/>
      <c r="V45" s="1686"/>
    </row>
    <row r="46" spans="1:22">
      <c r="A46" s="1532"/>
      <c r="B46" s="1703"/>
      <c r="C46" s="1675"/>
      <c r="D46" s="528" t="s">
        <v>880</v>
      </c>
      <c r="E46" s="1698"/>
      <c r="F46" s="1693"/>
      <c r="G46" s="1693"/>
      <c r="H46" s="1693"/>
      <c r="I46" s="1693"/>
      <c r="J46" s="1693"/>
      <c r="K46" s="1693"/>
      <c r="L46" s="1693"/>
      <c r="M46" s="1693"/>
      <c r="N46" s="1693"/>
      <c r="O46" s="1701"/>
      <c r="P46" s="1701"/>
      <c r="Q46" s="1701"/>
      <c r="R46" s="1701"/>
      <c r="S46" s="1701"/>
      <c r="T46" s="1701"/>
      <c r="U46" s="1696"/>
      <c r="V46" s="1687"/>
    </row>
    <row r="47" spans="1:22">
      <c r="A47" s="1532"/>
      <c r="B47" s="1702" t="s">
        <v>866</v>
      </c>
      <c r="C47" s="1530" t="s">
        <v>875</v>
      </c>
      <c r="D47" s="526" t="s">
        <v>876</v>
      </c>
      <c r="E47" s="1698"/>
      <c r="F47" s="1693"/>
      <c r="G47" s="1693"/>
      <c r="H47" s="1693"/>
      <c r="I47" s="1693"/>
      <c r="J47" s="1693"/>
      <c r="K47" s="1693"/>
      <c r="L47" s="1693"/>
      <c r="M47" s="1693"/>
      <c r="N47" s="1693"/>
      <c r="O47" s="1693"/>
      <c r="P47" s="1699">
        <v>0.98</v>
      </c>
      <c r="Q47" s="1699">
        <v>0.96039999999999992</v>
      </c>
      <c r="R47" s="1699">
        <v>0.95079599999999986</v>
      </c>
      <c r="S47" s="1699">
        <v>0.94128803999999988</v>
      </c>
      <c r="T47" s="1699">
        <v>0.93187515959999989</v>
      </c>
      <c r="U47" s="1694">
        <v>0.92255640800399985</v>
      </c>
      <c r="V47" s="1685">
        <v>0.9133308439239598</v>
      </c>
    </row>
    <row r="48" spans="1:22">
      <c r="A48" s="1532"/>
      <c r="B48" s="1703"/>
      <c r="C48" s="1531"/>
      <c r="D48" s="527" t="s">
        <v>877</v>
      </c>
      <c r="E48" s="1698"/>
      <c r="F48" s="1693"/>
      <c r="G48" s="1693"/>
      <c r="H48" s="1693"/>
      <c r="I48" s="1693"/>
      <c r="J48" s="1693"/>
      <c r="K48" s="1693"/>
      <c r="L48" s="1693"/>
      <c r="M48" s="1693"/>
      <c r="N48" s="1693"/>
      <c r="O48" s="1693"/>
      <c r="P48" s="1700"/>
      <c r="Q48" s="1700"/>
      <c r="R48" s="1700"/>
      <c r="S48" s="1700"/>
      <c r="T48" s="1700"/>
      <c r="U48" s="1695"/>
      <c r="V48" s="1686"/>
    </row>
    <row r="49" spans="1:22">
      <c r="A49" s="1532"/>
      <c r="B49" s="1703"/>
      <c r="C49" s="1674" t="s">
        <v>878</v>
      </c>
      <c r="D49" s="527" t="s">
        <v>879</v>
      </c>
      <c r="E49" s="1698"/>
      <c r="F49" s="1693"/>
      <c r="G49" s="1693"/>
      <c r="H49" s="1693"/>
      <c r="I49" s="1693"/>
      <c r="J49" s="1693"/>
      <c r="K49" s="1693"/>
      <c r="L49" s="1693"/>
      <c r="M49" s="1693"/>
      <c r="N49" s="1693"/>
      <c r="O49" s="1693"/>
      <c r="P49" s="1700"/>
      <c r="Q49" s="1700"/>
      <c r="R49" s="1700"/>
      <c r="S49" s="1700"/>
      <c r="T49" s="1700"/>
      <c r="U49" s="1695"/>
      <c r="V49" s="1686"/>
    </row>
    <row r="50" spans="1:22">
      <c r="A50" s="1532"/>
      <c r="B50" s="1703"/>
      <c r="C50" s="1675"/>
      <c r="D50" s="528" t="s">
        <v>880</v>
      </c>
      <c r="E50" s="1698"/>
      <c r="F50" s="1693"/>
      <c r="G50" s="1693"/>
      <c r="H50" s="1693"/>
      <c r="I50" s="1693"/>
      <c r="J50" s="1693"/>
      <c r="K50" s="1693"/>
      <c r="L50" s="1693"/>
      <c r="M50" s="1693"/>
      <c r="N50" s="1693"/>
      <c r="O50" s="1693"/>
      <c r="P50" s="1701"/>
      <c r="Q50" s="1701"/>
      <c r="R50" s="1701"/>
      <c r="S50" s="1701"/>
      <c r="T50" s="1701"/>
      <c r="U50" s="1696"/>
      <c r="V50" s="1687"/>
    </row>
    <row r="51" spans="1:22">
      <c r="A51" s="1532"/>
      <c r="B51" s="1706" t="s">
        <v>867</v>
      </c>
      <c r="C51" s="1530" t="s">
        <v>875</v>
      </c>
      <c r="D51" s="526" t="s">
        <v>876</v>
      </c>
      <c r="E51" s="1698"/>
      <c r="F51" s="1693"/>
      <c r="G51" s="1693"/>
      <c r="H51" s="1693"/>
      <c r="I51" s="1693"/>
      <c r="J51" s="1693"/>
      <c r="K51" s="1693"/>
      <c r="L51" s="1693"/>
      <c r="M51" s="1693"/>
      <c r="N51" s="1693"/>
      <c r="O51" s="1693"/>
      <c r="P51" s="1693"/>
      <c r="Q51" s="1699">
        <v>0.98</v>
      </c>
      <c r="R51" s="1699">
        <v>0.97019999999999995</v>
      </c>
      <c r="S51" s="1699">
        <v>0.96049799999999996</v>
      </c>
      <c r="T51" s="1699">
        <v>0.95089301999999998</v>
      </c>
      <c r="U51" s="1694">
        <v>0.94138408979999999</v>
      </c>
      <c r="V51" s="1685">
        <v>0.93197024890199998</v>
      </c>
    </row>
    <row r="52" spans="1:22">
      <c r="A52" s="1532"/>
      <c r="B52" s="1707"/>
      <c r="C52" s="1531"/>
      <c r="D52" s="527" t="s">
        <v>877</v>
      </c>
      <c r="E52" s="1698"/>
      <c r="F52" s="1693"/>
      <c r="G52" s="1693"/>
      <c r="H52" s="1693"/>
      <c r="I52" s="1693"/>
      <c r="J52" s="1693"/>
      <c r="K52" s="1693"/>
      <c r="L52" s="1693"/>
      <c r="M52" s="1693"/>
      <c r="N52" s="1693"/>
      <c r="O52" s="1693"/>
      <c r="P52" s="1693"/>
      <c r="Q52" s="1700"/>
      <c r="R52" s="1700"/>
      <c r="S52" s="1700"/>
      <c r="T52" s="1700"/>
      <c r="U52" s="1695"/>
      <c r="V52" s="1686"/>
    </row>
    <row r="53" spans="1:22">
      <c r="A53" s="1532"/>
      <c r="B53" s="1707"/>
      <c r="C53" s="1674" t="s">
        <v>878</v>
      </c>
      <c r="D53" s="527" t="s">
        <v>879</v>
      </c>
      <c r="E53" s="1698"/>
      <c r="F53" s="1693"/>
      <c r="G53" s="1693"/>
      <c r="H53" s="1693"/>
      <c r="I53" s="1693"/>
      <c r="J53" s="1693"/>
      <c r="K53" s="1693"/>
      <c r="L53" s="1693"/>
      <c r="M53" s="1693"/>
      <c r="N53" s="1693"/>
      <c r="O53" s="1693"/>
      <c r="P53" s="1693"/>
      <c r="Q53" s="1700"/>
      <c r="R53" s="1700"/>
      <c r="S53" s="1700"/>
      <c r="T53" s="1700"/>
      <c r="U53" s="1695"/>
      <c r="V53" s="1686"/>
    </row>
    <row r="54" spans="1:22">
      <c r="A54" s="1532"/>
      <c r="B54" s="1708"/>
      <c r="C54" s="1675"/>
      <c r="D54" s="528" t="s">
        <v>880</v>
      </c>
      <c r="E54" s="1698"/>
      <c r="F54" s="1693"/>
      <c r="G54" s="1693"/>
      <c r="H54" s="1693"/>
      <c r="I54" s="1693"/>
      <c r="J54" s="1693"/>
      <c r="K54" s="1693"/>
      <c r="L54" s="1693"/>
      <c r="M54" s="1693"/>
      <c r="N54" s="1693"/>
      <c r="O54" s="1693"/>
      <c r="P54" s="1693"/>
      <c r="Q54" s="1701"/>
      <c r="R54" s="1701"/>
      <c r="S54" s="1701"/>
      <c r="T54" s="1701"/>
      <c r="U54" s="1696"/>
      <c r="V54" s="1687"/>
    </row>
    <row r="55" spans="1:22">
      <c r="A55" s="1532"/>
      <c r="B55" s="1704" t="s">
        <v>868</v>
      </c>
      <c r="C55" s="1530" t="s">
        <v>875</v>
      </c>
      <c r="D55" s="526" t="s">
        <v>876</v>
      </c>
      <c r="E55" s="1698"/>
      <c r="F55" s="1693"/>
      <c r="G55" s="1693"/>
      <c r="H55" s="1693"/>
      <c r="I55" s="1693"/>
      <c r="J55" s="1693"/>
      <c r="K55" s="1693"/>
      <c r="L55" s="1693"/>
      <c r="M55" s="1693"/>
      <c r="N55" s="1693"/>
      <c r="O55" s="1693"/>
      <c r="P55" s="1693"/>
      <c r="Q55" s="1693"/>
      <c r="R55" s="1699">
        <v>0.99</v>
      </c>
      <c r="S55" s="1699">
        <v>0.98009999999999997</v>
      </c>
      <c r="T55" s="1699">
        <v>0.97029899999999991</v>
      </c>
      <c r="U55" s="1694">
        <v>0.96059600999999994</v>
      </c>
      <c r="V55" s="1685">
        <v>0.95099004989999991</v>
      </c>
    </row>
    <row r="56" spans="1:22">
      <c r="A56" s="1532"/>
      <c r="B56" s="1703"/>
      <c r="C56" s="1531"/>
      <c r="D56" s="527" t="s">
        <v>877</v>
      </c>
      <c r="E56" s="1698"/>
      <c r="F56" s="1693"/>
      <c r="G56" s="1693"/>
      <c r="H56" s="1693"/>
      <c r="I56" s="1693"/>
      <c r="J56" s="1693"/>
      <c r="K56" s="1693"/>
      <c r="L56" s="1693"/>
      <c r="M56" s="1693"/>
      <c r="N56" s="1693"/>
      <c r="O56" s="1693"/>
      <c r="P56" s="1693"/>
      <c r="Q56" s="1693"/>
      <c r="R56" s="1700"/>
      <c r="S56" s="1700"/>
      <c r="T56" s="1700"/>
      <c r="U56" s="1695"/>
      <c r="V56" s="1686"/>
    </row>
    <row r="57" spans="1:22">
      <c r="A57" s="1532"/>
      <c r="B57" s="1703"/>
      <c r="C57" s="1674" t="s">
        <v>878</v>
      </c>
      <c r="D57" s="527" t="s">
        <v>879</v>
      </c>
      <c r="E57" s="1698"/>
      <c r="F57" s="1693"/>
      <c r="G57" s="1693"/>
      <c r="H57" s="1693"/>
      <c r="I57" s="1693"/>
      <c r="J57" s="1693"/>
      <c r="K57" s="1693"/>
      <c r="L57" s="1693"/>
      <c r="M57" s="1693"/>
      <c r="N57" s="1693"/>
      <c r="O57" s="1693"/>
      <c r="P57" s="1693"/>
      <c r="Q57" s="1693"/>
      <c r="R57" s="1700"/>
      <c r="S57" s="1700"/>
      <c r="T57" s="1700"/>
      <c r="U57" s="1695"/>
      <c r="V57" s="1686"/>
    </row>
    <row r="58" spans="1:22">
      <c r="A58" s="1532"/>
      <c r="B58" s="1703"/>
      <c r="C58" s="1675"/>
      <c r="D58" s="528" t="s">
        <v>880</v>
      </c>
      <c r="E58" s="1698"/>
      <c r="F58" s="1693"/>
      <c r="G58" s="1693"/>
      <c r="H58" s="1693"/>
      <c r="I58" s="1693"/>
      <c r="J58" s="1693"/>
      <c r="K58" s="1693"/>
      <c r="L58" s="1693"/>
      <c r="M58" s="1693"/>
      <c r="N58" s="1693"/>
      <c r="O58" s="1693"/>
      <c r="P58" s="1693"/>
      <c r="Q58" s="1693"/>
      <c r="R58" s="1701"/>
      <c r="S58" s="1701"/>
      <c r="T58" s="1701"/>
      <c r="U58" s="1696"/>
      <c r="V58" s="1687"/>
    </row>
    <row r="59" spans="1:22">
      <c r="A59" s="1532"/>
      <c r="B59" s="1702" t="s">
        <v>869</v>
      </c>
      <c r="C59" s="1530" t="s">
        <v>875</v>
      </c>
      <c r="D59" s="526" t="s">
        <v>876</v>
      </c>
      <c r="E59" s="1698"/>
      <c r="F59" s="1693"/>
      <c r="G59" s="1693"/>
      <c r="H59" s="1693"/>
      <c r="I59" s="1693"/>
      <c r="J59" s="1693"/>
      <c r="K59" s="1693"/>
      <c r="L59" s="1693"/>
      <c r="M59" s="1693"/>
      <c r="N59" s="1693"/>
      <c r="O59" s="1693"/>
      <c r="P59" s="1693"/>
      <c r="Q59" s="1693"/>
      <c r="R59" s="1693"/>
      <c r="S59" s="1699">
        <v>0.99</v>
      </c>
      <c r="T59" s="1699">
        <v>0.98009999999999997</v>
      </c>
      <c r="U59" s="1694">
        <v>0.97029899999999991</v>
      </c>
      <c r="V59" s="1685">
        <v>0.96059600999999994</v>
      </c>
    </row>
    <row r="60" spans="1:22">
      <c r="A60" s="1532"/>
      <c r="B60" s="1703"/>
      <c r="C60" s="1531"/>
      <c r="D60" s="527" t="s">
        <v>877</v>
      </c>
      <c r="E60" s="1698"/>
      <c r="F60" s="1693"/>
      <c r="G60" s="1693"/>
      <c r="H60" s="1693"/>
      <c r="I60" s="1693"/>
      <c r="J60" s="1693"/>
      <c r="K60" s="1693"/>
      <c r="L60" s="1693"/>
      <c r="M60" s="1693"/>
      <c r="N60" s="1693"/>
      <c r="O60" s="1693"/>
      <c r="P60" s="1693"/>
      <c r="Q60" s="1693"/>
      <c r="R60" s="1693"/>
      <c r="S60" s="1700"/>
      <c r="T60" s="1700"/>
      <c r="U60" s="1695"/>
      <c r="V60" s="1686"/>
    </row>
    <row r="61" spans="1:22">
      <c r="A61" s="1532"/>
      <c r="B61" s="1703"/>
      <c r="C61" s="1674" t="s">
        <v>878</v>
      </c>
      <c r="D61" s="527" t="s">
        <v>879</v>
      </c>
      <c r="E61" s="1698"/>
      <c r="F61" s="1693"/>
      <c r="G61" s="1693"/>
      <c r="H61" s="1693"/>
      <c r="I61" s="1693"/>
      <c r="J61" s="1693"/>
      <c r="K61" s="1693"/>
      <c r="L61" s="1693"/>
      <c r="M61" s="1693"/>
      <c r="N61" s="1693"/>
      <c r="O61" s="1693"/>
      <c r="P61" s="1693"/>
      <c r="Q61" s="1693"/>
      <c r="R61" s="1693"/>
      <c r="S61" s="1700"/>
      <c r="T61" s="1700"/>
      <c r="U61" s="1695"/>
      <c r="V61" s="1686"/>
    </row>
    <row r="62" spans="1:22">
      <c r="A62" s="1532"/>
      <c r="B62" s="1703"/>
      <c r="C62" s="1675"/>
      <c r="D62" s="528" t="s">
        <v>880</v>
      </c>
      <c r="E62" s="1698"/>
      <c r="F62" s="1693"/>
      <c r="G62" s="1693"/>
      <c r="H62" s="1693"/>
      <c r="I62" s="1693"/>
      <c r="J62" s="1693"/>
      <c r="K62" s="1693"/>
      <c r="L62" s="1693"/>
      <c r="M62" s="1693"/>
      <c r="N62" s="1693"/>
      <c r="O62" s="1693"/>
      <c r="P62" s="1693"/>
      <c r="Q62" s="1693"/>
      <c r="R62" s="1693"/>
      <c r="S62" s="1701"/>
      <c r="T62" s="1701"/>
      <c r="U62" s="1696"/>
      <c r="V62" s="1687"/>
    </row>
    <row r="63" spans="1:22">
      <c r="A63" s="1532"/>
      <c r="B63" s="1702" t="s">
        <v>870</v>
      </c>
      <c r="C63" s="1530" t="s">
        <v>875</v>
      </c>
      <c r="D63" s="526" t="s">
        <v>876</v>
      </c>
      <c r="E63" s="1698"/>
      <c r="F63" s="1693"/>
      <c r="G63" s="1693"/>
      <c r="H63" s="1693"/>
      <c r="I63" s="1693"/>
      <c r="J63" s="1693"/>
      <c r="K63" s="1693"/>
      <c r="L63" s="1693"/>
      <c r="M63" s="1693"/>
      <c r="N63" s="1693"/>
      <c r="O63" s="1693"/>
      <c r="P63" s="1693"/>
      <c r="Q63" s="1693"/>
      <c r="R63" s="1693"/>
      <c r="S63" s="1693"/>
      <c r="T63" s="1699">
        <v>0.99</v>
      </c>
      <c r="U63" s="1694">
        <v>0.98009999999999997</v>
      </c>
      <c r="V63" s="1685">
        <v>0.97029899999999991</v>
      </c>
    </row>
    <row r="64" spans="1:22">
      <c r="A64" s="1532"/>
      <c r="B64" s="1703"/>
      <c r="C64" s="1531"/>
      <c r="D64" s="527" t="s">
        <v>877</v>
      </c>
      <c r="E64" s="1698"/>
      <c r="F64" s="1693"/>
      <c r="G64" s="1693"/>
      <c r="H64" s="1693"/>
      <c r="I64" s="1693"/>
      <c r="J64" s="1693"/>
      <c r="K64" s="1693"/>
      <c r="L64" s="1693"/>
      <c r="M64" s="1693"/>
      <c r="N64" s="1693"/>
      <c r="O64" s="1693"/>
      <c r="P64" s="1693"/>
      <c r="Q64" s="1693"/>
      <c r="R64" s="1693"/>
      <c r="S64" s="1693"/>
      <c r="T64" s="1700"/>
      <c r="U64" s="1695"/>
      <c r="V64" s="1686"/>
    </row>
    <row r="65" spans="1:22">
      <c r="A65" s="1532"/>
      <c r="B65" s="1703"/>
      <c r="C65" s="1674" t="s">
        <v>878</v>
      </c>
      <c r="D65" s="527" t="s">
        <v>879</v>
      </c>
      <c r="E65" s="1698"/>
      <c r="F65" s="1693"/>
      <c r="G65" s="1693"/>
      <c r="H65" s="1693"/>
      <c r="I65" s="1693"/>
      <c r="J65" s="1693"/>
      <c r="K65" s="1693"/>
      <c r="L65" s="1693"/>
      <c r="M65" s="1693"/>
      <c r="N65" s="1693"/>
      <c r="O65" s="1693"/>
      <c r="P65" s="1693"/>
      <c r="Q65" s="1693"/>
      <c r="R65" s="1693"/>
      <c r="S65" s="1693"/>
      <c r="T65" s="1700"/>
      <c r="U65" s="1695"/>
      <c r="V65" s="1686"/>
    </row>
    <row r="66" spans="1:22">
      <c r="A66" s="1532"/>
      <c r="B66" s="1703"/>
      <c r="C66" s="1675"/>
      <c r="D66" s="528" t="s">
        <v>880</v>
      </c>
      <c r="E66" s="1698"/>
      <c r="F66" s="1693"/>
      <c r="G66" s="1693"/>
      <c r="H66" s="1693"/>
      <c r="I66" s="1693"/>
      <c r="J66" s="1693"/>
      <c r="K66" s="1693"/>
      <c r="L66" s="1693"/>
      <c r="M66" s="1693"/>
      <c r="N66" s="1693"/>
      <c r="O66" s="1693"/>
      <c r="P66" s="1693"/>
      <c r="Q66" s="1693"/>
      <c r="R66" s="1693"/>
      <c r="S66" s="1693"/>
      <c r="T66" s="1701"/>
      <c r="U66" s="1696"/>
      <c r="V66" s="1687"/>
    </row>
    <row r="67" spans="1:22">
      <c r="A67" s="1532"/>
      <c r="B67" s="1702" t="s">
        <v>871</v>
      </c>
      <c r="C67" s="1530" t="s">
        <v>875</v>
      </c>
      <c r="D67" s="526" t="s">
        <v>876</v>
      </c>
      <c r="E67" s="1698"/>
      <c r="F67" s="1693"/>
      <c r="G67" s="1693"/>
      <c r="H67" s="1693"/>
      <c r="I67" s="1693"/>
      <c r="J67" s="1693"/>
      <c r="K67" s="1693"/>
      <c r="L67" s="1693"/>
      <c r="M67" s="1693"/>
      <c r="N67" s="1693"/>
      <c r="O67" s="1693"/>
      <c r="P67" s="1693"/>
      <c r="Q67" s="1693"/>
      <c r="R67" s="1693"/>
      <c r="S67" s="1693"/>
      <c r="T67" s="1693"/>
      <c r="U67" s="1694">
        <v>0.99</v>
      </c>
      <c r="V67" s="1685">
        <v>0.98009999999999997</v>
      </c>
    </row>
    <row r="68" spans="1:22">
      <c r="A68" s="1532"/>
      <c r="B68" s="1703"/>
      <c r="C68" s="1531"/>
      <c r="D68" s="527" t="s">
        <v>877</v>
      </c>
      <c r="E68" s="1698"/>
      <c r="F68" s="1693"/>
      <c r="G68" s="1693"/>
      <c r="H68" s="1693"/>
      <c r="I68" s="1693"/>
      <c r="J68" s="1693"/>
      <c r="K68" s="1693"/>
      <c r="L68" s="1693"/>
      <c r="M68" s="1693"/>
      <c r="N68" s="1693"/>
      <c r="O68" s="1693"/>
      <c r="P68" s="1693"/>
      <c r="Q68" s="1693"/>
      <c r="R68" s="1693"/>
      <c r="S68" s="1693"/>
      <c r="T68" s="1693"/>
      <c r="U68" s="1695"/>
      <c r="V68" s="1686"/>
    </row>
    <row r="69" spans="1:22">
      <c r="A69" s="1532"/>
      <c r="B69" s="1703"/>
      <c r="C69" s="1674" t="s">
        <v>878</v>
      </c>
      <c r="D69" s="527" t="s">
        <v>879</v>
      </c>
      <c r="E69" s="1698"/>
      <c r="F69" s="1693"/>
      <c r="G69" s="1693"/>
      <c r="H69" s="1693"/>
      <c r="I69" s="1693"/>
      <c r="J69" s="1693"/>
      <c r="K69" s="1693"/>
      <c r="L69" s="1693"/>
      <c r="M69" s="1693"/>
      <c r="N69" s="1693"/>
      <c r="O69" s="1693"/>
      <c r="P69" s="1693"/>
      <c r="Q69" s="1693"/>
      <c r="R69" s="1693"/>
      <c r="S69" s="1693"/>
      <c r="T69" s="1693"/>
      <c r="U69" s="1695"/>
      <c r="V69" s="1686"/>
    </row>
    <row r="70" spans="1:22">
      <c r="A70" s="1532"/>
      <c r="B70" s="1703"/>
      <c r="C70" s="1675"/>
      <c r="D70" s="528" t="s">
        <v>880</v>
      </c>
      <c r="E70" s="1698"/>
      <c r="F70" s="1693"/>
      <c r="G70" s="1693"/>
      <c r="H70" s="1693"/>
      <c r="I70" s="1693"/>
      <c r="J70" s="1693"/>
      <c r="K70" s="1693"/>
      <c r="L70" s="1693"/>
      <c r="M70" s="1693"/>
      <c r="N70" s="1693"/>
      <c r="O70" s="1693"/>
      <c r="P70" s="1693"/>
      <c r="Q70" s="1693"/>
      <c r="R70" s="1693"/>
      <c r="S70" s="1693"/>
      <c r="T70" s="1693"/>
      <c r="U70" s="1696"/>
      <c r="V70" s="1687"/>
    </row>
    <row r="71" spans="1:22">
      <c r="A71" s="1532"/>
      <c r="B71" s="1706" t="s">
        <v>872</v>
      </c>
      <c r="C71" s="1530" t="s">
        <v>875</v>
      </c>
      <c r="D71" s="526" t="s">
        <v>876</v>
      </c>
      <c r="E71" s="1690"/>
      <c r="F71" s="1676"/>
      <c r="G71" s="1676"/>
      <c r="H71" s="1676"/>
      <c r="I71" s="1676"/>
      <c r="J71" s="1676"/>
      <c r="K71" s="1676"/>
      <c r="L71" s="1676"/>
      <c r="M71" s="1676"/>
      <c r="N71" s="1676"/>
      <c r="O71" s="1676"/>
      <c r="P71" s="1676"/>
      <c r="Q71" s="1676"/>
      <c r="R71" s="1676"/>
      <c r="S71" s="1676"/>
      <c r="T71" s="1676"/>
      <c r="U71" s="1693"/>
      <c r="V71" s="1685">
        <v>0.99</v>
      </c>
    </row>
    <row r="72" spans="1:22">
      <c r="A72" s="1532"/>
      <c r="B72" s="1707"/>
      <c r="C72" s="1531"/>
      <c r="D72" s="527" t="s">
        <v>877</v>
      </c>
      <c r="E72" s="1691"/>
      <c r="F72" s="1677"/>
      <c r="G72" s="1677"/>
      <c r="H72" s="1677"/>
      <c r="I72" s="1677"/>
      <c r="J72" s="1677"/>
      <c r="K72" s="1677"/>
      <c r="L72" s="1677"/>
      <c r="M72" s="1677"/>
      <c r="N72" s="1677"/>
      <c r="O72" s="1677"/>
      <c r="P72" s="1677"/>
      <c r="Q72" s="1677"/>
      <c r="R72" s="1677"/>
      <c r="S72" s="1677"/>
      <c r="T72" s="1677"/>
      <c r="U72" s="1693"/>
      <c r="V72" s="1686"/>
    </row>
    <row r="73" spans="1:22">
      <c r="A73" s="1532"/>
      <c r="B73" s="1707"/>
      <c r="C73" s="1674" t="s">
        <v>878</v>
      </c>
      <c r="D73" s="527" t="s">
        <v>879</v>
      </c>
      <c r="E73" s="1691"/>
      <c r="F73" s="1677"/>
      <c r="G73" s="1677"/>
      <c r="H73" s="1677"/>
      <c r="I73" s="1677"/>
      <c r="J73" s="1677"/>
      <c r="K73" s="1677"/>
      <c r="L73" s="1677"/>
      <c r="M73" s="1677"/>
      <c r="N73" s="1677"/>
      <c r="O73" s="1677"/>
      <c r="P73" s="1677"/>
      <c r="Q73" s="1677"/>
      <c r="R73" s="1677"/>
      <c r="S73" s="1677"/>
      <c r="T73" s="1677"/>
      <c r="U73" s="1693"/>
      <c r="V73" s="1686"/>
    </row>
    <row r="74" spans="1:22">
      <c r="A74" s="1532"/>
      <c r="B74" s="1708"/>
      <c r="C74" s="1675"/>
      <c r="D74" s="528" t="s">
        <v>880</v>
      </c>
      <c r="E74" s="1692"/>
      <c r="F74" s="1678"/>
      <c r="G74" s="1678"/>
      <c r="H74" s="1678"/>
      <c r="I74" s="1678"/>
      <c r="J74" s="1678"/>
      <c r="K74" s="1678"/>
      <c r="L74" s="1678"/>
      <c r="M74" s="1678"/>
      <c r="N74" s="1678"/>
      <c r="O74" s="1678"/>
      <c r="P74" s="1678"/>
      <c r="Q74" s="1678"/>
      <c r="R74" s="1678"/>
      <c r="S74" s="1678"/>
      <c r="T74" s="1678"/>
      <c r="U74" s="1693"/>
      <c r="V74" s="1687"/>
    </row>
    <row r="75" spans="1:22">
      <c r="A75" s="1532"/>
      <c r="B75" s="1704" t="s">
        <v>873</v>
      </c>
      <c r="C75" s="1530" t="s">
        <v>875</v>
      </c>
      <c r="D75" s="526" t="s">
        <v>876</v>
      </c>
      <c r="E75" s="1690"/>
      <c r="F75" s="1676"/>
      <c r="G75" s="1676"/>
      <c r="H75" s="1676"/>
      <c r="I75" s="1676"/>
      <c r="J75" s="1676"/>
      <c r="K75" s="1676"/>
      <c r="L75" s="1676"/>
      <c r="M75" s="1676"/>
      <c r="N75" s="1676"/>
      <c r="O75" s="1676"/>
      <c r="P75" s="1676"/>
      <c r="Q75" s="1676"/>
      <c r="R75" s="1676"/>
      <c r="S75" s="1676"/>
      <c r="T75" s="1676"/>
      <c r="U75" s="1679"/>
      <c r="V75" s="1682"/>
    </row>
    <row r="76" spans="1:22">
      <c r="A76" s="1532"/>
      <c r="B76" s="1703"/>
      <c r="C76" s="1531"/>
      <c r="D76" s="527" t="s">
        <v>877</v>
      </c>
      <c r="E76" s="1691"/>
      <c r="F76" s="1677"/>
      <c r="G76" s="1677"/>
      <c r="H76" s="1677"/>
      <c r="I76" s="1677"/>
      <c r="J76" s="1677"/>
      <c r="K76" s="1677"/>
      <c r="L76" s="1677"/>
      <c r="M76" s="1677"/>
      <c r="N76" s="1677"/>
      <c r="O76" s="1677"/>
      <c r="P76" s="1677"/>
      <c r="Q76" s="1677"/>
      <c r="R76" s="1677"/>
      <c r="S76" s="1677"/>
      <c r="T76" s="1677"/>
      <c r="U76" s="1680"/>
      <c r="V76" s="1683"/>
    </row>
    <row r="77" spans="1:22">
      <c r="A77" s="1532"/>
      <c r="B77" s="1703"/>
      <c r="C77" s="1674" t="s">
        <v>878</v>
      </c>
      <c r="D77" s="527" t="s">
        <v>879</v>
      </c>
      <c r="E77" s="1691"/>
      <c r="F77" s="1677"/>
      <c r="G77" s="1677"/>
      <c r="H77" s="1677"/>
      <c r="I77" s="1677"/>
      <c r="J77" s="1677"/>
      <c r="K77" s="1677"/>
      <c r="L77" s="1677"/>
      <c r="M77" s="1677"/>
      <c r="N77" s="1677"/>
      <c r="O77" s="1677"/>
      <c r="P77" s="1677"/>
      <c r="Q77" s="1677"/>
      <c r="R77" s="1677"/>
      <c r="S77" s="1677"/>
      <c r="T77" s="1677"/>
      <c r="U77" s="1680"/>
      <c r="V77" s="1683"/>
    </row>
    <row r="78" spans="1:22">
      <c r="A78" s="1525"/>
      <c r="B78" s="1705"/>
      <c r="C78" s="1675"/>
      <c r="D78" s="528" t="s">
        <v>880</v>
      </c>
      <c r="E78" s="1692"/>
      <c r="F78" s="1678"/>
      <c r="G78" s="1678"/>
      <c r="H78" s="1678"/>
      <c r="I78" s="1678"/>
      <c r="J78" s="1678"/>
      <c r="K78" s="1678"/>
      <c r="L78" s="1678"/>
      <c r="M78" s="1678"/>
      <c r="N78" s="1678"/>
      <c r="O78" s="1678"/>
      <c r="P78" s="1678"/>
      <c r="Q78" s="1678"/>
      <c r="R78" s="1678"/>
      <c r="S78" s="1678"/>
      <c r="T78" s="1678"/>
      <c r="U78" s="1681"/>
      <c r="V78" s="1684"/>
    </row>
    <row r="79" spans="1:22">
      <c r="A79" s="1524" t="s">
        <v>226</v>
      </c>
      <c r="B79" s="1688" t="s">
        <v>881</v>
      </c>
      <c r="C79" s="1530" t="s">
        <v>875</v>
      </c>
      <c r="D79" s="526" t="s">
        <v>876</v>
      </c>
      <c r="E79" s="1690"/>
      <c r="F79" s="1699">
        <v>0.61</v>
      </c>
      <c r="G79" s="1699">
        <v>0.4819</v>
      </c>
      <c r="H79" s="1699">
        <v>0.41925299999999999</v>
      </c>
      <c r="I79" s="1699">
        <v>0.40248287999999999</v>
      </c>
      <c r="J79" s="1699">
        <v>0.3702842496</v>
      </c>
      <c r="K79" s="1699">
        <v>0.34806719462399999</v>
      </c>
      <c r="L79" s="1699">
        <v>0.33066383489279999</v>
      </c>
      <c r="M79" s="1699">
        <v>0.317437281497088</v>
      </c>
      <c r="N79" s="1699">
        <v>0.29521667179229183</v>
      </c>
      <c r="O79" s="1699">
        <v>0.28931233835644599</v>
      </c>
      <c r="P79" s="1699">
        <v>0.28352609158931708</v>
      </c>
      <c r="Q79" s="1699">
        <v>0.27785556975753073</v>
      </c>
      <c r="R79" s="1699">
        <v>0.27507701405995544</v>
      </c>
      <c r="S79" s="1699">
        <v>0.27232624391935589</v>
      </c>
      <c r="T79" s="1699">
        <v>0.26960298148016232</v>
      </c>
      <c r="U79" s="1694">
        <v>0.26690695166536071</v>
      </c>
      <c r="V79" s="1685">
        <v>0.26423788214870708</v>
      </c>
    </row>
    <row r="80" spans="1:22">
      <c r="A80" s="1532"/>
      <c r="B80" s="1689"/>
      <c r="C80" s="1531"/>
      <c r="D80" s="527" t="s">
        <v>877</v>
      </c>
      <c r="E80" s="1691"/>
      <c r="F80" s="1700"/>
      <c r="G80" s="1700"/>
      <c r="H80" s="1700"/>
      <c r="I80" s="1700"/>
      <c r="J80" s="1700"/>
      <c r="K80" s="1700"/>
      <c r="L80" s="1700"/>
      <c r="M80" s="1700"/>
      <c r="N80" s="1700"/>
      <c r="O80" s="1700"/>
      <c r="P80" s="1700"/>
      <c r="Q80" s="1700"/>
      <c r="R80" s="1700"/>
      <c r="S80" s="1700"/>
      <c r="T80" s="1700"/>
      <c r="U80" s="1695"/>
      <c r="V80" s="1686"/>
    </row>
    <row r="81" spans="1:22">
      <c r="A81" s="1532"/>
      <c r="B81" s="1689"/>
      <c r="C81" s="1674" t="s">
        <v>878</v>
      </c>
      <c r="D81" s="527" t="s">
        <v>879</v>
      </c>
      <c r="E81" s="1691"/>
      <c r="F81" s="1700"/>
      <c r="G81" s="1700"/>
      <c r="H81" s="1700"/>
      <c r="I81" s="1700"/>
      <c r="J81" s="1700"/>
      <c r="K81" s="1700"/>
      <c r="L81" s="1700"/>
      <c r="M81" s="1700"/>
      <c r="N81" s="1700"/>
      <c r="O81" s="1700"/>
      <c r="P81" s="1700"/>
      <c r="Q81" s="1700"/>
      <c r="R81" s="1700"/>
      <c r="S81" s="1700"/>
      <c r="T81" s="1700"/>
      <c r="U81" s="1695"/>
      <c r="V81" s="1686"/>
    </row>
    <row r="82" spans="1:22">
      <c r="A82" s="1532"/>
      <c r="B82" s="1689"/>
      <c r="C82" s="1675"/>
      <c r="D82" s="528" t="s">
        <v>880</v>
      </c>
      <c r="E82" s="1692"/>
      <c r="F82" s="1701"/>
      <c r="G82" s="1701"/>
      <c r="H82" s="1701"/>
      <c r="I82" s="1701"/>
      <c r="J82" s="1701"/>
      <c r="K82" s="1701"/>
      <c r="L82" s="1701"/>
      <c r="M82" s="1701"/>
      <c r="N82" s="1701"/>
      <c r="O82" s="1701"/>
      <c r="P82" s="1701"/>
      <c r="Q82" s="1701"/>
      <c r="R82" s="1701"/>
      <c r="S82" s="1701"/>
      <c r="T82" s="1701"/>
      <c r="U82" s="1696"/>
      <c r="V82" s="1687"/>
    </row>
    <row r="83" spans="1:22">
      <c r="A83" s="1532"/>
      <c r="B83" s="1688" t="s">
        <v>857</v>
      </c>
      <c r="C83" s="1530" t="s">
        <v>875</v>
      </c>
      <c r="D83" s="526" t="s">
        <v>876</v>
      </c>
      <c r="E83" s="1698"/>
      <c r="F83" s="1693"/>
      <c r="G83" s="1699">
        <v>0.79</v>
      </c>
      <c r="H83" s="1699">
        <v>0.68730000000000002</v>
      </c>
      <c r="I83" s="1699">
        <v>0.65980799999999995</v>
      </c>
      <c r="J83" s="1699">
        <v>0.60702336000000001</v>
      </c>
      <c r="K83" s="1699">
        <v>0.57060195839999994</v>
      </c>
      <c r="L83" s="1699">
        <v>0.54207186047999989</v>
      </c>
      <c r="M83" s="1699">
        <v>0.52038898606079986</v>
      </c>
      <c r="N83" s="1699">
        <v>0.48396175703654387</v>
      </c>
      <c r="O83" s="1699">
        <v>0.47428252189581299</v>
      </c>
      <c r="P83" s="1699">
        <v>0.46479687145789672</v>
      </c>
      <c r="Q83" s="1699">
        <v>0.45550093402873876</v>
      </c>
      <c r="R83" s="1699">
        <v>0.45094592468845135</v>
      </c>
      <c r="S83" s="1699">
        <v>0.44643646544156684</v>
      </c>
      <c r="T83" s="1699">
        <v>0.44197210078715116</v>
      </c>
      <c r="U83" s="1694">
        <v>0.43755237977927963</v>
      </c>
      <c r="V83" s="1685">
        <v>0.43317685598148681</v>
      </c>
    </row>
    <row r="84" spans="1:22">
      <c r="A84" s="1532"/>
      <c r="B84" s="1689"/>
      <c r="C84" s="1531"/>
      <c r="D84" s="527" t="s">
        <v>877</v>
      </c>
      <c r="E84" s="1698"/>
      <c r="F84" s="1693"/>
      <c r="G84" s="1700"/>
      <c r="H84" s="1700"/>
      <c r="I84" s="1700"/>
      <c r="J84" s="1700"/>
      <c r="K84" s="1700"/>
      <c r="L84" s="1700"/>
      <c r="M84" s="1700"/>
      <c r="N84" s="1700"/>
      <c r="O84" s="1700"/>
      <c r="P84" s="1700"/>
      <c r="Q84" s="1700"/>
      <c r="R84" s="1700"/>
      <c r="S84" s="1700"/>
      <c r="T84" s="1700"/>
      <c r="U84" s="1695"/>
      <c r="V84" s="1686"/>
    </row>
    <row r="85" spans="1:22">
      <c r="A85" s="1532"/>
      <c r="B85" s="1689"/>
      <c r="C85" s="1674" t="s">
        <v>878</v>
      </c>
      <c r="D85" s="527" t="s">
        <v>879</v>
      </c>
      <c r="E85" s="1698"/>
      <c r="F85" s="1693"/>
      <c r="G85" s="1700"/>
      <c r="H85" s="1700"/>
      <c r="I85" s="1700"/>
      <c r="J85" s="1700"/>
      <c r="K85" s="1700"/>
      <c r="L85" s="1700"/>
      <c r="M85" s="1700"/>
      <c r="N85" s="1700"/>
      <c r="O85" s="1700"/>
      <c r="P85" s="1700"/>
      <c r="Q85" s="1700"/>
      <c r="R85" s="1700"/>
      <c r="S85" s="1700"/>
      <c r="T85" s="1700"/>
      <c r="U85" s="1695"/>
      <c r="V85" s="1686"/>
    </row>
    <row r="86" spans="1:22">
      <c r="A86" s="1532"/>
      <c r="B86" s="1689"/>
      <c r="C86" s="1675"/>
      <c r="D86" s="528" t="s">
        <v>880</v>
      </c>
      <c r="E86" s="1698"/>
      <c r="F86" s="1693"/>
      <c r="G86" s="1701"/>
      <c r="H86" s="1701"/>
      <c r="I86" s="1701"/>
      <c r="J86" s="1701"/>
      <c r="K86" s="1701"/>
      <c r="L86" s="1701"/>
      <c r="M86" s="1701"/>
      <c r="N86" s="1701"/>
      <c r="O86" s="1701"/>
      <c r="P86" s="1701"/>
      <c r="Q86" s="1701"/>
      <c r="R86" s="1701"/>
      <c r="S86" s="1701"/>
      <c r="T86" s="1701"/>
      <c r="U86" s="1696"/>
      <c r="V86" s="1687"/>
    </row>
    <row r="87" spans="1:22">
      <c r="A87" s="1532"/>
      <c r="B87" s="1688" t="s">
        <v>858</v>
      </c>
      <c r="C87" s="1530" t="s">
        <v>875</v>
      </c>
      <c r="D87" s="526" t="s">
        <v>876</v>
      </c>
      <c r="E87" s="1698"/>
      <c r="F87" s="1693"/>
      <c r="G87" s="1693"/>
      <c r="H87" s="1699">
        <v>0.87</v>
      </c>
      <c r="I87" s="1699">
        <v>0.83519999999999994</v>
      </c>
      <c r="J87" s="1699">
        <v>0.76838399999999996</v>
      </c>
      <c r="K87" s="1699">
        <v>0.72228095999999997</v>
      </c>
      <c r="L87" s="1699">
        <v>0.68616691199999991</v>
      </c>
      <c r="M87" s="1699">
        <v>0.65872023551999992</v>
      </c>
      <c r="N87" s="1699">
        <v>0.61260981903360001</v>
      </c>
      <c r="O87" s="1699">
        <v>0.60035762265292802</v>
      </c>
      <c r="P87" s="1699">
        <v>0.58835047019986941</v>
      </c>
      <c r="Q87" s="1699">
        <v>0.57658346079587197</v>
      </c>
      <c r="R87" s="1699">
        <v>0.57081762618791321</v>
      </c>
      <c r="S87" s="1699">
        <v>0.56510944992603407</v>
      </c>
      <c r="T87" s="1699">
        <v>0.55945835542677369</v>
      </c>
      <c r="U87" s="1694">
        <v>0.55386377187250591</v>
      </c>
      <c r="V87" s="1685">
        <v>0.54832513415378081</v>
      </c>
    </row>
    <row r="88" spans="1:22">
      <c r="A88" s="1532"/>
      <c r="B88" s="1689"/>
      <c r="C88" s="1531"/>
      <c r="D88" s="527" t="s">
        <v>877</v>
      </c>
      <c r="E88" s="1698"/>
      <c r="F88" s="1693"/>
      <c r="G88" s="1693"/>
      <c r="H88" s="1700"/>
      <c r="I88" s="1700"/>
      <c r="J88" s="1700"/>
      <c r="K88" s="1700"/>
      <c r="L88" s="1700"/>
      <c r="M88" s="1700"/>
      <c r="N88" s="1700"/>
      <c r="O88" s="1700"/>
      <c r="P88" s="1700"/>
      <c r="Q88" s="1700"/>
      <c r="R88" s="1700"/>
      <c r="S88" s="1700"/>
      <c r="T88" s="1700"/>
      <c r="U88" s="1695"/>
      <c r="V88" s="1686"/>
    </row>
    <row r="89" spans="1:22">
      <c r="A89" s="1532"/>
      <c r="B89" s="1689"/>
      <c r="C89" s="1674" t="s">
        <v>878</v>
      </c>
      <c r="D89" s="527" t="s">
        <v>879</v>
      </c>
      <c r="E89" s="1698"/>
      <c r="F89" s="1693"/>
      <c r="G89" s="1693"/>
      <c r="H89" s="1700"/>
      <c r="I89" s="1700"/>
      <c r="J89" s="1700"/>
      <c r="K89" s="1700"/>
      <c r="L89" s="1700"/>
      <c r="M89" s="1700"/>
      <c r="N89" s="1700"/>
      <c r="O89" s="1700"/>
      <c r="P89" s="1700"/>
      <c r="Q89" s="1700"/>
      <c r="R89" s="1700"/>
      <c r="S89" s="1700"/>
      <c r="T89" s="1700"/>
      <c r="U89" s="1695"/>
      <c r="V89" s="1686"/>
    </row>
    <row r="90" spans="1:22">
      <c r="A90" s="1532"/>
      <c r="B90" s="1689"/>
      <c r="C90" s="1675"/>
      <c r="D90" s="528" t="s">
        <v>880</v>
      </c>
      <c r="E90" s="1698"/>
      <c r="F90" s="1693"/>
      <c r="G90" s="1693"/>
      <c r="H90" s="1701"/>
      <c r="I90" s="1701"/>
      <c r="J90" s="1701"/>
      <c r="K90" s="1701"/>
      <c r="L90" s="1701"/>
      <c r="M90" s="1701"/>
      <c r="N90" s="1701"/>
      <c r="O90" s="1701"/>
      <c r="P90" s="1701"/>
      <c r="Q90" s="1701"/>
      <c r="R90" s="1701"/>
      <c r="S90" s="1701"/>
      <c r="T90" s="1701"/>
      <c r="U90" s="1696"/>
      <c r="V90" s="1687"/>
    </row>
    <row r="91" spans="1:22">
      <c r="A91" s="1532"/>
      <c r="B91" s="1702" t="s">
        <v>859</v>
      </c>
      <c r="C91" s="1530" t="s">
        <v>875</v>
      </c>
      <c r="D91" s="526" t="s">
        <v>876</v>
      </c>
      <c r="E91" s="1698"/>
      <c r="F91" s="1693"/>
      <c r="G91" s="1693"/>
      <c r="H91" s="1693"/>
      <c r="I91" s="1699">
        <v>0.96</v>
      </c>
      <c r="J91" s="1699">
        <v>0.88319999999999999</v>
      </c>
      <c r="K91" s="1699">
        <v>0.83020799999999995</v>
      </c>
      <c r="L91" s="1699">
        <v>0.78869759999999989</v>
      </c>
      <c r="M91" s="1699">
        <v>0.75714969599999982</v>
      </c>
      <c r="N91" s="1699">
        <v>0.70414921727999991</v>
      </c>
      <c r="O91" s="1699">
        <v>0.69006623293439995</v>
      </c>
      <c r="P91" s="1699">
        <v>0.67626490827571195</v>
      </c>
      <c r="Q91" s="1699">
        <v>0.66273961011019766</v>
      </c>
      <c r="R91" s="1699">
        <v>0.6561122140090957</v>
      </c>
      <c r="S91" s="1699">
        <v>0.64955109186900473</v>
      </c>
      <c r="T91" s="1699">
        <v>0.64305558095031468</v>
      </c>
      <c r="U91" s="1694">
        <v>0.63662502514081154</v>
      </c>
      <c r="V91" s="1685">
        <v>0.63025877488940341</v>
      </c>
    </row>
    <row r="92" spans="1:22">
      <c r="A92" s="1532"/>
      <c r="B92" s="1703"/>
      <c r="C92" s="1531"/>
      <c r="D92" s="527" t="s">
        <v>877</v>
      </c>
      <c r="E92" s="1698"/>
      <c r="F92" s="1693"/>
      <c r="G92" s="1693"/>
      <c r="H92" s="1693"/>
      <c r="I92" s="1700"/>
      <c r="J92" s="1700"/>
      <c r="K92" s="1700"/>
      <c r="L92" s="1700"/>
      <c r="M92" s="1700"/>
      <c r="N92" s="1700"/>
      <c r="O92" s="1700"/>
      <c r="P92" s="1700"/>
      <c r="Q92" s="1700"/>
      <c r="R92" s="1700"/>
      <c r="S92" s="1700"/>
      <c r="T92" s="1700"/>
      <c r="U92" s="1695"/>
      <c r="V92" s="1686"/>
    </row>
    <row r="93" spans="1:22">
      <c r="A93" s="1532"/>
      <c r="B93" s="1703"/>
      <c r="C93" s="1674" t="s">
        <v>878</v>
      </c>
      <c r="D93" s="527" t="s">
        <v>879</v>
      </c>
      <c r="E93" s="1698"/>
      <c r="F93" s="1693"/>
      <c r="G93" s="1693"/>
      <c r="H93" s="1693"/>
      <c r="I93" s="1700"/>
      <c r="J93" s="1700"/>
      <c r="K93" s="1700"/>
      <c r="L93" s="1700"/>
      <c r="M93" s="1700"/>
      <c r="N93" s="1700"/>
      <c r="O93" s="1700"/>
      <c r="P93" s="1700"/>
      <c r="Q93" s="1700"/>
      <c r="R93" s="1700"/>
      <c r="S93" s="1700"/>
      <c r="T93" s="1700"/>
      <c r="U93" s="1695"/>
      <c r="V93" s="1686"/>
    </row>
    <row r="94" spans="1:22">
      <c r="A94" s="1532"/>
      <c r="B94" s="1703"/>
      <c r="C94" s="1675"/>
      <c r="D94" s="528" t="s">
        <v>880</v>
      </c>
      <c r="E94" s="1698"/>
      <c r="F94" s="1693"/>
      <c r="G94" s="1693"/>
      <c r="H94" s="1693"/>
      <c r="I94" s="1701"/>
      <c r="J94" s="1701"/>
      <c r="K94" s="1701"/>
      <c r="L94" s="1701"/>
      <c r="M94" s="1701"/>
      <c r="N94" s="1701"/>
      <c r="O94" s="1701"/>
      <c r="P94" s="1701"/>
      <c r="Q94" s="1701"/>
      <c r="R94" s="1701"/>
      <c r="S94" s="1701"/>
      <c r="T94" s="1701"/>
      <c r="U94" s="1696"/>
      <c r="V94" s="1687"/>
    </row>
    <row r="95" spans="1:22">
      <c r="A95" s="1532"/>
      <c r="B95" s="1697" t="s">
        <v>860</v>
      </c>
      <c r="C95" s="1530" t="s">
        <v>875</v>
      </c>
      <c r="D95" s="526" t="s">
        <v>876</v>
      </c>
      <c r="E95" s="1698"/>
      <c r="F95" s="1693"/>
      <c r="G95" s="1693"/>
      <c r="H95" s="1693"/>
      <c r="I95" s="1693"/>
      <c r="J95" s="1699">
        <v>0.92</v>
      </c>
      <c r="K95" s="1699">
        <v>0.86480000000000001</v>
      </c>
      <c r="L95" s="1699">
        <v>0.82155999999999996</v>
      </c>
      <c r="M95" s="1699">
        <v>0.78869759999999989</v>
      </c>
      <c r="N95" s="1699">
        <v>0.73348876799999996</v>
      </c>
      <c r="O95" s="1699">
        <v>0.71881899263999993</v>
      </c>
      <c r="P95" s="1699">
        <v>0.70444261278719988</v>
      </c>
      <c r="Q95" s="1699">
        <v>0.69035376053145592</v>
      </c>
      <c r="R95" s="1699">
        <v>0.68345022292614133</v>
      </c>
      <c r="S95" s="1699">
        <v>0.67661572069687992</v>
      </c>
      <c r="T95" s="1699">
        <v>0.66984956348991109</v>
      </c>
      <c r="U95" s="1694">
        <v>0.66315106785501199</v>
      </c>
      <c r="V95" s="1685">
        <v>0.65651955717646182</v>
      </c>
    </row>
    <row r="96" spans="1:22">
      <c r="A96" s="1532"/>
      <c r="B96" s="1689"/>
      <c r="C96" s="1531"/>
      <c r="D96" s="527" t="s">
        <v>877</v>
      </c>
      <c r="E96" s="1698"/>
      <c r="F96" s="1693"/>
      <c r="G96" s="1693"/>
      <c r="H96" s="1693"/>
      <c r="I96" s="1693"/>
      <c r="J96" s="1700"/>
      <c r="K96" s="1700"/>
      <c r="L96" s="1700"/>
      <c r="M96" s="1700"/>
      <c r="N96" s="1700"/>
      <c r="O96" s="1700"/>
      <c r="P96" s="1700"/>
      <c r="Q96" s="1700"/>
      <c r="R96" s="1700"/>
      <c r="S96" s="1700"/>
      <c r="T96" s="1700"/>
      <c r="U96" s="1695"/>
      <c r="V96" s="1686"/>
    </row>
    <row r="97" spans="1:22">
      <c r="A97" s="1532"/>
      <c r="B97" s="1689"/>
      <c r="C97" s="1674" t="s">
        <v>878</v>
      </c>
      <c r="D97" s="527" t="s">
        <v>879</v>
      </c>
      <c r="E97" s="1698"/>
      <c r="F97" s="1693"/>
      <c r="G97" s="1693"/>
      <c r="H97" s="1693"/>
      <c r="I97" s="1693"/>
      <c r="J97" s="1700"/>
      <c r="K97" s="1700"/>
      <c r="L97" s="1700"/>
      <c r="M97" s="1700"/>
      <c r="N97" s="1700"/>
      <c r="O97" s="1700"/>
      <c r="P97" s="1700"/>
      <c r="Q97" s="1700"/>
      <c r="R97" s="1700"/>
      <c r="S97" s="1700"/>
      <c r="T97" s="1700"/>
      <c r="U97" s="1695"/>
      <c r="V97" s="1686"/>
    </row>
    <row r="98" spans="1:22">
      <c r="A98" s="1532"/>
      <c r="B98" s="1689"/>
      <c r="C98" s="1675"/>
      <c r="D98" s="528" t="s">
        <v>880</v>
      </c>
      <c r="E98" s="1698"/>
      <c r="F98" s="1693"/>
      <c r="G98" s="1693"/>
      <c r="H98" s="1693"/>
      <c r="I98" s="1693"/>
      <c r="J98" s="1701"/>
      <c r="K98" s="1701"/>
      <c r="L98" s="1701"/>
      <c r="M98" s="1701"/>
      <c r="N98" s="1701"/>
      <c r="O98" s="1701"/>
      <c r="P98" s="1701"/>
      <c r="Q98" s="1701"/>
      <c r="R98" s="1701"/>
      <c r="S98" s="1701"/>
      <c r="T98" s="1701"/>
      <c r="U98" s="1696"/>
      <c r="V98" s="1687"/>
    </row>
    <row r="99" spans="1:22">
      <c r="A99" s="1532"/>
      <c r="B99" s="1697" t="s">
        <v>861</v>
      </c>
      <c r="C99" s="1530" t="s">
        <v>875</v>
      </c>
      <c r="D99" s="526" t="s">
        <v>876</v>
      </c>
      <c r="E99" s="1698"/>
      <c r="F99" s="1693"/>
      <c r="G99" s="1693"/>
      <c r="H99" s="1693"/>
      <c r="I99" s="1693"/>
      <c r="J99" s="1693"/>
      <c r="K99" s="1699">
        <v>0.94</v>
      </c>
      <c r="L99" s="1699">
        <v>0.8929999999999999</v>
      </c>
      <c r="M99" s="1699">
        <v>0.85727999999999993</v>
      </c>
      <c r="N99" s="1699">
        <v>0.79727039999999993</v>
      </c>
      <c r="O99" s="1699">
        <v>0.78132499199999994</v>
      </c>
      <c r="P99" s="1699">
        <v>0.76569849215999997</v>
      </c>
      <c r="Q99" s="1699">
        <v>0.75038452231679997</v>
      </c>
      <c r="R99" s="1699">
        <v>0.74288067709363192</v>
      </c>
      <c r="S99" s="1699">
        <v>0.73545187032269554</v>
      </c>
      <c r="T99" s="1699">
        <v>0.72809735161946854</v>
      </c>
      <c r="U99" s="1694">
        <v>0.72081637810327381</v>
      </c>
      <c r="V99" s="1685">
        <v>0.71360821432224109</v>
      </c>
    </row>
    <row r="100" spans="1:22">
      <c r="A100" s="1532"/>
      <c r="B100" s="1689"/>
      <c r="C100" s="1531"/>
      <c r="D100" s="527" t="s">
        <v>877</v>
      </c>
      <c r="E100" s="1698"/>
      <c r="F100" s="1693"/>
      <c r="G100" s="1693"/>
      <c r="H100" s="1693"/>
      <c r="I100" s="1693"/>
      <c r="J100" s="1693"/>
      <c r="K100" s="1700"/>
      <c r="L100" s="1700"/>
      <c r="M100" s="1700"/>
      <c r="N100" s="1700"/>
      <c r="O100" s="1700"/>
      <c r="P100" s="1700"/>
      <c r="Q100" s="1700"/>
      <c r="R100" s="1700"/>
      <c r="S100" s="1700"/>
      <c r="T100" s="1700"/>
      <c r="U100" s="1695"/>
      <c r="V100" s="1686"/>
    </row>
    <row r="101" spans="1:22">
      <c r="A101" s="1532"/>
      <c r="B101" s="1689"/>
      <c r="C101" s="1674" t="s">
        <v>878</v>
      </c>
      <c r="D101" s="527" t="s">
        <v>879</v>
      </c>
      <c r="E101" s="1698"/>
      <c r="F101" s="1693"/>
      <c r="G101" s="1693"/>
      <c r="H101" s="1693"/>
      <c r="I101" s="1693"/>
      <c r="J101" s="1693"/>
      <c r="K101" s="1700"/>
      <c r="L101" s="1700"/>
      <c r="M101" s="1700"/>
      <c r="N101" s="1700"/>
      <c r="O101" s="1700"/>
      <c r="P101" s="1700"/>
      <c r="Q101" s="1700"/>
      <c r="R101" s="1700"/>
      <c r="S101" s="1700"/>
      <c r="T101" s="1700"/>
      <c r="U101" s="1695"/>
      <c r="V101" s="1686"/>
    </row>
    <row r="102" spans="1:22">
      <c r="A102" s="1532"/>
      <c r="B102" s="1689"/>
      <c r="C102" s="1675"/>
      <c r="D102" s="528" t="s">
        <v>880</v>
      </c>
      <c r="E102" s="1698"/>
      <c r="F102" s="1693"/>
      <c r="G102" s="1693"/>
      <c r="H102" s="1693"/>
      <c r="I102" s="1693"/>
      <c r="J102" s="1693"/>
      <c r="K102" s="1701"/>
      <c r="L102" s="1701"/>
      <c r="M102" s="1701"/>
      <c r="N102" s="1701"/>
      <c r="O102" s="1701"/>
      <c r="P102" s="1701"/>
      <c r="Q102" s="1701"/>
      <c r="R102" s="1701"/>
      <c r="S102" s="1701"/>
      <c r="T102" s="1701"/>
      <c r="U102" s="1696"/>
      <c r="V102" s="1687"/>
    </row>
    <row r="103" spans="1:22">
      <c r="A103" s="1532"/>
      <c r="B103" s="1697" t="s">
        <v>862</v>
      </c>
      <c r="C103" s="1530" t="s">
        <v>875</v>
      </c>
      <c r="D103" s="526" t="s">
        <v>876</v>
      </c>
      <c r="E103" s="1698"/>
      <c r="F103" s="1693"/>
      <c r="G103" s="1693"/>
      <c r="H103" s="1693"/>
      <c r="I103" s="1693"/>
      <c r="J103" s="1693"/>
      <c r="K103" s="1693"/>
      <c r="L103" s="1699">
        <v>0.95</v>
      </c>
      <c r="M103" s="1699">
        <v>0.91199999999999992</v>
      </c>
      <c r="N103" s="1699">
        <v>0.84816000000000003</v>
      </c>
      <c r="O103" s="1699">
        <v>0.83119679999999996</v>
      </c>
      <c r="P103" s="1699">
        <v>0.81457286399999995</v>
      </c>
      <c r="Q103" s="1699">
        <v>0.79828140671999992</v>
      </c>
      <c r="R103" s="1699">
        <v>0.79029859265279989</v>
      </c>
      <c r="S103" s="1699">
        <v>0.78239560672627184</v>
      </c>
      <c r="T103" s="1699">
        <v>0.77457165065900913</v>
      </c>
      <c r="U103" s="1694">
        <v>0.76682593415241906</v>
      </c>
      <c r="V103" s="1685">
        <v>0.75915767481089491</v>
      </c>
    </row>
    <row r="104" spans="1:22">
      <c r="A104" s="1532"/>
      <c r="B104" s="1689"/>
      <c r="C104" s="1531"/>
      <c r="D104" s="527" t="s">
        <v>877</v>
      </c>
      <c r="E104" s="1698"/>
      <c r="F104" s="1693"/>
      <c r="G104" s="1693"/>
      <c r="H104" s="1693"/>
      <c r="I104" s="1693"/>
      <c r="J104" s="1693"/>
      <c r="K104" s="1693"/>
      <c r="L104" s="1700"/>
      <c r="M104" s="1700"/>
      <c r="N104" s="1700"/>
      <c r="O104" s="1700"/>
      <c r="P104" s="1700"/>
      <c r="Q104" s="1700"/>
      <c r="R104" s="1700"/>
      <c r="S104" s="1700"/>
      <c r="T104" s="1700"/>
      <c r="U104" s="1695"/>
      <c r="V104" s="1686"/>
    </row>
    <row r="105" spans="1:22">
      <c r="A105" s="1532"/>
      <c r="B105" s="1689"/>
      <c r="C105" s="1674" t="s">
        <v>878</v>
      </c>
      <c r="D105" s="527" t="s">
        <v>879</v>
      </c>
      <c r="E105" s="1698"/>
      <c r="F105" s="1693"/>
      <c r="G105" s="1693"/>
      <c r="H105" s="1693"/>
      <c r="I105" s="1693"/>
      <c r="J105" s="1693"/>
      <c r="K105" s="1693"/>
      <c r="L105" s="1700"/>
      <c r="M105" s="1700"/>
      <c r="N105" s="1700"/>
      <c r="O105" s="1700"/>
      <c r="P105" s="1700"/>
      <c r="Q105" s="1700"/>
      <c r="R105" s="1700"/>
      <c r="S105" s="1700"/>
      <c r="T105" s="1700"/>
      <c r="U105" s="1695"/>
      <c r="V105" s="1686"/>
    </row>
    <row r="106" spans="1:22">
      <c r="A106" s="1532"/>
      <c r="B106" s="1689"/>
      <c r="C106" s="1675"/>
      <c r="D106" s="528" t="s">
        <v>880</v>
      </c>
      <c r="E106" s="1698"/>
      <c r="F106" s="1693"/>
      <c r="G106" s="1693"/>
      <c r="H106" s="1693"/>
      <c r="I106" s="1693"/>
      <c r="J106" s="1693"/>
      <c r="K106" s="1693"/>
      <c r="L106" s="1701"/>
      <c r="M106" s="1701"/>
      <c r="N106" s="1701"/>
      <c r="O106" s="1701"/>
      <c r="P106" s="1701"/>
      <c r="Q106" s="1701"/>
      <c r="R106" s="1701"/>
      <c r="S106" s="1701"/>
      <c r="T106" s="1701"/>
      <c r="U106" s="1696"/>
      <c r="V106" s="1687"/>
    </row>
    <row r="107" spans="1:22">
      <c r="A107" s="1532"/>
      <c r="B107" s="1697" t="s">
        <v>863</v>
      </c>
      <c r="C107" s="1530" t="s">
        <v>875</v>
      </c>
      <c r="D107" s="526" t="s">
        <v>876</v>
      </c>
      <c r="E107" s="1698"/>
      <c r="F107" s="1693"/>
      <c r="G107" s="1693"/>
      <c r="H107" s="1693"/>
      <c r="I107" s="1693"/>
      <c r="J107" s="1693"/>
      <c r="K107" s="1693"/>
      <c r="L107" s="1693"/>
      <c r="M107" s="1699">
        <v>0.96</v>
      </c>
      <c r="N107" s="1699">
        <v>0.89280000000000004</v>
      </c>
      <c r="O107" s="1699">
        <v>0.87494400000000006</v>
      </c>
      <c r="P107" s="1699">
        <v>0.85744512000000006</v>
      </c>
      <c r="Q107" s="1699">
        <v>0.84029621760000006</v>
      </c>
      <c r="R107" s="1699">
        <v>0.83189325542400006</v>
      </c>
      <c r="S107" s="1699">
        <v>0.82357432286976007</v>
      </c>
      <c r="T107" s="1699">
        <v>0.81533857964106249</v>
      </c>
      <c r="U107" s="1694">
        <v>0.80718519384465182</v>
      </c>
      <c r="V107" s="1685">
        <v>0.79911334190620531</v>
      </c>
    </row>
    <row r="108" spans="1:22">
      <c r="A108" s="1532"/>
      <c r="B108" s="1689"/>
      <c r="C108" s="1531"/>
      <c r="D108" s="527" t="s">
        <v>877</v>
      </c>
      <c r="E108" s="1698"/>
      <c r="F108" s="1693"/>
      <c r="G108" s="1693"/>
      <c r="H108" s="1693"/>
      <c r="I108" s="1693"/>
      <c r="J108" s="1693"/>
      <c r="K108" s="1693"/>
      <c r="L108" s="1693"/>
      <c r="M108" s="1700"/>
      <c r="N108" s="1700"/>
      <c r="O108" s="1700"/>
      <c r="P108" s="1700"/>
      <c r="Q108" s="1700"/>
      <c r="R108" s="1700"/>
      <c r="S108" s="1700"/>
      <c r="T108" s="1700"/>
      <c r="U108" s="1695"/>
      <c r="V108" s="1686"/>
    </row>
    <row r="109" spans="1:22">
      <c r="A109" s="1532"/>
      <c r="B109" s="1689"/>
      <c r="C109" s="1674" t="s">
        <v>878</v>
      </c>
      <c r="D109" s="527" t="s">
        <v>879</v>
      </c>
      <c r="E109" s="1698"/>
      <c r="F109" s="1693"/>
      <c r="G109" s="1693"/>
      <c r="H109" s="1693"/>
      <c r="I109" s="1693"/>
      <c r="J109" s="1693"/>
      <c r="K109" s="1693"/>
      <c r="L109" s="1693"/>
      <c r="M109" s="1700"/>
      <c r="N109" s="1700"/>
      <c r="O109" s="1700"/>
      <c r="P109" s="1700"/>
      <c r="Q109" s="1700"/>
      <c r="R109" s="1700"/>
      <c r="S109" s="1700"/>
      <c r="T109" s="1700"/>
      <c r="U109" s="1695"/>
      <c r="V109" s="1686"/>
    </row>
    <row r="110" spans="1:22">
      <c r="A110" s="1532"/>
      <c r="B110" s="1689"/>
      <c r="C110" s="1675"/>
      <c r="D110" s="528" t="s">
        <v>880</v>
      </c>
      <c r="E110" s="1698"/>
      <c r="F110" s="1693"/>
      <c r="G110" s="1693"/>
      <c r="H110" s="1693"/>
      <c r="I110" s="1693"/>
      <c r="J110" s="1693"/>
      <c r="K110" s="1693"/>
      <c r="L110" s="1693"/>
      <c r="M110" s="1701"/>
      <c r="N110" s="1701"/>
      <c r="O110" s="1701"/>
      <c r="P110" s="1701"/>
      <c r="Q110" s="1701"/>
      <c r="R110" s="1701"/>
      <c r="S110" s="1701"/>
      <c r="T110" s="1701"/>
      <c r="U110" s="1696"/>
      <c r="V110" s="1687"/>
    </row>
    <row r="111" spans="1:22">
      <c r="A111" s="1532"/>
      <c r="B111" s="1697" t="s">
        <v>864</v>
      </c>
      <c r="C111" s="1530" t="s">
        <v>875</v>
      </c>
      <c r="D111" s="526" t="s">
        <v>876</v>
      </c>
      <c r="E111" s="1698"/>
      <c r="F111" s="1693"/>
      <c r="G111" s="1693"/>
      <c r="H111" s="1693"/>
      <c r="I111" s="1693"/>
      <c r="J111" s="1693"/>
      <c r="K111" s="1693"/>
      <c r="L111" s="1693"/>
      <c r="M111" s="1693"/>
      <c r="N111" s="1699">
        <v>0.93</v>
      </c>
      <c r="O111" s="1699">
        <v>0.91139999999999999</v>
      </c>
      <c r="P111" s="1699">
        <v>0.89317199999999997</v>
      </c>
      <c r="Q111" s="1699">
        <v>0.8753085599999999</v>
      </c>
      <c r="R111" s="1699">
        <v>0.86655547439999991</v>
      </c>
      <c r="S111" s="1699">
        <v>0.85788991965599992</v>
      </c>
      <c r="T111" s="1699">
        <v>0.84931102045943996</v>
      </c>
      <c r="U111" s="1694">
        <v>0.84081791025484554</v>
      </c>
      <c r="V111" s="1685">
        <v>0.83240973115229711</v>
      </c>
    </row>
    <row r="112" spans="1:22">
      <c r="A112" s="1532"/>
      <c r="B112" s="1689"/>
      <c r="C112" s="1531"/>
      <c r="D112" s="527" t="s">
        <v>877</v>
      </c>
      <c r="E112" s="1698"/>
      <c r="F112" s="1693"/>
      <c r="G112" s="1693"/>
      <c r="H112" s="1693"/>
      <c r="I112" s="1693"/>
      <c r="J112" s="1693"/>
      <c r="K112" s="1693"/>
      <c r="L112" s="1693"/>
      <c r="M112" s="1693"/>
      <c r="N112" s="1700"/>
      <c r="O112" s="1700"/>
      <c r="P112" s="1700"/>
      <c r="Q112" s="1700"/>
      <c r="R112" s="1700"/>
      <c r="S112" s="1700"/>
      <c r="T112" s="1700"/>
      <c r="U112" s="1695"/>
      <c r="V112" s="1686"/>
    </row>
    <row r="113" spans="1:22">
      <c r="A113" s="1532"/>
      <c r="B113" s="1689"/>
      <c r="C113" s="1674" t="s">
        <v>878</v>
      </c>
      <c r="D113" s="527" t="s">
        <v>879</v>
      </c>
      <c r="E113" s="1698"/>
      <c r="F113" s="1693"/>
      <c r="G113" s="1693"/>
      <c r="H113" s="1693"/>
      <c r="I113" s="1693"/>
      <c r="J113" s="1693"/>
      <c r="K113" s="1693"/>
      <c r="L113" s="1693"/>
      <c r="M113" s="1693"/>
      <c r="N113" s="1700"/>
      <c r="O113" s="1700"/>
      <c r="P113" s="1700"/>
      <c r="Q113" s="1700"/>
      <c r="R113" s="1700"/>
      <c r="S113" s="1700"/>
      <c r="T113" s="1700"/>
      <c r="U113" s="1695"/>
      <c r="V113" s="1686"/>
    </row>
    <row r="114" spans="1:22">
      <c r="A114" s="1532"/>
      <c r="B114" s="1689"/>
      <c r="C114" s="1675"/>
      <c r="D114" s="528" t="s">
        <v>880</v>
      </c>
      <c r="E114" s="1698"/>
      <c r="F114" s="1693"/>
      <c r="G114" s="1693"/>
      <c r="H114" s="1693"/>
      <c r="I114" s="1693"/>
      <c r="J114" s="1693"/>
      <c r="K114" s="1693"/>
      <c r="L114" s="1693"/>
      <c r="M114" s="1693"/>
      <c r="N114" s="1701"/>
      <c r="O114" s="1701"/>
      <c r="P114" s="1701"/>
      <c r="Q114" s="1701"/>
      <c r="R114" s="1701"/>
      <c r="S114" s="1701"/>
      <c r="T114" s="1701"/>
      <c r="U114" s="1696"/>
      <c r="V114" s="1687"/>
    </row>
    <row r="115" spans="1:22">
      <c r="A115" s="1532"/>
      <c r="B115" s="1697" t="s">
        <v>865</v>
      </c>
      <c r="C115" s="1530" t="s">
        <v>875</v>
      </c>
      <c r="D115" s="526" t="s">
        <v>876</v>
      </c>
      <c r="E115" s="1698"/>
      <c r="F115" s="1693"/>
      <c r="G115" s="1693"/>
      <c r="H115" s="1693"/>
      <c r="I115" s="1693"/>
      <c r="J115" s="1693"/>
      <c r="K115" s="1693"/>
      <c r="L115" s="1693"/>
      <c r="M115" s="1693"/>
      <c r="N115" s="1693"/>
      <c r="O115" s="1699">
        <v>0.98</v>
      </c>
      <c r="P115" s="1699">
        <v>0.96039999999999992</v>
      </c>
      <c r="Q115" s="1699">
        <v>0.94119199999999992</v>
      </c>
      <c r="R115" s="1699">
        <v>0.9317800799999999</v>
      </c>
      <c r="S115" s="1699">
        <v>0.9224622791999999</v>
      </c>
      <c r="T115" s="1699">
        <v>0.91323765640799992</v>
      </c>
      <c r="U115" s="1694">
        <v>0.90410527984391986</v>
      </c>
      <c r="V115" s="1685">
        <v>0.89506422704548061</v>
      </c>
    </row>
    <row r="116" spans="1:22">
      <c r="A116" s="1532"/>
      <c r="B116" s="1689"/>
      <c r="C116" s="1531"/>
      <c r="D116" s="527" t="s">
        <v>877</v>
      </c>
      <c r="E116" s="1698"/>
      <c r="F116" s="1693"/>
      <c r="G116" s="1693"/>
      <c r="H116" s="1693"/>
      <c r="I116" s="1693"/>
      <c r="J116" s="1693"/>
      <c r="K116" s="1693"/>
      <c r="L116" s="1693"/>
      <c r="M116" s="1693"/>
      <c r="N116" s="1693"/>
      <c r="O116" s="1700"/>
      <c r="P116" s="1700"/>
      <c r="Q116" s="1700"/>
      <c r="R116" s="1700"/>
      <c r="S116" s="1700"/>
      <c r="T116" s="1700"/>
      <c r="U116" s="1695"/>
      <c r="V116" s="1686"/>
    </row>
    <row r="117" spans="1:22">
      <c r="A117" s="1532"/>
      <c r="B117" s="1689"/>
      <c r="C117" s="1674" t="s">
        <v>878</v>
      </c>
      <c r="D117" s="527" t="s">
        <v>879</v>
      </c>
      <c r="E117" s="1698"/>
      <c r="F117" s="1693"/>
      <c r="G117" s="1693"/>
      <c r="H117" s="1693"/>
      <c r="I117" s="1693"/>
      <c r="J117" s="1693"/>
      <c r="K117" s="1693"/>
      <c r="L117" s="1693"/>
      <c r="M117" s="1693"/>
      <c r="N117" s="1693"/>
      <c r="O117" s="1700"/>
      <c r="P117" s="1700"/>
      <c r="Q117" s="1700"/>
      <c r="R117" s="1700"/>
      <c r="S117" s="1700"/>
      <c r="T117" s="1700"/>
      <c r="U117" s="1695"/>
      <c r="V117" s="1686"/>
    </row>
    <row r="118" spans="1:22">
      <c r="A118" s="1532"/>
      <c r="B118" s="1689"/>
      <c r="C118" s="1675"/>
      <c r="D118" s="528" t="s">
        <v>880</v>
      </c>
      <c r="E118" s="1698"/>
      <c r="F118" s="1693"/>
      <c r="G118" s="1693"/>
      <c r="H118" s="1693"/>
      <c r="I118" s="1693"/>
      <c r="J118" s="1693"/>
      <c r="K118" s="1693"/>
      <c r="L118" s="1693"/>
      <c r="M118" s="1693"/>
      <c r="N118" s="1693"/>
      <c r="O118" s="1701"/>
      <c r="P118" s="1701"/>
      <c r="Q118" s="1701"/>
      <c r="R118" s="1701"/>
      <c r="S118" s="1701"/>
      <c r="T118" s="1701"/>
      <c r="U118" s="1696"/>
      <c r="V118" s="1687"/>
    </row>
    <row r="119" spans="1:22">
      <c r="A119" s="1532"/>
      <c r="B119" s="1697" t="s">
        <v>866</v>
      </c>
      <c r="C119" s="1530" t="s">
        <v>875</v>
      </c>
      <c r="D119" s="526" t="s">
        <v>876</v>
      </c>
      <c r="E119" s="1698"/>
      <c r="F119" s="1693"/>
      <c r="G119" s="1693"/>
      <c r="H119" s="1693"/>
      <c r="I119" s="1693"/>
      <c r="J119" s="1693"/>
      <c r="K119" s="1693"/>
      <c r="L119" s="1693"/>
      <c r="M119" s="1693"/>
      <c r="N119" s="1693"/>
      <c r="O119" s="1693"/>
      <c r="P119" s="1699">
        <v>0.98</v>
      </c>
      <c r="Q119" s="1699">
        <v>0.96039999999999992</v>
      </c>
      <c r="R119" s="1699">
        <v>0.95079599999999986</v>
      </c>
      <c r="S119" s="1699">
        <v>0.94128803999999988</v>
      </c>
      <c r="T119" s="1699">
        <v>0.93187515959999989</v>
      </c>
      <c r="U119" s="1694">
        <v>0.92255640800399985</v>
      </c>
      <c r="V119" s="1685">
        <v>0.9133308439239598</v>
      </c>
    </row>
    <row r="120" spans="1:22">
      <c r="A120" s="1532"/>
      <c r="B120" s="1689"/>
      <c r="C120" s="1531"/>
      <c r="D120" s="527" t="s">
        <v>877</v>
      </c>
      <c r="E120" s="1698"/>
      <c r="F120" s="1693"/>
      <c r="G120" s="1693"/>
      <c r="H120" s="1693"/>
      <c r="I120" s="1693"/>
      <c r="J120" s="1693"/>
      <c r="K120" s="1693"/>
      <c r="L120" s="1693"/>
      <c r="M120" s="1693"/>
      <c r="N120" s="1693"/>
      <c r="O120" s="1693"/>
      <c r="P120" s="1700"/>
      <c r="Q120" s="1700"/>
      <c r="R120" s="1700"/>
      <c r="S120" s="1700"/>
      <c r="T120" s="1700"/>
      <c r="U120" s="1695"/>
      <c r="V120" s="1686"/>
    </row>
    <row r="121" spans="1:22">
      <c r="A121" s="1532"/>
      <c r="B121" s="1689"/>
      <c r="C121" s="1674" t="s">
        <v>878</v>
      </c>
      <c r="D121" s="527" t="s">
        <v>879</v>
      </c>
      <c r="E121" s="1698"/>
      <c r="F121" s="1693"/>
      <c r="G121" s="1693"/>
      <c r="H121" s="1693"/>
      <c r="I121" s="1693"/>
      <c r="J121" s="1693"/>
      <c r="K121" s="1693"/>
      <c r="L121" s="1693"/>
      <c r="M121" s="1693"/>
      <c r="N121" s="1693"/>
      <c r="O121" s="1693"/>
      <c r="P121" s="1700"/>
      <c r="Q121" s="1700"/>
      <c r="R121" s="1700"/>
      <c r="S121" s="1700"/>
      <c r="T121" s="1700"/>
      <c r="U121" s="1695"/>
      <c r="V121" s="1686"/>
    </row>
    <row r="122" spans="1:22">
      <c r="A122" s="1532"/>
      <c r="B122" s="1689"/>
      <c r="C122" s="1675"/>
      <c r="D122" s="528" t="s">
        <v>880</v>
      </c>
      <c r="E122" s="1698"/>
      <c r="F122" s="1693"/>
      <c r="G122" s="1693"/>
      <c r="H122" s="1693"/>
      <c r="I122" s="1693"/>
      <c r="J122" s="1693"/>
      <c r="K122" s="1693"/>
      <c r="L122" s="1693"/>
      <c r="M122" s="1693"/>
      <c r="N122" s="1693"/>
      <c r="O122" s="1693"/>
      <c r="P122" s="1701"/>
      <c r="Q122" s="1701"/>
      <c r="R122" s="1701"/>
      <c r="S122" s="1701"/>
      <c r="T122" s="1701"/>
      <c r="U122" s="1696"/>
      <c r="V122" s="1687"/>
    </row>
    <row r="123" spans="1:22">
      <c r="A123" s="1532"/>
      <c r="B123" s="1697" t="s">
        <v>867</v>
      </c>
      <c r="C123" s="1530" t="s">
        <v>875</v>
      </c>
      <c r="D123" s="526" t="s">
        <v>876</v>
      </c>
      <c r="E123" s="1698"/>
      <c r="F123" s="1693"/>
      <c r="G123" s="1693"/>
      <c r="H123" s="1693"/>
      <c r="I123" s="1693"/>
      <c r="J123" s="1693"/>
      <c r="K123" s="1693"/>
      <c r="L123" s="1693"/>
      <c r="M123" s="1693"/>
      <c r="N123" s="1693"/>
      <c r="O123" s="1693"/>
      <c r="P123" s="1693"/>
      <c r="Q123" s="1699">
        <v>0.98</v>
      </c>
      <c r="R123" s="1699">
        <v>0.97019999999999995</v>
      </c>
      <c r="S123" s="1699">
        <v>0.96049799999999996</v>
      </c>
      <c r="T123" s="1699">
        <v>0.95089301999999998</v>
      </c>
      <c r="U123" s="1694">
        <v>0.94138408979999999</v>
      </c>
      <c r="V123" s="1685">
        <v>0.93197024890199998</v>
      </c>
    </row>
    <row r="124" spans="1:22">
      <c r="A124" s="1532"/>
      <c r="B124" s="1689"/>
      <c r="C124" s="1531"/>
      <c r="D124" s="527" t="s">
        <v>877</v>
      </c>
      <c r="E124" s="1698"/>
      <c r="F124" s="1693"/>
      <c r="G124" s="1693"/>
      <c r="H124" s="1693"/>
      <c r="I124" s="1693"/>
      <c r="J124" s="1693"/>
      <c r="K124" s="1693"/>
      <c r="L124" s="1693"/>
      <c r="M124" s="1693"/>
      <c r="N124" s="1693"/>
      <c r="O124" s="1693"/>
      <c r="P124" s="1693"/>
      <c r="Q124" s="1700"/>
      <c r="R124" s="1700"/>
      <c r="S124" s="1700"/>
      <c r="T124" s="1700"/>
      <c r="U124" s="1695"/>
      <c r="V124" s="1686"/>
    </row>
    <row r="125" spans="1:22">
      <c r="A125" s="1532"/>
      <c r="B125" s="1689"/>
      <c r="C125" s="1674" t="s">
        <v>878</v>
      </c>
      <c r="D125" s="527" t="s">
        <v>879</v>
      </c>
      <c r="E125" s="1698"/>
      <c r="F125" s="1693"/>
      <c r="G125" s="1693"/>
      <c r="H125" s="1693"/>
      <c r="I125" s="1693"/>
      <c r="J125" s="1693"/>
      <c r="K125" s="1693"/>
      <c r="L125" s="1693"/>
      <c r="M125" s="1693"/>
      <c r="N125" s="1693"/>
      <c r="O125" s="1693"/>
      <c r="P125" s="1693"/>
      <c r="Q125" s="1700"/>
      <c r="R125" s="1700"/>
      <c r="S125" s="1700"/>
      <c r="T125" s="1700"/>
      <c r="U125" s="1695"/>
      <c r="V125" s="1686"/>
    </row>
    <row r="126" spans="1:22">
      <c r="A126" s="1532"/>
      <c r="B126" s="1689"/>
      <c r="C126" s="1675"/>
      <c r="D126" s="528" t="s">
        <v>880</v>
      </c>
      <c r="E126" s="1698"/>
      <c r="F126" s="1693"/>
      <c r="G126" s="1693"/>
      <c r="H126" s="1693"/>
      <c r="I126" s="1693"/>
      <c r="J126" s="1693"/>
      <c r="K126" s="1693"/>
      <c r="L126" s="1693"/>
      <c r="M126" s="1693"/>
      <c r="N126" s="1693"/>
      <c r="O126" s="1693"/>
      <c r="P126" s="1693"/>
      <c r="Q126" s="1701"/>
      <c r="R126" s="1701"/>
      <c r="S126" s="1701"/>
      <c r="T126" s="1701"/>
      <c r="U126" s="1696"/>
      <c r="V126" s="1687"/>
    </row>
    <row r="127" spans="1:22">
      <c r="A127" s="1532"/>
      <c r="B127" s="1697" t="s">
        <v>868</v>
      </c>
      <c r="C127" s="1530" t="s">
        <v>875</v>
      </c>
      <c r="D127" s="526" t="s">
        <v>876</v>
      </c>
      <c r="E127" s="1698"/>
      <c r="F127" s="1693"/>
      <c r="G127" s="1693"/>
      <c r="H127" s="1693"/>
      <c r="I127" s="1693"/>
      <c r="J127" s="1693"/>
      <c r="K127" s="1693"/>
      <c r="L127" s="1693"/>
      <c r="M127" s="1693"/>
      <c r="N127" s="1693"/>
      <c r="O127" s="1693"/>
      <c r="P127" s="1693"/>
      <c r="Q127" s="1693"/>
      <c r="R127" s="1699">
        <v>0.99</v>
      </c>
      <c r="S127" s="1699">
        <v>0.98009999999999997</v>
      </c>
      <c r="T127" s="1699">
        <v>0.97029899999999991</v>
      </c>
      <c r="U127" s="1694">
        <v>0.96059600999999994</v>
      </c>
      <c r="V127" s="1685">
        <v>0.95099004989999991</v>
      </c>
    </row>
    <row r="128" spans="1:22">
      <c r="A128" s="1532"/>
      <c r="B128" s="1689"/>
      <c r="C128" s="1531"/>
      <c r="D128" s="527" t="s">
        <v>877</v>
      </c>
      <c r="E128" s="1698"/>
      <c r="F128" s="1693"/>
      <c r="G128" s="1693"/>
      <c r="H128" s="1693"/>
      <c r="I128" s="1693"/>
      <c r="J128" s="1693"/>
      <c r="K128" s="1693"/>
      <c r="L128" s="1693"/>
      <c r="M128" s="1693"/>
      <c r="N128" s="1693"/>
      <c r="O128" s="1693"/>
      <c r="P128" s="1693"/>
      <c r="Q128" s="1693"/>
      <c r="R128" s="1700"/>
      <c r="S128" s="1700"/>
      <c r="T128" s="1700"/>
      <c r="U128" s="1695"/>
      <c r="V128" s="1686"/>
    </row>
    <row r="129" spans="1:22">
      <c r="A129" s="1532"/>
      <c r="B129" s="1689"/>
      <c r="C129" s="1674" t="s">
        <v>878</v>
      </c>
      <c r="D129" s="527" t="s">
        <v>879</v>
      </c>
      <c r="E129" s="1698"/>
      <c r="F129" s="1693"/>
      <c r="G129" s="1693"/>
      <c r="H129" s="1693"/>
      <c r="I129" s="1693"/>
      <c r="J129" s="1693"/>
      <c r="K129" s="1693"/>
      <c r="L129" s="1693"/>
      <c r="M129" s="1693"/>
      <c r="N129" s="1693"/>
      <c r="O129" s="1693"/>
      <c r="P129" s="1693"/>
      <c r="Q129" s="1693"/>
      <c r="R129" s="1700"/>
      <c r="S129" s="1700"/>
      <c r="T129" s="1700"/>
      <c r="U129" s="1695"/>
      <c r="V129" s="1686"/>
    </row>
    <row r="130" spans="1:22">
      <c r="A130" s="1532"/>
      <c r="B130" s="1689"/>
      <c r="C130" s="1675"/>
      <c r="D130" s="528" t="s">
        <v>880</v>
      </c>
      <c r="E130" s="1698"/>
      <c r="F130" s="1693"/>
      <c r="G130" s="1693"/>
      <c r="H130" s="1693"/>
      <c r="I130" s="1693"/>
      <c r="J130" s="1693"/>
      <c r="K130" s="1693"/>
      <c r="L130" s="1693"/>
      <c r="M130" s="1693"/>
      <c r="N130" s="1693"/>
      <c r="O130" s="1693"/>
      <c r="P130" s="1693"/>
      <c r="Q130" s="1693"/>
      <c r="R130" s="1701"/>
      <c r="S130" s="1701"/>
      <c r="T130" s="1701"/>
      <c r="U130" s="1696"/>
      <c r="V130" s="1687"/>
    </row>
    <row r="131" spans="1:22">
      <c r="A131" s="1532"/>
      <c r="B131" s="1697" t="s">
        <v>869</v>
      </c>
      <c r="C131" s="1530" t="s">
        <v>875</v>
      </c>
      <c r="D131" s="526" t="s">
        <v>876</v>
      </c>
      <c r="E131" s="1698"/>
      <c r="F131" s="1693"/>
      <c r="G131" s="1693"/>
      <c r="H131" s="1693"/>
      <c r="I131" s="1693"/>
      <c r="J131" s="1693"/>
      <c r="K131" s="1693"/>
      <c r="L131" s="1693"/>
      <c r="M131" s="1693"/>
      <c r="N131" s="1693"/>
      <c r="O131" s="1693"/>
      <c r="P131" s="1693"/>
      <c r="Q131" s="1693"/>
      <c r="R131" s="1693"/>
      <c r="S131" s="1699">
        <v>0.99</v>
      </c>
      <c r="T131" s="1699">
        <v>0.98009999999999997</v>
      </c>
      <c r="U131" s="1694">
        <v>0.97029899999999991</v>
      </c>
      <c r="V131" s="1685">
        <v>0.96059600999999994</v>
      </c>
    </row>
    <row r="132" spans="1:22">
      <c r="A132" s="1532"/>
      <c r="B132" s="1689"/>
      <c r="C132" s="1531"/>
      <c r="D132" s="527" t="s">
        <v>877</v>
      </c>
      <c r="E132" s="1698"/>
      <c r="F132" s="1693"/>
      <c r="G132" s="1693"/>
      <c r="H132" s="1693"/>
      <c r="I132" s="1693"/>
      <c r="J132" s="1693"/>
      <c r="K132" s="1693"/>
      <c r="L132" s="1693"/>
      <c r="M132" s="1693"/>
      <c r="N132" s="1693"/>
      <c r="O132" s="1693"/>
      <c r="P132" s="1693"/>
      <c r="Q132" s="1693"/>
      <c r="R132" s="1693"/>
      <c r="S132" s="1700"/>
      <c r="T132" s="1700"/>
      <c r="U132" s="1695"/>
      <c r="V132" s="1686"/>
    </row>
    <row r="133" spans="1:22">
      <c r="A133" s="1532"/>
      <c r="B133" s="1689"/>
      <c r="C133" s="1674" t="s">
        <v>878</v>
      </c>
      <c r="D133" s="527" t="s">
        <v>879</v>
      </c>
      <c r="E133" s="1698"/>
      <c r="F133" s="1693"/>
      <c r="G133" s="1693"/>
      <c r="H133" s="1693"/>
      <c r="I133" s="1693"/>
      <c r="J133" s="1693"/>
      <c r="K133" s="1693"/>
      <c r="L133" s="1693"/>
      <c r="M133" s="1693"/>
      <c r="N133" s="1693"/>
      <c r="O133" s="1693"/>
      <c r="P133" s="1693"/>
      <c r="Q133" s="1693"/>
      <c r="R133" s="1693"/>
      <c r="S133" s="1700"/>
      <c r="T133" s="1700"/>
      <c r="U133" s="1695"/>
      <c r="V133" s="1686"/>
    </row>
    <row r="134" spans="1:22">
      <c r="A134" s="1532"/>
      <c r="B134" s="1689"/>
      <c r="C134" s="1675"/>
      <c r="D134" s="528" t="s">
        <v>880</v>
      </c>
      <c r="E134" s="1698"/>
      <c r="F134" s="1693"/>
      <c r="G134" s="1693"/>
      <c r="H134" s="1693"/>
      <c r="I134" s="1693"/>
      <c r="J134" s="1693"/>
      <c r="K134" s="1693"/>
      <c r="L134" s="1693"/>
      <c r="M134" s="1693"/>
      <c r="N134" s="1693"/>
      <c r="O134" s="1693"/>
      <c r="P134" s="1693"/>
      <c r="Q134" s="1693"/>
      <c r="R134" s="1693"/>
      <c r="S134" s="1701"/>
      <c r="T134" s="1701"/>
      <c r="U134" s="1696"/>
      <c r="V134" s="1687"/>
    </row>
    <row r="135" spans="1:22">
      <c r="A135" s="1532"/>
      <c r="B135" s="1697" t="s">
        <v>870</v>
      </c>
      <c r="C135" s="1530" t="s">
        <v>875</v>
      </c>
      <c r="D135" s="526" t="s">
        <v>876</v>
      </c>
      <c r="E135" s="1698"/>
      <c r="F135" s="1693"/>
      <c r="G135" s="1693"/>
      <c r="H135" s="1693"/>
      <c r="I135" s="1693"/>
      <c r="J135" s="1693"/>
      <c r="K135" s="1693"/>
      <c r="L135" s="1693"/>
      <c r="M135" s="1693"/>
      <c r="N135" s="1693"/>
      <c r="O135" s="1693"/>
      <c r="P135" s="1693"/>
      <c r="Q135" s="1693"/>
      <c r="R135" s="1693"/>
      <c r="S135" s="1693"/>
      <c r="T135" s="1699">
        <v>0.99</v>
      </c>
      <c r="U135" s="1694">
        <v>0.98009999999999997</v>
      </c>
      <c r="V135" s="1685">
        <v>0.97029899999999991</v>
      </c>
    </row>
    <row r="136" spans="1:22">
      <c r="A136" s="1532"/>
      <c r="B136" s="1689"/>
      <c r="C136" s="1531"/>
      <c r="D136" s="527" t="s">
        <v>877</v>
      </c>
      <c r="E136" s="1698"/>
      <c r="F136" s="1693"/>
      <c r="G136" s="1693"/>
      <c r="H136" s="1693"/>
      <c r="I136" s="1693"/>
      <c r="J136" s="1693"/>
      <c r="K136" s="1693"/>
      <c r="L136" s="1693"/>
      <c r="M136" s="1693"/>
      <c r="N136" s="1693"/>
      <c r="O136" s="1693"/>
      <c r="P136" s="1693"/>
      <c r="Q136" s="1693"/>
      <c r="R136" s="1693"/>
      <c r="S136" s="1693"/>
      <c r="T136" s="1700"/>
      <c r="U136" s="1695"/>
      <c r="V136" s="1686"/>
    </row>
    <row r="137" spans="1:22">
      <c r="A137" s="1532"/>
      <c r="B137" s="1689"/>
      <c r="C137" s="1674" t="s">
        <v>878</v>
      </c>
      <c r="D137" s="527" t="s">
        <v>879</v>
      </c>
      <c r="E137" s="1698"/>
      <c r="F137" s="1693"/>
      <c r="G137" s="1693"/>
      <c r="H137" s="1693"/>
      <c r="I137" s="1693"/>
      <c r="J137" s="1693"/>
      <c r="K137" s="1693"/>
      <c r="L137" s="1693"/>
      <c r="M137" s="1693"/>
      <c r="N137" s="1693"/>
      <c r="O137" s="1693"/>
      <c r="P137" s="1693"/>
      <c r="Q137" s="1693"/>
      <c r="R137" s="1693"/>
      <c r="S137" s="1693"/>
      <c r="T137" s="1700"/>
      <c r="U137" s="1695"/>
      <c r="V137" s="1686"/>
    </row>
    <row r="138" spans="1:22">
      <c r="A138" s="1532"/>
      <c r="B138" s="1689"/>
      <c r="C138" s="1675"/>
      <c r="D138" s="528" t="s">
        <v>880</v>
      </c>
      <c r="E138" s="1698"/>
      <c r="F138" s="1693"/>
      <c r="G138" s="1693"/>
      <c r="H138" s="1693"/>
      <c r="I138" s="1693"/>
      <c r="J138" s="1693"/>
      <c r="K138" s="1693"/>
      <c r="L138" s="1693"/>
      <c r="M138" s="1693"/>
      <c r="N138" s="1693"/>
      <c r="O138" s="1693"/>
      <c r="P138" s="1693"/>
      <c r="Q138" s="1693"/>
      <c r="R138" s="1693"/>
      <c r="S138" s="1693"/>
      <c r="T138" s="1701"/>
      <c r="U138" s="1696"/>
      <c r="V138" s="1687"/>
    </row>
    <row r="139" spans="1:22">
      <c r="A139" s="1532"/>
      <c r="B139" s="1697" t="s">
        <v>871</v>
      </c>
      <c r="C139" s="1530" t="s">
        <v>875</v>
      </c>
      <c r="D139" s="526" t="s">
        <v>876</v>
      </c>
      <c r="E139" s="1698"/>
      <c r="F139" s="1693"/>
      <c r="G139" s="1693"/>
      <c r="H139" s="1693"/>
      <c r="I139" s="1693"/>
      <c r="J139" s="1693"/>
      <c r="K139" s="1693"/>
      <c r="L139" s="1693"/>
      <c r="M139" s="1693"/>
      <c r="N139" s="1693"/>
      <c r="O139" s="1693"/>
      <c r="P139" s="1693"/>
      <c r="Q139" s="1693"/>
      <c r="R139" s="1693"/>
      <c r="S139" s="1693"/>
      <c r="T139" s="1693"/>
      <c r="U139" s="1694">
        <v>0.99</v>
      </c>
      <c r="V139" s="1685">
        <v>0.98009999999999997</v>
      </c>
    </row>
    <row r="140" spans="1:22">
      <c r="A140" s="1532"/>
      <c r="B140" s="1689"/>
      <c r="C140" s="1531"/>
      <c r="D140" s="527" t="s">
        <v>877</v>
      </c>
      <c r="E140" s="1698"/>
      <c r="F140" s="1693"/>
      <c r="G140" s="1693"/>
      <c r="H140" s="1693"/>
      <c r="I140" s="1693"/>
      <c r="J140" s="1693"/>
      <c r="K140" s="1693"/>
      <c r="L140" s="1693"/>
      <c r="M140" s="1693"/>
      <c r="N140" s="1693"/>
      <c r="O140" s="1693"/>
      <c r="P140" s="1693"/>
      <c r="Q140" s="1693"/>
      <c r="R140" s="1693"/>
      <c r="S140" s="1693"/>
      <c r="T140" s="1693"/>
      <c r="U140" s="1695"/>
      <c r="V140" s="1686"/>
    </row>
    <row r="141" spans="1:22">
      <c r="A141" s="1532"/>
      <c r="B141" s="1689"/>
      <c r="C141" s="1674" t="s">
        <v>878</v>
      </c>
      <c r="D141" s="527" t="s">
        <v>879</v>
      </c>
      <c r="E141" s="1698"/>
      <c r="F141" s="1693"/>
      <c r="G141" s="1693"/>
      <c r="H141" s="1693"/>
      <c r="I141" s="1693"/>
      <c r="J141" s="1693"/>
      <c r="K141" s="1693"/>
      <c r="L141" s="1693"/>
      <c r="M141" s="1693"/>
      <c r="N141" s="1693"/>
      <c r="O141" s="1693"/>
      <c r="P141" s="1693"/>
      <c r="Q141" s="1693"/>
      <c r="R141" s="1693"/>
      <c r="S141" s="1693"/>
      <c r="T141" s="1693"/>
      <c r="U141" s="1695"/>
      <c r="V141" s="1686"/>
    </row>
    <row r="142" spans="1:22">
      <c r="A142" s="1532"/>
      <c r="B142" s="1689"/>
      <c r="C142" s="1675"/>
      <c r="D142" s="528" t="s">
        <v>880</v>
      </c>
      <c r="E142" s="1698"/>
      <c r="F142" s="1693"/>
      <c r="G142" s="1693"/>
      <c r="H142" s="1693"/>
      <c r="I142" s="1693"/>
      <c r="J142" s="1693"/>
      <c r="K142" s="1693"/>
      <c r="L142" s="1693"/>
      <c r="M142" s="1693"/>
      <c r="N142" s="1693"/>
      <c r="O142" s="1693"/>
      <c r="P142" s="1693"/>
      <c r="Q142" s="1693"/>
      <c r="R142" s="1693"/>
      <c r="S142" s="1693"/>
      <c r="T142" s="1693"/>
      <c r="U142" s="1696"/>
      <c r="V142" s="1687"/>
    </row>
    <row r="143" spans="1:22">
      <c r="A143" s="1532"/>
      <c r="B143" s="1697" t="s">
        <v>872</v>
      </c>
      <c r="C143" s="1530" t="s">
        <v>875</v>
      </c>
      <c r="D143" s="526" t="s">
        <v>876</v>
      </c>
      <c r="E143" s="1690"/>
      <c r="F143" s="1676"/>
      <c r="G143" s="1676"/>
      <c r="H143" s="1676"/>
      <c r="I143" s="1676"/>
      <c r="J143" s="1676"/>
      <c r="K143" s="1676"/>
      <c r="L143" s="1676"/>
      <c r="M143" s="1676"/>
      <c r="N143" s="1676"/>
      <c r="O143" s="1676"/>
      <c r="P143" s="1676"/>
      <c r="Q143" s="1676"/>
      <c r="R143" s="1676"/>
      <c r="S143" s="1676"/>
      <c r="T143" s="1676"/>
      <c r="U143" s="1693"/>
      <c r="V143" s="1685">
        <v>0.99</v>
      </c>
    </row>
    <row r="144" spans="1:22">
      <c r="A144" s="1532"/>
      <c r="B144" s="1689"/>
      <c r="C144" s="1531"/>
      <c r="D144" s="527" t="s">
        <v>877</v>
      </c>
      <c r="E144" s="1691"/>
      <c r="F144" s="1677"/>
      <c r="G144" s="1677"/>
      <c r="H144" s="1677"/>
      <c r="I144" s="1677"/>
      <c r="J144" s="1677"/>
      <c r="K144" s="1677"/>
      <c r="L144" s="1677"/>
      <c r="M144" s="1677"/>
      <c r="N144" s="1677"/>
      <c r="O144" s="1677"/>
      <c r="P144" s="1677"/>
      <c r="Q144" s="1677"/>
      <c r="R144" s="1677"/>
      <c r="S144" s="1677"/>
      <c r="T144" s="1677"/>
      <c r="U144" s="1693"/>
      <c r="V144" s="1686"/>
    </row>
    <row r="145" spans="1:22">
      <c r="A145" s="1532"/>
      <c r="B145" s="1689"/>
      <c r="C145" s="1674" t="s">
        <v>878</v>
      </c>
      <c r="D145" s="527" t="s">
        <v>879</v>
      </c>
      <c r="E145" s="1691"/>
      <c r="F145" s="1677"/>
      <c r="G145" s="1677"/>
      <c r="H145" s="1677"/>
      <c r="I145" s="1677"/>
      <c r="J145" s="1677"/>
      <c r="K145" s="1677"/>
      <c r="L145" s="1677"/>
      <c r="M145" s="1677"/>
      <c r="N145" s="1677"/>
      <c r="O145" s="1677"/>
      <c r="P145" s="1677"/>
      <c r="Q145" s="1677"/>
      <c r="R145" s="1677"/>
      <c r="S145" s="1677"/>
      <c r="T145" s="1677"/>
      <c r="U145" s="1693"/>
      <c r="V145" s="1686"/>
    </row>
    <row r="146" spans="1:22">
      <c r="A146" s="1532"/>
      <c r="B146" s="1689"/>
      <c r="C146" s="1675"/>
      <c r="D146" s="528" t="s">
        <v>880</v>
      </c>
      <c r="E146" s="1692"/>
      <c r="F146" s="1678"/>
      <c r="G146" s="1678"/>
      <c r="H146" s="1678"/>
      <c r="I146" s="1678"/>
      <c r="J146" s="1678"/>
      <c r="K146" s="1678"/>
      <c r="L146" s="1678"/>
      <c r="M146" s="1678"/>
      <c r="N146" s="1678"/>
      <c r="O146" s="1678"/>
      <c r="P146" s="1678"/>
      <c r="Q146" s="1678"/>
      <c r="R146" s="1678"/>
      <c r="S146" s="1678"/>
      <c r="T146" s="1678"/>
      <c r="U146" s="1693"/>
      <c r="V146" s="1687"/>
    </row>
    <row r="147" spans="1:22">
      <c r="A147" s="1532"/>
      <c r="B147" s="1697" t="s">
        <v>873</v>
      </c>
      <c r="C147" s="1530" t="s">
        <v>875</v>
      </c>
      <c r="D147" s="526" t="s">
        <v>876</v>
      </c>
      <c r="E147" s="1690"/>
      <c r="F147" s="1676"/>
      <c r="G147" s="1676"/>
      <c r="H147" s="1676"/>
      <c r="I147" s="1676"/>
      <c r="J147" s="1676"/>
      <c r="K147" s="1676"/>
      <c r="L147" s="1676"/>
      <c r="M147" s="1676"/>
      <c r="N147" s="1676"/>
      <c r="O147" s="1676"/>
      <c r="P147" s="1676"/>
      <c r="Q147" s="1676"/>
      <c r="R147" s="1676"/>
      <c r="S147" s="1676"/>
      <c r="T147" s="1676"/>
      <c r="U147" s="1679"/>
      <c r="V147" s="1682"/>
    </row>
    <row r="148" spans="1:22">
      <c r="A148" s="1532"/>
      <c r="B148" s="1689"/>
      <c r="C148" s="1531"/>
      <c r="D148" s="527" t="s">
        <v>877</v>
      </c>
      <c r="E148" s="1691"/>
      <c r="F148" s="1677"/>
      <c r="G148" s="1677"/>
      <c r="H148" s="1677"/>
      <c r="I148" s="1677"/>
      <c r="J148" s="1677"/>
      <c r="K148" s="1677"/>
      <c r="L148" s="1677"/>
      <c r="M148" s="1677"/>
      <c r="N148" s="1677"/>
      <c r="O148" s="1677"/>
      <c r="P148" s="1677"/>
      <c r="Q148" s="1677"/>
      <c r="R148" s="1677"/>
      <c r="S148" s="1677"/>
      <c r="T148" s="1677"/>
      <c r="U148" s="1680"/>
      <c r="V148" s="1683"/>
    </row>
    <row r="149" spans="1:22">
      <c r="A149" s="1532"/>
      <c r="B149" s="1689"/>
      <c r="C149" s="1674" t="s">
        <v>878</v>
      </c>
      <c r="D149" s="527" t="s">
        <v>879</v>
      </c>
      <c r="E149" s="1691"/>
      <c r="F149" s="1677"/>
      <c r="G149" s="1677"/>
      <c r="H149" s="1677"/>
      <c r="I149" s="1677"/>
      <c r="J149" s="1677"/>
      <c r="K149" s="1677"/>
      <c r="L149" s="1677"/>
      <c r="M149" s="1677"/>
      <c r="N149" s="1677"/>
      <c r="O149" s="1677"/>
      <c r="P149" s="1677"/>
      <c r="Q149" s="1677"/>
      <c r="R149" s="1677"/>
      <c r="S149" s="1677"/>
      <c r="T149" s="1677"/>
      <c r="U149" s="1680"/>
      <c r="V149" s="1683"/>
    </row>
    <row r="150" spans="1:22">
      <c r="A150" s="1525"/>
      <c r="B150" s="1689"/>
      <c r="C150" s="1675"/>
      <c r="D150" s="528" t="s">
        <v>880</v>
      </c>
      <c r="E150" s="1692"/>
      <c r="F150" s="1678"/>
      <c r="G150" s="1678"/>
      <c r="H150" s="1678"/>
      <c r="I150" s="1678"/>
      <c r="J150" s="1678"/>
      <c r="K150" s="1678"/>
      <c r="L150" s="1678"/>
      <c r="M150" s="1678"/>
      <c r="N150" s="1678"/>
      <c r="O150" s="1678"/>
      <c r="P150" s="1678"/>
      <c r="Q150" s="1678"/>
      <c r="R150" s="1678"/>
      <c r="S150" s="1678"/>
      <c r="T150" s="1678"/>
      <c r="U150" s="1681"/>
      <c r="V150" s="1684"/>
    </row>
    <row r="151" spans="1:22">
      <c r="A151" s="1524" t="s">
        <v>227</v>
      </c>
      <c r="B151" s="1688" t="s">
        <v>881</v>
      </c>
      <c r="C151" s="1530" t="s">
        <v>875</v>
      </c>
      <c r="D151" s="526" t="s">
        <v>876</v>
      </c>
      <c r="E151" s="1690"/>
      <c r="F151" s="1699">
        <v>0.61</v>
      </c>
      <c r="G151" s="1699">
        <v>0.4819</v>
      </c>
      <c r="H151" s="1699">
        <v>0.41925299999999999</v>
      </c>
      <c r="I151" s="1699">
        <v>0.40248287999999999</v>
      </c>
      <c r="J151" s="1699">
        <v>0.3702842496</v>
      </c>
      <c r="K151" s="1699">
        <v>0.34806719462399999</v>
      </c>
      <c r="L151" s="1699">
        <v>0.33066383489279999</v>
      </c>
      <c r="M151" s="1699">
        <v>0.317437281497088</v>
      </c>
      <c r="N151" s="1699">
        <v>0.29521667179229183</v>
      </c>
      <c r="O151" s="1699">
        <v>0.28931233835644599</v>
      </c>
      <c r="P151" s="1699">
        <v>0.28352609158931708</v>
      </c>
      <c r="Q151" s="1699">
        <v>0.27785556975753073</v>
      </c>
      <c r="R151" s="1699">
        <v>0.27229845836238009</v>
      </c>
      <c r="S151" s="1699">
        <v>0.26957547377875629</v>
      </c>
      <c r="T151" s="1699">
        <v>0.26687971904096874</v>
      </c>
      <c r="U151" s="1694">
        <v>0.26421092185055906</v>
      </c>
      <c r="V151" s="1685">
        <v>0.26156881263205345</v>
      </c>
    </row>
    <row r="152" spans="1:22">
      <c r="A152" s="1532"/>
      <c r="B152" s="1689"/>
      <c r="C152" s="1531"/>
      <c r="D152" s="527" t="s">
        <v>877</v>
      </c>
      <c r="E152" s="1691"/>
      <c r="F152" s="1700"/>
      <c r="G152" s="1700"/>
      <c r="H152" s="1700"/>
      <c r="I152" s="1700"/>
      <c r="J152" s="1700"/>
      <c r="K152" s="1700"/>
      <c r="L152" s="1700"/>
      <c r="M152" s="1700"/>
      <c r="N152" s="1700"/>
      <c r="O152" s="1700"/>
      <c r="P152" s="1700"/>
      <c r="Q152" s="1700"/>
      <c r="R152" s="1700"/>
      <c r="S152" s="1700"/>
      <c r="T152" s="1700"/>
      <c r="U152" s="1695"/>
      <c r="V152" s="1686"/>
    </row>
    <row r="153" spans="1:22">
      <c r="A153" s="1532"/>
      <c r="B153" s="1689"/>
      <c r="C153" s="1674" t="s">
        <v>878</v>
      </c>
      <c r="D153" s="527" t="s">
        <v>879</v>
      </c>
      <c r="E153" s="1691"/>
      <c r="F153" s="1700"/>
      <c r="G153" s="1700"/>
      <c r="H153" s="1700"/>
      <c r="I153" s="1700"/>
      <c r="J153" s="1700"/>
      <c r="K153" s="1700"/>
      <c r="L153" s="1700"/>
      <c r="M153" s="1700"/>
      <c r="N153" s="1700"/>
      <c r="O153" s="1700"/>
      <c r="P153" s="1700"/>
      <c r="Q153" s="1700"/>
      <c r="R153" s="1700"/>
      <c r="S153" s="1700"/>
      <c r="T153" s="1700"/>
      <c r="U153" s="1695"/>
      <c r="V153" s="1686"/>
    </row>
    <row r="154" spans="1:22">
      <c r="A154" s="1532"/>
      <c r="B154" s="1689"/>
      <c r="C154" s="1675"/>
      <c r="D154" s="528" t="s">
        <v>880</v>
      </c>
      <c r="E154" s="1692"/>
      <c r="F154" s="1701"/>
      <c r="G154" s="1701"/>
      <c r="H154" s="1701"/>
      <c r="I154" s="1701"/>
      <c r="J154" s="1701"/>
      <c r="K154" s="1701"/>
      <c r="L154" s="1701"/>
      <c r="M154" s="1701"/>
      <c r="N154" s="1701"/>
      <c r="O154" s="1701"/>
      <c r="P154" s="1701"/>
      <c r="Q154" s="1701"/>
      <c r="R154" s="1701"/>
      <c r="S154" s="1701"/>
      <c r="T154" s="1701"/>
      <c r="U154" s="1696"/>
      <c r="V154" s="1687"/>
    </row>
    <row r="155" spans="1:22">
      <c r="A155" s="1532"/>
      <c r="B155" s="1688" t="s">
        <v>857</v>
      </c>
      <c r="C155" s="1530" t="s">
        <v>875</v>
      </c>
      <c r="D155" s="526" t="s">
        <v>876</v>
      </c>
      <c r="E155" s="1698"/>
      <c r="F155" s="1693"/>
      <c r="G155" s="1699">
        <v>0.79</v>
      </c>
      <c r="H155" s="1699">
        <v>0.68730000000000002</v>
      </c>
      <c r="I155" s="1699">
        <v>0.65980799999999995</v>
      </c>
      <c r="J155" s="1699">
        <v>0.60702336000000001</v>
      </c>
      <c r="K155" s="1699">
        <v>0.57060195839999994</v>
      </c>
      <c r="L155" s="1699">
        <v>0.54207186047999989</v>
      </c>
      <c r="M155" s="1699">
        <v>0.52038898606079986</v>
      </c>
      <c r="N155" s="1699">
        <v>0.48396175703654387</v>
      </c>
      <c r="O155" s="1699">
        <v>0.47428252189581299</v>
      </c>
      <c r="P155" s="1699">
        <v>0.46479687145789672</v>
      </c>
      <c r="Q155" s="1699">
        <v>0.45550093402873876</v>
      </c>
      <c r="R155" s="1699">
        <v>0.446390915348164</v>
      </c>
      <c r="S155" s="1699">
        <v>0.44192700619468234</v>
      </c>
      <c r="T155" s="1699">
        <v>0.43750773613273553</v>
      </c>
      <c r="U155" s="1694">
        <v>0.43313265877140816</v>
      </c>
      <c r="V155" s="1685">
        <v>0.42880133218369409</v>
      </c>
    </row>
    <row r="156" spans="1:22">
      <c r="A156" s="1532"/>
      <c r="B156" s="1689"/>
      <c r="C156" s="1531"/>
      <c r="D156" s="527" t="s">
        <v>877</v>
      </c>
      <c r="E156" s="1698"/>
      <c r="F156" s="1693"/>
      <c r="G156" s="1700"/>
      <c r="H156" s="1700"/>
      <c r="I156" s="1700"/>
      <c r="J156" s="1700"/>
      <c r="K156" s="1700"/>
      <c r="L156" s="1700"/>
      <c r="M156" s="1700"/>
      <c r="N156" s="1700"/>
      <c r="O156" s="1700"/>
      <c r="P156" s="1700"/>
      <c r="Q156" s="1700"/>
      <c r="R156" s="1700"/>
      <c r="S156" s="1700"/>
      <c r="T156" s="1700"/>
      <c r="U156" s="1695"/>
      <c r="V156" s="1686"/>
    </row>
    <row r="157" spans="1:22">
      <c r="A157" s="1532"/>
      <c r="B157" s="1689"/>
      <c r="C157" s="1674" t="s">
        <v>878</v>
      </c>
      <c r="D157" s="527" t="s">
        <v>879</v>
      </c>
      <c r="E157" s="1698"/>
      <c r="F157" s="1693"/>
      <c r="G157" s="1700"/>
      <c r="H157" s="1700"/>
      <c r="I157" s="1700"/>
      <c r="J157" s="1700"/>
      <c r="K157" s="1700"/>
      <c r="L157" s="1700"/>
      <c r="M157" s="1700"/>
      <c r="N157" s="1700"/>
      <c r="O157" s="1700"/>
      <c r="P157" s="1700"/>
      <c r="Q157" s="1700"/>
      <c r="R157" s="1700"/>
      <c r="S157" s="1700"/>
      <c r="T157" s="1700"/>
      <c r="U157" s="1695"/>
      <c r="V157" s="1686"/>
    </row>
    <row r="158" spans="1:22">
      <c r="A158" s="1532"/>
      <c r="B158" s="1689"/>
      <c r="C158" s="1675"/>
      <c r="D158" s="528" t="s">
        <v>880</v>
      </c>
      <c r="E158" s="1698"/>
      <c r="F158" s="1693"/>
      <c r="G158" s="1701"/>
      <c r="H158" s="1701"/>
      <c r="I158" s="1701"/>
      <c r="J158" s="1701"/>
      <c r="K158" s="1701"/>
      <c r="L158" s="1701"/>
      <c r="M158" s="1701"/>
      <c r="N158" s="1701"/>
      <c r="O158" s="1701"/>
      <c r="P158" s="1701"/>
      <c r="Q158" s="1701"/>
      <c r="R158" s="1701"/>
      <c r="S158" s="1701"/>
      <c r="T158" s="1701"/>
      <c r="U158" s="1696"/>
      <c r="V158" s="1687"/>
    </row>
    <row r="159" spans="1:22">
      <c r="A159" s="1532"/>
      <c r="B159" s="1688" t="s">
        <v>858</v>
      </c>
      <c r="C159" s="1530" t="s">
        <v>875</v>
      </c>
      <c r="D159" s="526" t="s">
        <v>876</v>
      </c>
      <c r="E159" s="1698"/>
      <c r="F159" s="1693"/>
      <c r="G159" s="1693"/>
      <c r="H159" s="1699">
        <v>0.87</v>
      </c>
      <c r="I159" s="1699">
        <v>0.83519999999999994</v>
      </c>
      <c r="J159" s="1699">
        <v>0.76838399999999996</v>
      </c>
      <c r="K159" s="1699">
        <v>0.72228095999999997</v>
      </c>
      <c r="L159" s="1699">
        <v>0.68616691199999991</v>
      </c>
      <c r="M159" s="1699">
        <v>0.65872023551999992</v>
      </c>
      <c r="N159" s="1699">
        <v>0.61260981903360001</v>
      </c>
      <c r="O159" s="1699">
        <v>0.60035762265292802</v>
      </c>
      <c r="P159" s="1699">
        <v>0.58835047019986941</v>
      </c>
      <c r="Q159" s="1699">
        <v>0.57658346079587197</v>
      </c>
      <c r="R159" s="1699">
        <v>0.56505179157995455</v>
      </c>
      <c r="S159" s="1699">
        <v>0.55940127366415504</v>
      </c>
      <c r="T159" s="1699">
        <v>0.55380726092751353</v>
      </c>
      <c r="U159" s="1694">
        <v>0.54826918831823834</v>
      </c>
      <c r="V159" s="1685">
        <v>0.54278649643505594</v>
      </c>
    </row>
    <row r="160" spans="1:22">
      <c r="A160" s="1532"/>
      <c r="B160" s="1689"/>
      <c r="C160" s="1531"/>
      <c r="D160" s="527" t="s">
        <v>877</v>
      </c>
      <c r="E160" s="1698"/>
      <c r="F160" s="1693"/>
      <c r="G160" s="1693"/>
      <c r="H160" s="1700"/>
      <c r="I160" s="1700"/>
      <c r="J160" s="1700"/>
      <c r="K160" s="1700"/>
      <c r="L160" s="1700"/>
      <c r="M160" s="1700"/>
      <c r="N160" s="1700"/>
      <c r="O160" s="1700"/>
      <c r="P160" s="1700"/>
      <c r="Q160" s="1700"/>
      <c r="R160" s="1700"/>
      <c r="S160" s="1700"/>
      <c r="T160" s="1700"/>
      <c r="U160" s="1695"/>
      <c r="V160" s="1686"/>
    </row>
    <row r="161" spans="1:22">
      <c r="A161" s="1532"/>
      <c r="B161" s="1689"/>
      <c r="C161" s="1674" t="s">
        <v>878</v>
      </c>
      <c r="D161" s="527" t="s">
        <v>879</v>
      </c>
      <c r="E161" s="1698"/>
      <c r="F161" s="1693"/>
      <c r="G161" s="1693"/>
      <c r="H161" s="1700"/>
      <c r="I161" s="1700"/>
      <c r="J161" s="1700"/>
      <c r="K161" s="1700"/>
      <c r="L161" s="1700"/>
      <c r="M161" s="1700"/>
      <c r="N161" s="1700"/>
      <c r="O161" s="1700"/>
      <c r="P161" s="1700"/>
      <c r="Q161" s="1700"/>
      <c r="R161" s="1700"/>
      <c r="S161" s="1700"/>
      <c r="T161" s="1700"/>
      <c r="U161" s="1695"/>
      <c r="V161" s="1686"/>
    </row>
    <row r="162" spans="1:22">
      <c r="A162" s="1532"/>
      <c r="B162" s="1689"/>
      <c r="C162" s="1675"/>
      <c r="D162" s="528" t="s">
        <v>880</v>
      </c>
      <c r="E162" s="1698"/>
      <c r="F162" s="1693"/>
      <c r="G162" s="1693"/>
      <c r="H162" s="1701"/>
      <c r="I162" s="1701"/>
      <c r="J162" s="1701"/>
      <c r="K162" s="1701"/>
      <c r="L162" s="1701"/>
      <c r="M162" s="1701"/>
      <c r="N162" s="1701"/>
      <c r="O162" s="1701"/>
      <c r="P162" s="1701"/>
      <c r="Q162" s="1701"/>
      <c r="R162" s="1701"/>
      <c r="S162" s="1701"/>
      <c r="T162" s="1701"/>
      <c r="U162" s="1696"/>
      <c r="V162" s="1687"/>
    </row>
    <row r="163" spans="1:22">
      <c r="A163" s="1532"/>
      <c r="B163" s="1697" t="s">
        <v>859</v>
      </c>
      <c r="C163" s="1530" t="s">
        <v>875</v>
      </c>
      <c r="D163" s="526" t="s">
        <v>876</v>
      </c>
      <c r="E163" s="1698"/>
      <c r="F163" s="1693"/>
      <c r="G163" s="1693"/>
      <c r="H163" s="1693"/>
      <c r="I163" s="1699">
        <v>0.96</v>
      </c>
      <c r="J163" s="1699">
        <v>0.88319999999999999</v>
      </c>
      <c r="K163" s="1699">
        <v>0.83020799999999995</v>
      </c>
      <c r="L163" s="1699">
        <v>0.78869759999999989</v>
      </c>
      <c r="M163" s="1699">
        <v>0.75714969599999982</v>
      </c>
      <c r="N163" s="1699">
        <v>0.70414921727999991</v>
      </c>
      <c r="O163" s="1699">
        <v>0.69006623293439995</v>
      </c>
      <c r="P163" s="1699">
        <v>0.67626490827571195</v>
      </c>
      <c r="Q163" s="1699">
        <v>0.66273961011019766</v>
      </c>
      <c r="R163" s="1699">
        <v>0.64948481790799373</v>
      </c>
      <c r="S163" s="1699">
        <v>0.64298996972891376</v>
      </c>
      <c r="T163" s="1699">
        <v>0.63656007003162463</v>
      </c>
      <c r="U163" s="1694">
        <v>0.6301944693313084</v>
      </c>
      <c r="V163" s="1685">
        <v>0.62389252463799527</v>
      </c>
    </row>
    <row r="164" spans="1:22">
      <c r="A164" s="1532"/>
      <c r="B164" s="1689"/>
      <c r="C164" s="1531"/>
      <c r="D164" s="527" t="s">
        <v>877</v>
      </c>
      <c r="E164" s="1698"/>
      <c r="F164" s="1693"/>
      <c r="G164" s="1693"/>
      <c r="H164" s="1693"/>
      <c r="I164" s="1700"/>
      <c r="J164" s="1700"/>
      <c r="K164" s="1700"/>
      <c r="L164" s="1700"/>
      <c r="M164" s="1700"/>
      <c r="N164" s="1700"/>
      <c r="O164" s="1700"/>
      <c r="P164" s="1700"/>
      <c r="Q164" s="1700"/>
      <c r="R164" s="1700"/>
      <c r="S164" s="1700"/>
      <c r="T164" s="1700"/>
      <c r="U164" s="1695"/>
      <c r="V164" s="1686"/>
    </row>
    <row r="165" spans="1:22">
      <c r="A165" s="1532"/>
      <c r="B165" s="1689"/>
      <c r="C165" s="1674" t="s">
        <v>878</v>
      </c>
      <c r="D165" s="527" t="s">
        <v>879</v>
      </c>
      <c r="E165" s="1698"/>
      <c r="F165" s="1693"/>
      <c r="G165" s="1693"/>
      <c r="H165" s="1693"/>
      <c r="I165" s="1700"/>
      <c r="J165" s="1700"/>
      <c r="K165" s="1700"/>
      <c r="L165" s="1700"/>
      <c r="M165" s="1700"/>
      <c r="N165" s="1700"/>
      <c r="O165" s="1700"/>
      <c r="P165" s="1700"/>
      <c r="Q165" s="1700"/>
      <c r="R165" s="1700"/>
      <c r="S165" s="1700"/>
      <c r="T165" s="1700"/>
      <c r="U165" s="1695"/>
      <c r="V165" s="1686"/>
    </row>
    <row r="166" spans="1:22">
      <c r="A166" s="1532"/>
      <c r="B166" s="1689"/>
      <c r="C166" s="1675"/>
      <c r="D166" s="528" t="s">
        <v>880</v>
      </c>
      <c r="E166" s="1698"/>
      <c r="F166" s="1693"/>
      <c r="G166" s="1693"/>
      <c r="H166" s="1693"/>
      <c r="I166" s="1701"/>
      <c r="J166" s="1701"/>
      <c r="K166" s="1701"/>
      <c r="L166" s="1701"/>
      <c r="M166" s="1701"/>
      <c r="N166" s="1701"/>
      <c r="O166" s="1701"/>
      <c r="P166" s="1701"/>
      <c r="Q166" s="1701"/>
      <c r="R166" s="1701"/>
      <c r="S166" s="1701"/>
      <c r="T166" s="1701"/>
      <c r="U166" s="1696"/>
      <c r="V166" s="1687"/>
    </row>
    <row r="167" spans="1:22">
      <c r="A167" s="1532"/>
      <c r="B167" s="1697" t="s">
        <v>860</v>
      </c>
      <c r="C167" s="1530" t="s">
        <v>875</v>
      </c>
      <c r="D167" s="526" t="s">
        <v>876</v>
      </c>
      <c r="E167" s="1698"/>
      <c r="F167" s="1693"/>
      <c r="G167" s="1693"/>
      <c r="H167" s="1693"/>
      <c r="I167" s="1693"/>
      <c r="J167" s="1699">
        <v>0.92</v>
      </c>
      <c r="K167" s="1699">
        <v>0.86480000000000001</v>
      </c>
      <c r="L167" s="1699">
        <v>0.82155999999999996</v>
      </c>
      <c r="M167" s="1699">
        <v>0.78869759999999989</v>
      </c>
      <c r="N167" s="1699">
        <v>0.73348876799999996</v>
      </c>
      <c r="O167" s="1699">
        <v>0.71881899263999993</v>
      </c>
      <c r="P167" s="1699">
        <v>0.70444261278719988</v>
      </c>
      <c r="Q167" s="1699">
        <v>0.69035376053145592</v>
      </c>
      <c r="R167" s="1699">
        <v>0.67654668532082674</v>
      </c>
      <c r="S167" s="1699">
        <v>0.66978121846761851</v>
      </c>
      <c r="T167" s="1699">
        <v>0.66308340628294227</v>
      </c>
      <c r="U167" s="1694">
        <v>0.65645257222011288</v>
      </c>
      <c r="V167" s="1685">
        <v>0.64988804649791176</v>
      </c>
    </row>
    <row r="168" spans="1:22">
      <c r="A168" s="1532"/>
      <c r="B168" s="1689"/>
      <c r="C168" s="1531"/>
      <c r="D168" s="527" t="s">
        <v>877</v>
      </c>
      <c r="E168" s="1698"/>
      <c r="F168" s="1693"/>
      <c r="G168" s="1693"/>
      <c r="H168" s="1693"/>
      <c r="I168" s="1693"/>
      <c r="J168" s="1700"/>
      <c r="K168" s="1700"/>
      <c r="L168" s="1700"/>
      <c r="M168" s="1700"/>
      <c r="N168" s="1700"/>
      <c r="O168" s="1700"/>
      <c r="P168" s="1700"/>
      <c r="Q168" s="1700"/>
      <c r="R168" s="1700"/>
      <c r="S168" s="1700"/>
      <c r="T168" s="1700"/>
      <c r="U168" s="1695"/>
      <c r="V168" s="1686"/>
    </row>
    <row r="169" spans="1:22">
      <c r="A169" s="1532"/>
      <c r="B169" s="1689"/>
      <c r="C169" s="1674" t="s">
        <v>878</v>
      </c>
      <c r="D169" s="527" t="s">
        <v>879</v>
      </c>
      <c r="E169" s="1698"/>
      <c r="F169" s="1693"/>
      <c r="G169" s="1693"/>
      <c r="H169" s="1693"/>
      <c r="I169" s="1693"/>
      <c r="J169" s="1700"/>
      <c r="K169" s="1700"/>
      <c r="L169" s="1700"/>
      <c r="M169" s="1700"/>
      <c r="N169" s="1700"/>
      <c r="O169" s="1700"/>
      <c r="P169" s="1700"/>
      <c r="Q169" s="1700"/>
      <c r="R169" s="1700"/>
      <c r="S169" s="1700"/>
      <c r="T169" s="1700"/>
      <c r="U169" s="1695"/>
      <c r="V169" s="1686"/>
    </row>
    <row r="170" spans="1:22">
      <c r="A170" s="1532"/>
      <c r="B170" s="1689"/>
      <c r="C170" s="1675"/>
      <c r="D170" s="528" t="s">
        <v>880</v>
      </c>
      <c r="E170" s="1698"/>
      <c r="F170" s="1693"/>
      <c r="G170" s="1693"/>
      <c r="H170" s="1693"/>
      <c r="I170" s="1693"/>
      <c r="J170" s="1701"/>
      <c r="K170" s="1701"/>
      <c r="L170" s="1701"/>
      <c r="M170" s="1701"/>
      <c r="N170" s="1701"/>
      <c r="O170" s="1701"/>
      <c r="P170" s="1701"/>
      <c r="Q170" s="1701"/>
      <c r="R170" s="1701"/>
      <c r="S170" s="1701"/>
      <c r="T170" s="1701"/>
      <c r="U170" s="1696"/>
      <c r="V170" s="1687"/>
    </row>
    <row r="171" spans="1:22">
      <c r="A171" s="1532"/>
      <c r="B171" s="1688" t="s">
        <v>861</v>
      </c>
      <c r="C171" s="1530" t="s">
        <v>875</v>
      </c>
      <c r="D171" s="526" t="s">
        <v>876</v>
      </c>
      <c r="E171" s="1698"/>
      <c r="F171" s="1693"/>
      <c r="G171" s="1693"/>
      <c r="H171" s="1693"/>
      <c r="I171" s="1693"/>
      <c r="J171" s="1693"/>
      <c r="K171" s="1699">
        <v>0.94</v>
      </c>
      <c r="L171" s="1699">
        <v>0.8929999999999999</v>
      </c>
      <c r="M171" s="1699">
        <v>0.85727999999999993</v>
      </c>
      <c r="N171" s="1699">
        <v>0.79727039999999993</v>
      </c>
      <c r="O171" s="1699">
        <v>0.78132499199999994</v>
      </c>
      <c r="P171" s="1699">
        <v>0.76569849215999997</v>
      </c>
      <c r="Q171" s="1699">
        <v>0.75038452231679997</v>
      </c>
      <c r="R171" s="1699">
        <v>0.73537683187046399</v>
      </c>
      <c r="S171" s="1699">
        <v>0.72802306355175939</v>
      </c>
      <c r="T171" s="1699">
        <v>0.72074283291624175</v>
      </c>
      <c r="U171" s="1694">
        <v>0.71353540458707931</v>
      </c>
      <c r="V171" s="1685">
        <v>0.70640005054120847</v>
      </c>
    </row>
    <row r="172" spans="1:22">
      <c r="A172" s="1532"/>
      <c r="B172" s="1689"/>
      <c r="C172" s="1531"/>
      <c r="D172" s="527" t="s">
        <v>877</v>
      </c>
      <c r="E172" s="1698"/>
      <c r="F172" s="1693"/>
      <c r="G172" s="1693"/>
      <c r="H172" s="1693"/>
      <c r="I172" s="1693"/>
      <c r="J172" s="1693"/>
      <c r="K172" s="1700"/>
      <c r="L172" s="1700"/>
      <c r="M172" s="1700"/>
      <c r="N172" s="1700"/>
      <c r="O172" s="1700"/>
      <c r="P172" s="1700"/>
      <c r="Q172" s="1700"/>
      <c r="R172" s="1700"/>
      <c r="S172" s="1700"/>
      <c r="T172" s="1700"/>
      <c r="U172" s="1695"/>
      <c r="V172" s="1686"/>
    </row>
    <row r="173" spans="1:22">
      <c r="A173" s="1532"/>
      <c r="B173" s="1689"/>
      <c r="C173" s="1674" t="s">
        <v>878</v>
      </c>
      <c r="D173" s="527" t="s">
        <v>879</v>
      </c>
      <c r="E173" s="1698"/>
      <c r="F173" s="1693"/>
      <c r="G173" s="1693"/>
      <c r="H173" s="1693"/>
      <c r="I173" s="1693"/>
      <c r="J173" s="1693"/>
      <c r="K173" s="1700"/>
      <c r="L173" s="1700"/>
      <c r="M173" s="1700"/>
      <c r="N173" s="1700"/>
      <c r="O173" s="1700"/>
      <c r="P173" s="1700"/>
      <c r="Q173" s="1700"/>
      <c r="R173" s="1700"/>
      <c r="S173" s="1700"/>
      <c r="T173" s="1700"/>
      <c r="U173" s="1695"/>
      <c r="V173" s="1686"/>
    </row>
    <row r="174" spans="1:22">
      <c r="A174" s="1532"/>
      <c r="B174" s="1689"/>
      <c r="C174" s="1675"/>
      <c r="D174" s="528" t="s">
        <v>880</v>
      </c>
      <c r="E174" s="1698"/>
      <c r="F174" s="1693"/>
      <c r="G174" s="1693"/>
      <c r="H174" s="1693"/>
      <c r="I174" s="1693"/>
      <c r="J174" s="1693"/>
      <c r="K174" s="1701"/>
      <c r="L174" s="1701"/>
      <c r="M174" s="1701"/>
      <c r="N174" s="1701"/>
      <c r="O174" s="1701"/>
      <c r="P174" s="1701"/>
      <c r="Q174" s="1701"/>
      <c r="R174" s="1701"/>
      <c r="S174" s="1701"/>
      <c r="T174" s="1701"/>
      <c r="U174" s="1696"/>
      <c r="V174" s="1687"/>
    </row>
    <row r="175" spans="1:22">
      <c r="A175" s="1532"/>
      <c r="B175" s="1688" t="s">
        <v>862</v>
      </c>
      <c r="C175" s="1530" t="s">
        <v>875</v>
      </c>
      <c r="D175" s="526" t="s">
        <v>876</v>
      </c>
      <c r="E175" s="1698"/>
      <c r="F175" s="1693"/>
      <c r="G175" s="1693"/>
      <c r="H175" s="1693"/>
      <c r="I175" s="1693"/>
      <c r="J175" s="1693"/>
      <c r="K175" s="1693"/>
      <c r="L175" s="1699">
        <v>0.95</v>
      </c>
      <c r="M175" s="1699">
        <v>0.91199999999999992</v>
      </c>
      <c r="N175" s="1699">
        <v>0.84816000000000003</v>
      </c>
      <c r="O175" s="1699">
        <v>0.83119679999999996</v>
      </c>
      <c r="P175" s="1699">
        <v>0.81457286399999995</v>
      </c>
      <c r="Q175" s="1699">
        <v>0.79828140671999992</v>
      </c>
      <c r="R175" s="1699">
        <v>0.78231577858559986</v>
      </c>
      <c r="S175" s="1699">
        <v>0.7744926207997439</v>
      </c>
      <c r="T175" s="1699">
        <v>0.76674769459174641</v>
      </c>
      <c r="U175" s="1694">
        <v>0.75908021764582889</v>
      </c>
      <c r="V175" s="1685">
        <v>0.75148941546937065</v>
      </c>
    </row>
    <row r="176" spans="1:22">
      <c r="A176" s="1532"/>
      <c r="B176" s="1689"/>
      <c r="C176" s="1531"/>
      <c r="D176" s="527" t="s">
        <v>877</v>
      </c>
      <c r="E176" s="1698"/>
      <c r="F176" s="1693"/>
      <c r="G176" s="1693"/>
      <c r="H176" s="1693"/>
      <c r="I176" s="1693"/>
      <c r="J176" s="1693"/>
      <c r="K176" s="1693"/>
      <c r="L176" s="1700"/>
      <c r="M176" s="1700"/>
      <c r="N176" s="1700"/>
      <c r="O176" s="1700"/>
      <c r="P176" s="1700"/>
      <c r="Q176" s="1700"/>
      <c r="R176" s="1700"/>
      <c r="S176" s="1700"/>
      <c r="T176" s="1700"/>
      <c r="U176" s="1695"/>
      <c r="V176" s="1686"/>
    </row>
    <row r="177" spans="1:22">
      <c r="A177" s="1532"/>
      <c r="B177" s="1689"/>
      <c r="C177" s="1674" t="s">
        <v>878</v>
      </c>
      <c r="D177" s="527" t="s">
        <v>879</v>
      </c>
      <c r="E177" s="1698"/>
      <c r="F177" s="1693"/>
      <c r="G177" s="1693"/>
      <c r="H177" s="1693"/>
      <c r="I177" s="1693"/>
      <c r="J177" s="1693"/>
      <c r="K177" s="1693"/>
      <c r="L177" s="1700"/>
      <c r="M177" s="1700"/>
      <c r="N177" s="1700"/>
      <c r="O177" s="1700"/>
      <c r="P177" s="1700"/>
      <c r="Q177" s="1700"/>
      <c r="R177" s="1700"/>
      <c r="S177" s="1700"/>
      <c r="T177" s="1700"/>
      <c r="U177" s="1695"/>
      <c r="V177" s="1686"/>
    </row>
    <row r="178" spans="1:22">
      <c r="A178" s="1532"/>
      <c r="B178" s="1689"/>
      <c r="C178" s="1675"/>
      <c r="D178" s="528" t="s">
        <v>880</v>
      </c>
      <c r="E178" s="1698"/>
      <c r="F178" s="1693"/>
      <c r="G178" s="1693"/>
      <c r="H178" s="1693"/>
      <c r="I178" s="1693"/>
      <c r="J178" s="1693"/>
      <c r="K178" s="1693"/>
      <c r="L178" s="1701"/>
      <c r="M178" s="1701"/>
      <c r="N178" s="1701"/>
      <c r="O178" s="1701"/>
      <c r="P178" s="1701"/>
      <c r="Q178" s="1701"/>
      <c r="R178" s="1701"/>
      <c r="S178" s="1701"/>
      <c r="T178" s="1701"/>
      <c r="U178" s="1696"/>
      <c r="V178" s="1687"/>
    </row>
    <row r="179" spans="1:22">
      <c r="A179" s="1532"/>
      <c r="B179" s="1697" t="s">
        <v>863</v>
      </c>
      <c r="C179" s="1530" t="s">
        <v>875</v>
      </c>
      <c r="D179" s="526" t="s">
        <v>876</v>
      </c>
      <c r="E179" s="1698"/>
      <c r="F179" s="1693"/>
      <c r="G179" s="1693"/>
      <c r="H179" s="1693"/>
      <c r="I179" s="1693"/>
      <c r="J179" s="1693"/>
      <c r="K179" s="1693"/>
      <c r="L179" s="1693"/>
      <c r="M179" s="1699">
        <v>0.96</v>
      </c>
      <c r="N179" s="1699">
        <v>0.89280000000000004</v>
      </c>
      <c r="O179" s="1699">
        <v>0.87494400000000006</v>
      </c>
      <c r="P179" s="1699">
        <v>0.85744512000000006</v>
      </c>
      <c r="Q179" s="1699">
        <v>0.84029621760000006</v>
      </c>
      <c r="R179" s="1699">
        <v>0.82349029324800005</v>
      </c>
      <c r="S179" s="1699">
        <v>0.81525539031552008</v>
      </c>
      <c r="T179" s="1699">
        <v>0.80710283641236491</v>
      </c>
      <c r="U179" s="1694">
        <v>0.79903180804824125</v>
      </c>
      <c r="V179" s="1685">
        <v>0.7910414899677588</v>
      </c>
    </row>
    <row r="180" spans="1:22">
      <c r="A180" s="1532"/>
      <c r="B180" s="1689"/>
      <c r="C180" s="1531"/>
      <c r="D180" s="527" t="s">
        <v>877</v>
      </c>
      <c r="E180" s="1698"/>
      <c r="F180" s="1693"/>
      <c r="G180" s="1693"/>
      <c r="H180" s="1693"/>
      <c r="I180" s="1693"/>
      <c r="J180" s="1693"/>
      <c r="K180" s="1693"/>
      <c r="L180" s="1693"/>
      <c r="M180" s="1700"/>
      <c r="N180" s="1700"/>
      <c r="O180" s="1700"/>
      <c r="P180" s="1700"/>
      <c r="Q180" s="1700"/>
      <c r="R180" s="1700"/>
      <c r="S180" s="1700"/>
      <c r="T180" s="1700"/>
      <c r="U180" s="1695"/>
      <c r="V180" s="1686"/>
    </row>
    <row r="181" spans="1:22">
      <c r="A181" s="1532"/>
      <c r="B181" s="1689"/>
      <c r="C181" s="1674" t="s">
        <v>878</v>
      </c>
      <c r="D181" s="527" t="s">
        <v>879</v>
      </c>
      <c r="E181" s="1698"/>
      <c r="F181" s="1693"/>
      <c r="G181" s="1693"/>
      <c r="H181" s="1693"/>
      <c r="I181" s="1693"/>
      <c r="J181" s="1693"/>
      <c r="K181" s="1693"/>
      <c r="L181" s="1693"/>
      <c r="M181" s="1700"/>
      <c r="N181" s="1700"/>
      <c r="O181" s="1700"/>
      <c r="P181" s="1700"/>
      <c r="Q181" s="1700"/>
      <c r="R181" s="1700"/>
      <c r="S181" s="1700"/>
      <c r="T181" s="1700"/>
      <c r="U181" s="1695"/>
      <c r="V181" s="1686"/>
    </row>
    <row r="182" spans="1:22">
      <c r="A182" s="1532"/>
      <c r="B182" s="1689"/>
      <c r="C182" s="1675"/>
      <c r="D182" s="528" t="s">
        <v>880</v>
      </c>
      <c r="E182" s="1698"/>
      <c r="F182" s="1693"/>
      <c r="G182" s="1693"/>
      <c r="H182" s="1693"/>
      <c r="I182" s="1693"/>
      <c r="J182" s="1693"/>
      <c r="K182" s="1693"/>
      <c r="L182" s="1693"/>
      <c r="M182" s="1701"/>
      <c r="N182" s="1701"/>
      <c r="O182" s="1701"/>
      <c r="P182" s="1701"/>
      <c r="Q182" s="1701"/>
      <c r="R182" s="1701"/>
      <c r="S182" s="1701"/>
      <c r="T182" s="1701"/>
      <c r="U182" s="1696"/>
      <c r="V182" s="1687"/>
    </row>
    <row r="183" spans="1:22">
      <c r="A183" s="1532"/>
      <c r="B183" s="1697" t="s">
        <v>864</v>
      </c>
      <c r="C183" s="1530" t="s">
        <v>875</v>
      </c>
      <c r="D183" s="526" t="s">
        <v>876</v>
      </c>
      <c r="E183" s="1698"/>
      <c r="F183" s="1693"/>
      <c r="G183" s="1693"/>
      <c r="H183" s="1693"/>
      <c r="I183" s="1693"/>
      <c r="J183" s="1693"/>
      <c r="K183" s="1693"/>
      <c r="L183" s="1693"/>
      <c r="M183" s="1693"/>
      <c r="N183" s="1699">
        <v>0.93</v>
      </c>
      <c r="O183" s="1699">
        <v>0.91139999999999999</v>
      </c>
      <c r="P183" s="1699">
        <v>0.89317199999999997</v>
      </c>
      <c r="Q183" s="1699">
        <v>0.8753085599999999</v>
      </c>
      <c r="R183" s="1699">
        <v>0.85780238879999993</v>
      </c>
      <c r="S183" s="1699">
        <v>0.84922436491199993</v>
      </c>
      <c r="T183" s="1699">
        <v>0.84073212126287988</v>
      </c>
      <c r="U183" s="1694">
        <v>0.83232480005025111</v>
      </c>
      <c r="V183" s="1685">
        <v>0.82400155204974856</v>
      </c>
    </row>
    <row r="184" spans="1:22">
      <c r="A184" s="1532"/>
      <c r="B184" s="1689"/>
      <c r="C184" s="1531"/>
      <c r="D184" s="527" t="s">
        <v>877</v>
      </c>
      <c r="E184" s="1698"/>
      <c r="F184" s="1693"/>
      <c r="G184" s="1693"/>
      <c r="H184" s="1693"/>
      <c r="I184" s="1693"/>
      <c r="J184" s="1693"/>
      <c r="K184" s="1693"/>
      <c r="L184" s="1693"/>
      <c r="M184" s="1693"/>
      <c r="N184" s="1700"/>
      <c r="O184" s="1700"/>
      <c r="P184" s="1700"/>
      <c r="Q184" s="1700"/>
      <c r="R184" s="1700"/>
      <c r="S184" s="1700"/>
      <c r="T184" s="1700"/>
      <c r="U184" s="1695"/>
      <c r="V184" s="1686"/>
    </row>
    <row r="185" spans="1:22">
      <c r="A185" s="1532"/>
      <c r="B185" s="1689"/>
      <c r="C185" s="1674" t="s">
        <v>878</v>
      </c>
      <c r="D185" s="527" t="s">
        <v>879</v>
      </c>
      <c r="E185" s="1698"/>
      <c r="F185" s="1693"/>
      <c r="G185" s="1693"/>
      <c r="H185" s="1693"/>
      <c r="I185" s="1693"/>
      <c r="J185" s="1693"/>
      <c r="K185" s="1693"/>
      <c r="L185" s="1693"/>
      <c r="M185" s="1693"/>
      <c r="N185" s="1700"/>
      <c r="O185" s="1700"/>
      <c r="P185" s="1700"/>
      <c r="Q185" s="1700"/>
      <c r="R185" s="1700"/>
      <c r="S185" s="1700"/>
      <c r="T185" s="1700"/>
      <c r="U185" s="1695"/>
      <c r="V185" s="1686"/>
    </row>
    <row r="186" spans="1:22">
      <c r="A186" s="1532"/>
      <c r="B186" s="1689"/>
      <c r="C186" s="1675"/>
      <c r="D186" s="528" t="s">
        <v>880</v>
      </c>
      <c r="E186" s="1698"/>
      <c r="F186" s="1693"/>
      <c r="G186" s="1693"/>
      <c r="H186" s="1693"/>
      <c r="I186" s="1693"/>
      <c r="J186" s="1693"/>
      <c r="K186" s="1693"/>
      <c r="L186" s="1693"/>
      <c r="M186" s="1693"/>
      <c r="N186" s="1701"/>
      <c r="O186" s="1701"/>
      <c r="P186" s="1701"/>
      <c r="Q186" s="1701"/>
      <c r="R186" s="1701"/>
      <c r="S186" s="1701"/>
      <c r="T186" s="1701"/>
      <c r="U186" s="1696"/>
      <c r="V186" s="1687"/>
    </row>
    <row r="187" spans="1:22">
      <c r="A187" s="1532"/>
      <c r="B187" s="1697" t="s">
        <v>865</v>
      </c>
      <c r="C187" s="1530" t="s">
        <v>875</v>
      </c>
      <c r="D187" s="526" t="s">
        <v>876</v>
      </c>
      <c r="E187" s="1698"/>
      <c r="F187" s="1693"/>
      <c r="G187" s="1693"/>
      <c r="H187" s="1693"/>
      <c r="I187" s="1693"/>
      <c r="J187" s="1693"/>
      <c r="K187" s="1693"/>
      <c r="L187" s="1693"/>
      <c r="M187" s="1693"/>
      <c r="N187" s="1693"/>
      <c r="O187" s="1699">
        <v>0.98</v>
      </c>
      <c r="P187" s="1699">
        <v>0.96039999999999992</v>
      </c>
      <c r="Q187" s="1699">
        <v>0.94119199999999992</v>
      </c>
      <c r="R187" s="1699">
        <v>0.92236815999999988</v>
      </c>
      <c r="S187" s="1699">
        <v>0.9131444783999999</v>
      </c>
      <c r="T187" s="1699">
        <v>0.90401303361599994</v>
      </c>
      <c r="U187" s="1694">
        <v>0.89497290327983992</v>
      </c>
      <c r="V187" s="1685">
        <v>0.88602317424704147</v>
      </c>
    </row>
    <row r="188" spans="1:22">
      <c r="A188" s="1532"/>
      <c r="B188" s="1689"/>
      <c r="C188" s="1531"/>
      <c r="D188" s="527" t="s">
        <v>877</v>
      </c>
      <c r="E188" s="1698"/>
      <c r="F188" s="1693"/>
      <c r="G188" s="1693"/>
      <c r="H188" s="1693"/>
      <c r="I188" s="1693"/>
      <c r="J188" s="1693"/>
      <c r="K188" s="1693"/>
      <c r="L188" s="1693"/>
      <c r="M188" s="1693"/>
      <c r="N188" s="1693"/>
      <c r="O188" s="1700"/>
      <c r="P188" s="1700"/>
      <c r="Q188" s="1700"/>
      <c r="R188" s="1700"/>
      <c r="S188" s="1700"/>
      <c r="T188" s="1700"/>
      <c r="U188" s="1695"/>
      <c r="V188" s="1686"/>
    </row>
    <row r="189" spans="1:22">
      <c r="A189" s="1532"/>
      <c r="B189" s="1689"/>
      <c r="C189" s="1674" t="s">
        <v>878</v>
      </c>
      <c r="D189" s="527" t="s">
        <v>879</v>
      </c>
      <c r="E189" s="1698"/>
      <c r="F189" s="1693"/>
      <c r="G189" s="1693"/>
      <c r="H189" s="1693"/>
      <c r="I189" s="1693"/>
      <c r="J189" s="1693"/>
      <c r="K189" s="1693"/>
      <c r="L189" s="1693"/>
      <c r="M189" s="1693"/>
      <c r="N189" s="1693"/>
      <c r="O189" s="1700"/>
      <c r="P189" s="1700"/>
      <c r="Q189" s="1700"/>
      <c r="R189" s="1700"/>
      <c r="S189" s="1700"/>
      <c r="T189" s="1700"/>
      <c r="U189" s="1695"/>
      <c r="V189" s="1686"/>
    </row>
    <row r="190" spans="1:22">
      <c r="A190" s="1532"/>
      <c r="B190" s="1689"/>
      <c r="C190" s="1675"/>
      <c r="D190" s="528" t="s">
        <v>880</v>
      </c>
      <c r="E190" s="1698"/>
      <c r="F190" s="1693"/>
      <c r="G190" s="1693"/>
      <c r="H190" s="1693"/>
      <c r="I190" s="1693"/>
      <c r="J190" s="1693"/>
      <c r="K190" s="1693"/>
      <c r="L190" s="1693"/>
      <c r="M190" s="1693"/>
      <c r="N190" s="1693"/>
      <c r="O190" s="1701"/>
      <c r="P190" s="1701"/>
      <c r="Q190" s="1701"/>
      <c r="R190" s="1701"/>
      <c r="S190" s="1701"/>
      <c r="T190" s="1701"/>
      <c r="U190" s="1696"/>
      <c r="V190" s="1687"/>
    </row>
    <row r="191" spans="1:22">
      <c r="A191" s="1532"/>
      <c r="B191" s="1697" t="s">
        <v>866</v>
      </c>
      <c r="C191" s="1530" t="s">
        <v>875</v>
      </c>
      <c r="D191" s="526" t="s">
        <v>876</v>
      </c>
      <c r="E191" s="1698"/>
      <c r="F191" s="1693"/>
      <c r="G191" s="1693"/>
      <c r="H191" s="1693"/>
      <c r="I191" s="1693"/>
      <c r="J191" s="1693"/>
      <c r="K191" s="1693"/>
      <c r="L191" s="1693"/>
      <c r="M191" s="1693"/>
      <c r="N191" s="1693"/>
      <c r="O191" s="1693"/>
      <c r="P191" s="1699">
        <v>0.98</v>
      </c>
      <c r="Q191" s="1699">
        <v>0.96039999999999992</v>
      </c>
      <c r="R191" s="1699">
        <v>0.94119199999999992</v>
      </c>
      <c r="S191" s="1699">
        <v>0.9317800799999999</v>
      </c>
      <c r="T191" s="1699">
        <v>0.9224622791999999</v>
      </c>
      <c r="U191" s="1694">
        <v>0.91323765640799992</v>
      </c>
      <c r="V191" s="1685">
        <v>0.90410527984391986</v>
      </c>
    </row>
    <row r="192" spans="1:22">
      <c r="A192" s="1532"/>
      <c r="B192" s="1689"/>
      <c r="C192" s="1531"/>
      <c r="D192" s="527" t="s">
        <v>877</v>
      </c>
      <c r="E192" s="1698"/>
      <c r="F192" s="1693"/>
      <c r="G192" s="1693"/>
      <c r="H192" s="1693"/>
      <c r="I192" s="1693"/>
      <c r="J192" s="1693"/>
      <c r="K192" s="1693"/>
      <c r="L192" s="1693"/>
      <c r="M192" s="1693"/>
      <c r="N192" s="1693"/>
      <c r="O192" s="1693"/>
      <c r="P192" s="1700"/>
      <c r="Q192" s="1700"/>
      <c r="R192" s="1700"/>
      <c r="S192" s="1700"/>
      <c r="T192" s="1700"/>
      <c r="U192" s="1695"/>
      <c r="V192" s="1686"/>
    </row>
    <row r="193" spans="1:22">
      <c r="A193" s="1532"/>
      <c r="B193" s="1689"/>
      <c r="C193" s="1674" t="s">
        <v>878</v>
      </c>
      <c r="D193" s="527" t="s">
        <v>879</v>
      </c>
      <c r="E193" s="1698"/>
      <c r="F193" s="1693"/>
      <c r="G193" s="1693"/>
      <c r="H193" s="1693"/>
      <c r="I193" s="1693"/>
      <c r="J193" s="1693"/>
      <c r="K193" s="1693"/>
      <c r="L193" s="1693"/>
      <c r="M193" s="1693"/>
      <c r="N193" s="1693"/>
      <c r="O193" s="1693"/>
      <c r="P193" s="1700"/>
      <c r="Q193" s="1700"/>
      <c r="R193" s="1700"/>
      <c r="S193" s="1700"/>
      <c r="T193" s="1700"/>
      <c r="U193" s="1695"/>
      <c r="V193" s="1686"/>
    </row>
    <row r="194" spans="1:22">
      <c r="A194" s="1532"/>
      <c r="B194" s="1689"/>
      <c r="C194" s="1675"/>
      <c r="D194" s="528" t="s">
        <v>880</v>
      </c>
      <c r="E194" s="1698"/>
      <c r="F194" s="1693"/>
      <c r="G194" s="1693"/>
      <c r="H194" s="1693"/>
      <c r="I194" s="1693"/>
      <c r="J194" s="1693"/>
      <c r="K194" s="1693"/>
      <c r="L194" s="1693"/>
      <c r="M194" s="1693"/>
      <c r="N194" s="1693"/>
      <c r="O194" s="1693"/>
      <c r="P194" s="1701"/>
      <c r="Q194" s="1701"/>
      <c r="R194" s="1701"/>
      <c r="S194" s="1701"/>
      <c r="T194" s="1701"/>
      <c r="U194" s="1696"/>
      <c r="V194" s="1687"/>
    </row>
    <row r="195" spans="1:22">
      <c r="A195" s="1532"/>
      <c r="B195" s="1688" t="s">
        <v>867</v>
      </c>
      <c r="C195" s="1530" t="s">
        <v>875</v>
      </c>
      <c r="D195" s="526" t="s">
        <v>876</v>
      </c>
      <c r="E195" s="1698"/>
      <c r="F195" s="1693"/>
      <c r="G195" s="1693"/>
      <c r="H195" s="1693"/>
      <c r="I195" s="1693"/>
      <c r="J195" s="1693"/>
      <c r="K195" s="1693"/>
      <c r="L195" s="1693"/>
      <c r="M195" s="1693"/>
      <c r="N195" s="1693"/>
      <c r="O195" s="1693"/>
      <c r="P195" s="1693"/>
      <c r="Q195" s="1699">
        <v>0.98</v>
      </c>
      <c r="R195" s="1699">
        <v>0.96039999999999992</v>
      </c>
      <c r="S195" s="1699">
        <v>0.95079599999999986</v>
      </c>
      <c r="T195" s="1699">
        <v>0.94128803999999988</v>
      </c>
      <c r="U195" s="1694">
        <v>0.93187515959999989</v>
      </c>
      <c r="V195" s="1685">
        <v>0.92255640800399985</v>
      </c>
    </row>
    <row r="196" spans="1:22">
      <c r="A196" s="1532"/>
      <c r="B196" s="1689"/>
      <c r="C196" s="1531"/>
      <c r="D196" s="527" t="s">
        <v>877</v>
      </c>
      <c r="E196" s="1698"/>
      <c r="F196" s="1693"/>
      <c r="G196" s="1693"/>
      <c r="H196" s="1693"/>
      <c r="I196" s="1693"/>
      <c r="J196" s="1693"/>
      <c r="K196" s="1693"/>
      <c r="L196" s="1693"/>
      <c r="M196" s="1693"/>
      <c r="N196" s="1693"/>
      <c r="O196" s="1693"/>
      <c r="P196" s="1693"/>
      <c r="Q196" s="1700"/>
      <c r="R196" s="1700"/>
      <c r="S196" s="1700"/>
      <c r="T196" s="1700"/>
      <c r="U196" s="1695"/>
      <c r="V196" s="1686"/>
    </row>
    <row r="197" spans="1:22">
      <c r="A197" s="1532"/>
      <c r="B197" s="1689"/>
      <c r="C197" s="1674" t="s">
        <v>878</v>
      </c>
      <c r="D197" s="527" t="s">
        <v>879</v>
      </c>
      <c r="E197" s="1698"/>
      <c r="F197" s="1693"/>
      <c r="G197" s="1693"/>
      <c r="H197" s="1693"/>
      <c r="I197" s="1693"/>
      <c r="J197" s="1693"/>
      <c r="K197" s="1693"/>
      <c r="L197" s="1693"/>
      <c r="M197" s="1693"/>
      <c r="N197" s="1693"/>
      <c r="O197" s="1693"/>
      <c r="P197" s="1693"/>
      <c r="Q197" s="1700"/>
      <c r="R197" s="1700"/>
      <c r="S197" s="1700"/>
      <c r="T197" s="1700"/>
      <c r="U197" s="1695"/>
      <c r="V197" s="1686"/>
    </row>
    <row r="198" spans="1:22">
      <c r="A198" s="1532"/>
      <c r="B198" s="1689"/>
      <c r="C198" s="1675"/>
      <c r="D198" s="528" t="s">
        <v>880</v>
      </c>
      <c r="E198" s="1698"/>
      <c r="F198" s="1693"/>
      <c r="G198" s="1693"/>
      <c r="H198" s="1693"/>
      <c r="I198" s="1693"/>
      <c r="J198" s="1693"/>
      <c r="K198" s="1693"/>
      <c r="L198" s="1693"/>
      <c r="M198" s="1693"/>
      <c r="N198" s="1693"/>
      <c r="O198" s="1693"/>
      <c r="P198" s="1693"/>
      <c r="Q198" s="1701"/>
      <c r="R198" s="1701"/>
      <c r="S198" s="1701"/>
      <c r="T198" s="1701"/>
      <c r="U198" s="1696"/>
      <c r="V198" s="1687"/>
    </row>
    <row r="199" spans="1:22">
      <c r="A199" s="1532"/>
      <c r="B199" s="1688" t="s">
        <v>868</v>
      </c>
      <c r="C199" s="1530" t="s">
        <v>875</v>
      </c>
      <c r="D199" s="526" t="s">
        <v>876</v>
      </c>
      <c r="E199" s="1698"/>
      <c r="F199" s="1693"/>
      <c r="G199" s="1693"/>
      <c r="H199" s="1693"/>
      <c r="I199" s="1693"/>
      <c r="J199" s="1693"/>
      <c r="K199" s="1693"/>
      <c r="L199" s="1693"/>
      <c r="M199" s="1693"/>
      <c r="N199" s="1693"/>
      <c r="O199" s="1693"/>
      <c r="P199" s="1693"/>
      <c r="Q199" s="1693"/>
      <c r="R199" s="1699">
        <v>0.98</v>
      </c>
      <c r="S199" s="1699">
        <v>0.97019999999999995</v>
      </c>
      <c r="T199" s="1699">
        <v>0.96049799999999996</v>
      </c>
      <c r="U199" s="1694">
        <v>0.95089301999999998</v>
      </c>
      <c r="V199" s="1685">
        <v>0.94138408979999999</v>
      </c>
    </row>
    <row r="200" spans="1:22">
      <c r="A200" s="1532"/>
      <c r="B200" s="1689"/>
      <c r="C200" s="1531"/>
      <c r="D200" s="527" t="s">
        <v>877</v>
      </c>
      <c r="E200" s="1698"/>
      <c r="F200" s="1693"/>
      <c r="G200" s="1693"/>
      <c r="H200" s="1693"/>
      <c r="I200" s="1693"/>
      <c r="J200" s="1693"/>
      <c r="K200" s="1693"/>
      <c r="L200" s="1693"/>
      <c r="M200" s="1693"/>
      <c r="N200" s="1693"/>
      <c r="O200" s="1693"/>
      <c r="P200" s="1693"/>
      <c r="Q200" s="1693"/>
      <c r="R200" s="1700"/>
      <c r="S200" s="1700"/>
      <c r="T200" s="1700"/>
      <c r="U200" s="1695"/>
      <c r="V200" s="1686"/>
    </row>
    <row r="201" spans="1:22">
      <c r="A201" s="1532"/>
      <c r="B201" s="1689"/>
      <c r="C201" s="1674" t="s">
        <v>878</v>
      </c>
      <c r="D201" s="527" t="s">
        <v>879</v>
      </c>
      <c r="E201" s="1698"/>
      <c r="F201" s="1693"/>
      <c r="G201" s="1693"/>
      <c r="H201" s="1693"/>
      <c r="I201" s="1693"/>
      <c r="J201" s="1693"/>
      <c r="K201" s="1693"/>
      <c r="L201" s="1693"/>
      <c r="M201" s="1693"/>
      <c r="N201" s="1693"/>
      <c r="O201" s="1693"/>
      <c r="P201" s="1693"/>
      <c r="Q201" s="1693"/>
      <c r="R201" s="1700"/>
      <c r="S201" s="1700"/>
      <c r="T201" s="1700"/>
      <c r="U201" s="1695"/>
      <c r="V201" s="1686"/>
    </row>
    <row r="202" spans="1:22">
      <c r="A202" s="1532"/>
      <c r="B202" s="1689"/>
      <c r="C202" s="1675"/>
      <c r="D202" s="528" t="s">
        <v>880</v>
      </c>
      <c r="E202" s="1698"/>
      <c r="F202" s="1693"/>
      <c r="G202" s="1693"/>
      <c r="H202" s="1693"/>
      <c r="I202" s="1693"/>
      <c r="J202" s="1693"/>
      <c r="K202" s="1693"/>
      <c r="L202" s="1693"/>
      <c r="M202" s="1693"/>
      <c r="N202" s="1693"/>
      <c r="O202" s="1693"/>
      <c r="P202" s="1693"/>
      <c r="Q202" s="1693"/>
      <c r="R202" s="1701"/>
      <c r="S202" s="1701"/>
      <c r="T202" s="1701"/>
      <c r="U202" s="1696"/>
      <c r="V202" s="1687"/>
    </row>
    <row r="203" spans="1:22">
      <c r="A203" s="1532"/>
      <c r="B203" s="1697" t="s">
        <v>869</v>
      </c>
      <c r="C203" s="1530" t="s">
        <v>875</v>
      </c>
      <c r="D203" s="526" t="s">
        <v>876</v>
      </c>
      <c r="E203" s="1698"/>
      <c r="F203" s="1693"/>
      <c r="G203" s="1693"/>
      <c r="H203" s="1693"/>
      <c r="I203" s="1693"/>
      <c r="J203" s="1693"/>
      <c r="K203" s="1693"/>
      <c r="L203" s="1693"/>
      <c r="M203" s="1693"/>
      <c r="N203" s="1693"/>
      <c r="O203" s="1693"/>
      <c r="P203" s="1693"/>
      <c r="Q203" s="1693"/>
      <c r="R203" s="1693"/>
      <c r="S203" s="1699">
        <v>0.99</v>
      </c>
      <c r="T203" s="1699">
        <v>0.98009999999999997</v>
      </c>
      <c r="U203" s="1694">
        <v>0.97029899999999991</v>
      </c>
      <c r="V203" s="1685">
        <v>0.96059600999999994</v>
      </c>
    </row>
    <row r="204" spans="1:22">
      <c r="A204" s="1532"/>
      <c r="B204" s="1689"/>
      <c r="C204" s="1531"/>
      <c r="D204" s="527" t="s">
        <v>877</v>
      </c>
      <c r="E204" s="1698"/>
      <c r="F204" s="1693"/>
      <c r="G204" s="1693"/>
      <c r="H204" s="1693"/>
      <c r="I204" s="1693"/>
      <c r="J204" s="1693"/>
      <c r="K204" s="1693"/>
      <c r="L204" s="1693"/>
      <c r="M204" s="1693"/>
      <c r="N204" s="1693"/>
      <c r="O204" s="1693"/>
      <c r="P204" s="1693"/>
      <c r="Q204" s="1693"/>
      <c r="R204" s="1693"/>
      <c r="S204" s="1700"/>
      <c r="T204" s="1700"/>
      <c r="U204" s="1695"/>
      <c r="V204" s="1686"/>
    </row>
    <row r="205" spans="1:22">
      <c r="A205" s="1532"/>
      <c r="B205" s="1689"/>
      <c r="C205" s="1674" t="s">
        <v>878</v>
      </c>
      <c r="D205" s="527" t="s">
        <v>879</v>
      </c>
      <c r="E205" s="1698"/>
      <c r="F205" s="1693"/>
      <c r="G205" s="1693"/>
      <c r="H205" s="1693"/>
      <c r="I205" s="1693"/>
      <c r="J205" s="1693"/>
      <c r="K205" s="1693"/>
      <c r="L205" s="1693"/>
      <c r="M205" s="1693"/>
      <c r="N205" s="1693"/>
      <c r="O205" s="1693"/>
      <c r="P205" s="1693"/>
      <c r="Q205" s="1693"/>
      <c r="R205" s="1693"/>
      <c r="S205" s="1700"/>
      <c r="T205" s="1700"/>
      <c r="U205" s="1695"/>
      <c r="V205" s="1686"/>
    </row>
    <row r="206" spans="1:22">
      <c r="A206" s="1532"/>
      <c r="B206" s="1689"/>
      <c r="C206" s="1675"/>
      <c r="D206" s="528" t="s">
        <v>880</v>
      </c>
      <c r="E206" s="1698"/>
      <c r="F206" s="1693"/>
      <c r="G206" s="1693"/>
      <c r="H206" s="1693"/>
      <c r="I206" s="1693"/>
      <c r="J206" s="1693"/>
      <c r="K206" s="1693"/>
      <c r="L206" s="1693"/>
      <c r="M206" s="1693"/>
      <c r="N206" s="1693"/>
      <c r="O206" s="1693"/>
      <c r="P206" s="1693"/>
      <c r="Q206" s="1693"/>
      <c r="R206" s="1693"/>
      <c r="S206" s="1701"/>
      <c r="T206" s="1701"/>
      <c r="U206" s="1696"/>
      <c r="V206" s="1687"/>
    </row>
    <row r="207" spans="1:22">
      <c r="A207" s="1532"/>
      <c r="B207" s="1697" t="s">
        <v>870</v>
      </c>
      <c r="C207" s="1530" t="s">
        <v>875</v>
      </c>
      <c r="D207" s="526" t="s">
        <v>876</v>
      </c>
      <c r="E207" s="1698"/>
      <c r="F207" s="1693"/>
      <c r="G207" s="1693"/>
      <c r="H207" s="1693"/>
      <c r="I207" s="1693"/>
      <c r="J207" s="1693"/>
      <c r="K207" s="1693"/>
      <c r="L207" s="1693"/>
      <c r="M207" s="1693"/>
      <c r="N207" s="1693"/>
      <c r="O207" s="1693"/>
      <c r="P207" s="1693"/>
      <c r="Q207" s="1693"/>
      <c r="R207" s="1693"/>
      <c r="S207" s="1693"/>
      <c r="T207" s="1699">
        <v>0.99</v>
      </c>
      <c r="U207" s="1694">
        <v>0.98009999999999997</v>
      </c>
      <c r="V207" s="1685">
        <v>0.97029899999999991</v>
      </c>
    </row>
    <row r="208" spans="1:22">
      <c r="A208" s="1532"/>
      <c r="B208" s="1689"/>
      <c r="C208" s="1531"/>
      <c r="D208" s="527" t="s">
        <v>877</v>
      </c>
      <c r="E208" s="1698"/>
      <c r="F208" s="1693"/>
      <c r="G208" s="1693"/>
      <c r="H208" s="1693"/>
      <c r="I208" s="1693"/>
      <c r="J208" s="1693"/>
      <c r="K208" s="1693"/>
      <c r="L208" s="1693"/>
      <c r="M208" s="1693"/>
      <c r="N208" s="1693"/>
      <c r="O208" s="1693"/>
      <c r="P208" s="1693"/>
      <c r="Q208" s="1693"/>
      <c r="R208" s="1693"/>
      <c r="S208" s="1693"/>
      <c r="T208" s="1700"/>
      <c r="U208" s="1695"/>
      <c r="V208" s="1686"/>
    </row>
    <row r="209" spans="1:22">
      <c r="A209" s="1532"/>
      <c r="B209" s="1689"/>
      <c r="C209" s="1674" t="s">
        <v>878</v>
      </c>
      <c r="D209" s="527" t="s">
        <v>879</v>
      </c>
      <c r="E209" s="1698"/>
      <c r="F209" s="1693"/>
      <c r="G209" s="1693"/>
      <c r="H209" s="1693"/>
      <c r="I209" s="1693"/>
      <c r="J209" s="1693"/>
      <c r="K209" s="1693"/>
      <c r="L209" s="1693"/>
      <c r="M209" s="1693"/>
      <c r="N209" s="1693"/>
      <c r="O209" s="1693"/>
      <c r="P209" s="1693"/>
      <c r="Q209" s="1693"/>
      <c r="R209" s="1693"/>
      <c r="S209" s="1693"/>
      <c r="T209" s="1700"/>
      <c r="U209" s="1695"/>
      <c r="V209" s="1686"/>
    </row>
    <row r="210" spans="1:22">
      <c r="A210" s="1532"/>
      <c r="B210" s="1689"/>
      <c r="C210" s="1675"/>
      <c r="D210" s="528" t="s">
        <v>880</v>
      </c>
      <c r="E210" s="1698"/>
      <c r="F210" s="1693"/>
      <c r="G210" s="1693"/>
      <c r="H210" s="1693"/>
      <c r="I210" s="1693"/>
      <c r="J210" s="1693"/>
      <c r="K210" s="1693"/>
      <c r="L210" s="1693"/>
      <c r="M210" s="1693"/>
      <c r="N210" s="1693"/>
      <c r="O210" s="1693"/>
      <c r="P210" s="1693"/>
      <c r="Q210" s="1693"/>
      <c r="R210" s="1693"/>
      <c r="S210" s="1693"/>
      <c r="T210" s="1701"/>
      <c r="U210" s="1696"/>
      <c r="V210" s="1687"/>
    </row>
    <row r="211" spans="1:22">
      <c r="A211" s="1532"/>
      <c r="B211" s="1697" t="s">
        <v>871</v>
      </c>
      <c r="C211" s="1530" t="s">
        <v>875</v>
      </c>
      <c r="D211" s="526" t="s">
        <v>876</v>
      </c>
      <c r="E211" s="1698"/>
      <c r="F211" s="1693"/>
      <c r="G211" s="1693"/>
      <c r="H211" s="1693"/>
      <c r="I211" s="1693"/>
      <c r="J211" s="1693"/>
      <c r="K211" s="1693"/>
      <c r="L211" s="1693"/>
      <c r="M211" s="1693"/>
      <c r="N211" s="1693"/>
      <c r="O211" s="1693"/>
      <c r="P211" s="1693"/>
      <c r="Q211" s="1693"/>
      <c r="R211" s="1693"/>
      <c r="S211" s="1693"/>
      <c r="T211" s="1693"/>
      <c r="U211" s="1694">
        <v>0.99</v>
      </c>
      <c r="V211" s="1685">
        <v>0.98009999999999997</v>
      </c>
    </row>
    <row r="212" spans="1:22">
      <c r="A212" s="1532"/>
      <c r="B212" s="1689"/>
      <c r="C212" s="1531"/>
      <c r="D212" s="527" t="s">
        <v>877</v>
      </c>
      <c r="E212" s="1698"/>
      <c r="F212" s="1693"/>
      <c r="G212" s="1693"/>
      <c r="H212" s="1693"/>
      <c r="I212" s="1693"/>
      <c r="J212" s="1693"/>
      <c r="K212" s="1693"/>
      <c r="L212" s="1693"/>
      <c r="M212" s="1693"/>
      <c r="N212" s="1693"/>
      <c r="O212" s="1693"/>
      <c r="P212" s="1693"/>
      <c r="Q212" s="1693"/>
      <c r="R212" s="1693"/>
      <c r="S212" s="1693"/>
      <c r="T212" s="1693"/>
      <c r="U212" s="1695"/>
      <c r="V212" s="1686"/>
    </row>
    <row r="213" spans="1:22">
      <c r="A213" s="1532"/>
      <c r="B213" s="1689"/>
      <c r="C213" s="1674" t="s">
        <v>878</v>
      </c>
      <c r="D213" s="527" t="s">
        <v>879</v>
      </c>
      <c r="E213" s="1698"/>
      <c r="F213" s="1693"/>
      <c r="G213" s="1693"/>
      <c r="H213" s="1693"/>
      <c r="I213" s="1693"/>
      <c r="J213" s="1693"/>
      <c r="K213" s="1693"/>
      <c r="L213" s="1693"/>
      <c r="M213" s="1693"/>
      <c r="N213" s="1693"/>
      <c r="O213" s="1693"/>
      <c r="P213" s="1693"/>
      <c r="Q213" s="1693"/>
      <c r="R213" s="1693"/>
      <c r="S213" s="1693"/>
      <c r="T213" s="1693"/>
      <c r="U213" s="1695"/>
      <c r="V213" s="1686"/>
    </row>
    <row r="214" spans="1:22">
      <c r="A214" s="1532"/>
      <c r="B214" s="1689"/>
      <c r="C214" s="1675"/>
      <c r="D214" s="528" t="s">
        <v>880</v>
      </c>
      <c r="E214" s="1698"/>
      <c r="F214" s="1693"/>
      <c r="G214" s="1693"/>
      <c r="H214" s="1693"/>
      <c r="I214" s="1693"/>
      <c r="J214" s="1693"/>
      <c r="K214" s="1693"/>
      <c r="L214" s="1693"/>
      <c r="M214" s="1693"/>
      <c r="N214" s="1693"/>
      <c r="O214" s="1693"/>
      <c r="P214" s="1693"/>
      <c r="Q214" s="1693"/>
      <c r="R214" s="1693"/>
      <c r="S214" s="1693"/>
      <c r="T214" s="1693"/>
      <c r="U214" s="1696"/>
      <c r="V214" s="1687"/>
    </row>
    <row r="215" spans="1:22">
      <c r="A215" s="1532"/>
      <c r="B215" s="1697" t="s">
        <v>872</v>
      </c>
      <c r="C215" s="1530" t="s">
        <v>875</v>
      </c>
      <c r="D215" s="526" t="s">
        <v>876</v>
      </c>
      <c r="E215" s="1690"/>
      <c r="F215" s="1676"/>
      <c r="G215" s="1676"/>
      <c r="H215" s="1676"/>
      <c r="I215" s="1676"/>
      <c r="J215" s="1676"/>
      <c r="K215" s="1676"/>
      <c r="L215" s="1676"/>
      <c r="M215" s="1676"/>
      <c r="N215" s="1676"/>
      <c r="O215" s="1676"/>
      <c r="P215" s="1676"/>
      <c r="Q215" s="1676"/>
      <c r="R215" s="1676"/>
      <c r="S215" s="1676"/>
      <c r="T215" s="1676"/>
      <c r="U215" s="1693"/>
      <c r="V215" s="1685">
        <v>0.99</v>
      </c>
    </row>
    <row r="216" spans="1:22">
      <c r="A216" s="1532"/>
      <c r="B216" s="1689"/>
      <c r="C216" s="1531"/>
      <c r="D216" s="527" t="s">
        <v>877</v>
      </c>
      <c r="E216" s="1691"/>
      <c r="F216" s="1677"/>
      <c r="G216" s="1677"/>
      <c r="H216" s="1677"/>
      <c r="I216" s="1677"/>
      <c r="J216" s="1677"/>
      <c r="K216" s="1677"/>
      <c r="L216" s="1677"/>
      <c r="M216" s="1677"/>
      <c r="N216" s="1677"/>
      <c r="O216" s="1677"/>
      <c r="P216" s="1677"/>
      <c r="Q216" s="1677"/>
      <c r="R216" s="1677"/>
      <c r="S216" s="1677"/>
      <c r="T216" s="1677"/>
      <c r="U216" s="1693"/>
      <c r="V216" s="1686"/>
    </row>
    <row r="217" spans="1:22">
      <c r="A217" s="1532"/>
      <c r="B217" s="1689"/>
      <c r="C217" s="1674" t="s">
        <v>878</v>
      </c>
      <c r="D217" s="527" t="s">
        <v>879</v>
      </c>
      <c r="E217" s="1691"/>
      <c r="F217" s="1677"/>
      <c r="G217" s="1677"/>
      <c r="H217" s="1677"/>
      <c r="I217" s="1677"/>
      <c r="J217" s="1677"/>
      <c r="K217" s="1677"/>
      <c r="L217" s="1677"/>
      <c r="M217" s="1677"/>
      <c r="N217" s="1677"/>
      <c r="O217" s="1677"/>
      <c r="P217" s="1677"/>
      <c r="Q217" s="1677"/>
      <c r="R217" s="1677"/>
      <c r="S217" s="1677"/>
      <c r="T217" s="1677"/>
      <c r="U217" s="1693"/>
      <c r="V217" s="1686"/>
    </row>
    <row r="218" spans="1:22">
      <c r="A218" s="1532"/>
      <c r="B218" s="1689"/>
      <c r="C218" s="1675"/>
      <c r="D218" s="528" t="s">
        <v>880</v>
      </c>
      <c r="E218" s="1692"/>
      <c r="F218" s="1678"/>
      <c r="G218" s="1678"/>
      <c r="H218" s="1678"/>
      <c r="I218" s="1678"/>
      <c r="J218" s="1678"/>
      <c r="K218" s="1678"/>
      <c r="L218" s="1678"/>
      <c r="M218" s="1678"/>
      <c r="N218" s="1678"/>
      <c r="O218" s="1678"/>
      <c r="P218" s="1678"/>
      <c r="Q218" s="1678"/>
      <c r="R218" s="1678"/>
      <c r="S218" s="1678"/>
      <c r="T218" s="1678"/>
      <c r="U218" s="1693"/>
      <c r="V218" s="1687"/>
    </row>
    <row r="219" spans="1:22">
      <c r="A219" s="1532"/>
      <c r="B219" s="1688" t="s">
        <v>873</v>
      </c>
      <c r="C219" s="1530" t="s">
        <v>875</v>
      </c>
      <c r="D219" s="526" t="s">
        <v>876</v>
      </c>
      <c r="E219" s="1690"/>
      <c r="F219" s="1676"/>
      <c r="G219" s="1676"/>
      <c r="H219" s="1676"/>
      <c r="I219" s="1676"/>
      <c r="J219" s="1676"/>
      <c r="K219" s="1676"/>
      <c r="L219" s="1676"/>
      <c r="M219" s="1676"/>
      <c r="N219" s="1676"/>
      <c r="O219" s="1676"/>
      <c r="P219" s="1676"/>
      <c r="Q219" s="1676"/>
      <c r="R219" s="1676"/>
      <c r="S219" s="1676"/>
      <c r="T219" s="1676"/>
      <c r="U219" s="1679"/>
      <c r="V219" s="1682"/>
    </row>
    <row r="220" spans="1:22">
      <c r="A220" s="1532"/>
      <c r="B220" s="1689"/>
      <c r="C220" s="1531"/>
      <c r="D220" s="527" t="s">
        <v>877</v>
      </c>
      <c r="E220" s="1691"/>
      <c r="F220" s="1677"/>
      <c r="G220" s="1677"/>
      <c r="H220" s="1677"/>
      <c r="I220" s="1677"/>
      <c r="J220" s="1677"/>
      <c r="K220" s="1677"/>
      <c r="L220" s="1677"/>
      <c r="M220" s="1677"/>
      <c r="N220" s="1677"/>
      <c r="O220" s="1677"/>
      <c r="P220" s="1677"/>
      <c r="Q220" s="1677"/>
      <c r="R220" s="1677"/>
      <c r="S220" s="1677"/>
      <c r="T220" s="1677"/>
      <c r="U220" s="1680"/>
      <c r="V220" s="1683"/>
    </row>
    <row r="221" spans="1:22">
      <c r="A221" s="1532"/>
      <c r="B221" s="1689"/>
      <c r="C221" s="1674" t="s">
        <v>878</v>
      </c>
      <c r="D221" s="527" t="s">
        <v>879</v>
      </c>
      <c r="E221" s="1691"/>
      <c r="F221" s="1677"/>
      <c r="G221" s="1677"/>
      <c r="H221" s="1677"/>
      <c r="I221" s="1677"/>
      <c r="J221" s="1677"/>
      <c r="K221" s="1677"/>
      <c r="L221" s="1677"/>
      <c r="M221" s="1677"/>
      <c r="N221" s="1677"/>
      <c r="O221" s="1677"/>
      <c r="P221" s="1677"/>
      <c r="Q221" s="1677"/>
      <c r="R221" s="1677"/>
      <c r="S221" s="1677"/>
      <c r="T221" s="1677"/>
      <c r="U221" s="1680"/>
      <c r="V221" s="1683"/>
    </row>
    <row r="222" spans="1:22">
      <c r="A222" s="1525"/>
      <c r="B222" s="1689"/>
      <c r="C222" s="1675"/>
      <c r="D222" s="528" t="s">
        <v>880</v>
      </c>
      <c r="E222" s="1692"/>
      <c r="F222" s="1678"/>
      <c r="G222" s="1678"/>
      <c r="H222" s="1678"/>
      <c r="I222" s="1678"/>
      <c r="J222" s="1678"/>
      <c r="K222" s="1678"/>
      <c r="L222" s="1678"/>
      <c r="M222" s="1678"/>
      <c r="N222" s="1678"/>
      <c r="O222" s="1678"/>
      <c r="P222" s="1678"/>
      <c r="Q222" s="1678"/>
      <c r="R222" s="1678"/>
      <c r="S222" s="1678"/>
      <c r="T222" s="1678"/>
      <c r="U222" s="1681"/>
      <c r="V222" s="1684"/>
    </row>
    <row r="223" spans="1:22">
      <c r="A223" s="1524" t="s">
        <v>228</v>
      </c>
      <c r="B223" s="1688" t="s">
        <v>881</v>
      </c>
      <c r="C223" s="1530" t="s">
        <v>875</v>
      </c>
      <c r="D223" s="526" t="s">
        <v>876</v>
      </c>
      <c r="E223" s="1690"/>
      <c r="F223" s="1699">
        <v>0.61</v>
      </c>
      <c r="G223" s="1699">
        <v>0.4819</v>
      </c>
      <c r="H223" s="1699">
        <v>0.41925299999999999</v>
      </c>
      <c r="I223" s="1699">
        <v>0.40248287999999999</v>
      </c>
      <c r="J223" s="1699">
        <v>0.3702842496</v>
      </c>
      <c r="K223" s="1699">
        <v>0.34806719462399999</v>
      </c>
      <c r="L223" s="1699">
        <v>0.33066383489279999</v>
      </c>
      <c r="M223" s="1699">
        <v>0.317437281497088</v>
      </c>
      <c r="N223" s="1699">
        <v>0.29521667179229183</v>
      </c>
      <c r="O223" s="1699">
        <v>0.28931233835644599</v>
      </c>
      <c r="P223" s="1699">
        <v>0.28352609158931708</v>
      </c>
      <c r="Q223" s="1699">
        <v>0.27785556975753073</v>
      </c>
      <c r="R223" s="1699">
        <v>0.27507701405995544</v>
      </c>
      <c r="S223" s="1699">
        <v>0.27232624391935589</v>
      </c>
      <c r="T223" s="1699">
        <v>0.26960298148016232</v>
      </c>
      <c r="U223" s="1694">
        <v>0.26690695166536071</v>
      </c>
      <c r="V223" s="1685">
        <v>0.26423788214870708</v>
      </c>
    </row>
    <row r="224" spans="1:22">
      <c r="A224" s="1532"/>
      <c r="B224" s="1689"/>
      <c r="C224" s="1531"/>
      <c r="D224" s="527" t="s">
        <v>877</v>
      </c>
      <c r="E224" s="1691"/>
      <c r="F224" s="1700"/>
      <c r="G224" s="1700"/>
      <c r="H224" s="1700"/>
      <c r="I224" s="1700"/>
      <c r="J224" s="1700"/>
      <c r="K224" s="1700"/>
      <c r="L224" s="1700"/>
      <c r="M224" s="1700"/>
      <c r="N224" s="1700"/>
      <c r="O224" s="1700"/>
      <c r="P224" s="1700"/>
      <c r="Q224" s="1700"/>
      <c r="R224" s="1700"/>
      <c r="S224" s="1700"/>
      <c r="T224" s="1700"/>
      <c r="U224" s="1695"/>
      <c r="V224" s="1686"/>
    </row>
    <row r="225" spans="1:22">
      <c r="A225" s="1532"/>
      <c r="B225" s="1689"/>
      <c r="C225" s="1674" t="s">
        <v>878</v>
      </c>
      <c r="D225" s="527" t="s">
        <v>879</v>
      </c>
      <c r="E225" s="1691"/>
      <c r="F225" s="1700"/>
      <c r="G225" s="1700"/>
      <c r="H225" s="1700"/>
      <c r="I225" s="1700"/>
      <c r="J225" s="1700"/>
      <c r="K225" s="1700"/>
      <c r="L225" s="1700"/>
      <c r="M225" s="1700"/>
      <c r="N225" s="1700"/>
      <c r="O225" s="1700"/>
      <c r="P225" s="1700"/>
      <c r="Q225" s="1700"/>
      <c r="R225" s="1700"/>
      <c r="S225" s="1700"/>
      <c r="T225" s="1700"/>
      <c r="U225" s="1695"/>
      <c r="V225" s="1686"/>
    </row>
    <row r="226" spans="1:22">
      <c r="A226" s="1532"/>
      <c r="B226" s="1689"/>
      <c r="C226" s="1675"/>
      <c r="D226" s="528" t="s">
        <v>880</v>
      </c>
      <c r="E226" s="1692"/>
      <c r="F226" s="1701"/>
      <c r="G226" s="1701"/>
      <c r="H226" s="1701"/>
      <c r="I226" s="1701"/>
      <c r="J226" s="1701"/>
      <c r="K226" s="1701"/>
      <c r="L226" s="1701"/>
      <c r="M226" s="1701"/>
      <c r="N226" s="1701"/>
      <c r="O226" s="1701"/>
      <c r="P226" s="1701"/>
      <c r="Q226" s="1701"/>
      <c r="R226" s="1701"/>
      <c r="S226" s="1701"/>
      <c r="T226" s="1701"/>
      <c r="U226" s="1696"/>
      <c r="V226" s="1687"/>
    </row>
    <row r="227" spans="1:22">
      <c r="A227" s="1532"/>
      <c r="B227" s="1688" t="s">
        <v>857</v>
      </c>
      <c r="C227" s="1530" t="s">
        <v>875</v>
      </c>
      <c r="D227" s="526" t="s">
        <v>876</v>
      </c>
      <c r="E227" s="1698"/>
      <c r="F227" s="1693"/>
      <c r="G227" s="1699">
        <v>0.79</v>
      </c>
      <c r="H227" s="1699">
        <v>0.68730000000000002</v>
      </c>
      <c r="I227" s="1699">
        <v>0.65980799999999995</v>
      </c>
      <c r="J227" s="1699">
        <v>0.60702336000000001</v>
      </c>
      <c r="K227" s="1699">
        <v>0.57060195839999994</v>
      </c>
      <c r="L227" s="1699">
        <v>0.54207186047999989</v>
      </c>
      <c r="M227" s="1699">
        <v>0.52038898606079986</v>
      </c>
      <c r="N227" s="1699">
        <v>0.48396175703654387</v>
      </c>
      <c r="O227" s="1699">
        <v>0.47428252189581299</v>
      </c>
      <c r="P227" s="1699">
        <v>0.46479687145789672</v>
      </c>
      <c r="Q227" s="1699">
        <v>0.45550093402873876</v>
      </c>
      <c r="R227" s="1699">
        <v>0.45094592468845135</v>
      </c>
      <c r="S227" s="1699">
        <v>0.44643646544156684</v>
      </c>
      <c r="T227" s="1699">
        <v>0.44197210078715116</v>
      </c>
      <c r="U227" s="1694">
        <v>0.43755237977927963</v>
      </c>
      <c r="V227" s="1685">
        <v>0.43317685598148681</v>
      </c>
    </row>
    <row r="228" spans="1:22">
      <c r="A228" s="1532"/>
      <c r="B228" s="1689"/>
      <c r="C228" s="1531"/>
      <c r="D228" s="527" t="s">
        <v>877</v>
      </c>
      <c r="E228" s="1698"/>
      <c r="F228" s="1693"/>
      <c r="G228" s="1700"/>
      <c r="H228" s="1700"/>
      <c r="I228" s="1700"/>
      <c r="J228" s="1700"/>
      <c r="K228" s="1700"/>
      <c r="L228" s="1700"/>
      <c r="M228" s="1700"/>
      <c r="N228" s="1700"/>
      <c r="O228" s="1700"/>
      <c r="P228" s="1700"/>
      <c r="Q228" s="1700"/>
      <c r="R228" s="1700"/>
      <c r="S228" s="1700"/>
      <c r="T228" s="1700"/>
      <c r="U228" s="1695"/>
      <c r="V228" s="1686"/>
    </row>
    <row r="229" spans="1:22">
      <c r="A229" s="1532"/>
      <c r="B229" s="1689"/>
      <c r="C229" s="1674" t="s">
        <v>878</v>
      </c>
      <c r="D229" s="527" t="s">
        <v>879</v>
      </c>
      <c r="E229" s="1698"/>
      <c r="F229" s="1693"/>
      <c r="G229" s="1700"/>
      <c r="H229" s="1700"/>
      <c r="I229" s="1700"/>
      <c r="J229" s="1700"/>
      <c r="K229" s="1700"/>
      <c r="L229" s="1700"/>
      <c r="M229" s="1700"/>
      <c r="N229" s="1700"/>
      <c r="O229" s="1700"/>
      <c r="P229" s="1700"/>
      <c r="Q229" s="1700"/>
      <c r="R229" s="1700"/>
      <c r="S229" s="1700"/>
      <c r="T229" s="1700"/>
      <c r="U229" s="1695"/>
      <c r="V229" s="1686"/>
    </row>
    <row r="230" spans="1:22">
      <c r="A230" s="1532"/>
      <c r="B230" s="1689"/>
      <c r="C230" s="1675"/>
      <c r="D230" s="528" t="s">
        <v>880</v>
      </c>
      <c r="E230" s="1698"/>
      <c r="F230" s="1693"/>
      <c r="G230" s="1701"/>
      <c r="H230" s="1701"/>
      <c r="I230" s="1701"/>
      <c r="J230" s="1701"/>
      <c r="K230" s="1701"/>
      <c r="L230" s="1701"/>
      <c r="M230" s="1701"/>
      <c r="N230" s="1701"/>
      <c r="O230" s="1701"/>
      <c r="P230" s="1701"/>
      <c r="Q230" s="1701"/>
      <c r="R230" s="1701"/>
      <c r="S230" s="1701"/>
      <c r="T230" s="1701"/>
      <c r="U230" s="1696"/>
      <c r="V230" s="1687"/>
    </row>
    <row r="231" spans="1:22">
      <c r="A231" s="1532"/>
      <c r="B231" s="1688" t="s">
        <v>858</v>
      </c>
      <c r="C231" s="1530" t="s">
        <v>875</v>
      </c>
      <c r="D231" s="526" t="s">
        <v>876</v>
      </c>
      <c r="E231" s="1698"/>
      <c r="F231" s="1693"/>
      <c r="G231" s="1693"/>
      <c r="H231" s="1699">
        <v>0.87</v>
      </c>
      <c r="I231" s="1699">
        <v>0.83519999999999994</v>
      </c>
      <c r="J231" s="1699">
        <v>0.76838399999999996</v>
      </c>
      <c r="K231" s="1699">
        <v>0.72228095999999997</v>
      </c>
      <c r="L231" s="1699">
        <v>0.68616691199999991</v>
      </c>
      <c r="M231" s="1699">
        <v>0.65872023551999992</v>
      </c>
      <c r="N231" s="1699">
        <v>0.61260981903360001</v>
      </c>
      <c r="O231" s="1699">
        <v>0.60035762265292802</v>
      </c>
      <c r="P231" s="1699">
        <v>0.58835047019986941</v>
      </c>
      <c r="Q231" s="1699">
        <v>0.57658346079587197</v>
      </c>
      <c r="R231" s="1699">
        <v>0.57081762618791321</v>
      </c>
      <c r="S231" s="1699">
        <v>0.56510944992603407</v>
      </c>
      <c r="T231" s="1699">
        <v>0.55945835542677369</v>
      </c>
      <c r="U231" s="1694">
        <v>0.55386377187250591</v>
      </c>
      <c r="V231" s="1685">
        <v>0.54832513415378081</v>
      </c>
    </row>
    <row r="232" spans="1:22">
      <c r="A232" s="1532"/>
      <c r="B232" s="1689"/>
      <c r="C232" s="1531"/>
      <c r="D232" s="527" t="s">
        <v>877</v>
      </c>
      <c r="E232" s="1698"/>
      <c r="F232" s="1693"/>
      <c r="G232" s="1693"/>
      <c r="H232" s="1700"/>
      <c r="I232" s="1700"/>
      <c r="J232" s="1700"/>
      <c r="K232" s="1700"/>
      <c r="L232" s="1700"/>
      <c r="M232" s="1700"/>
      <c r="N232" s="1700"/>
      <c r="O232" s="1700"/>
      <c r="P232" s="1700"/>
      <c r="Q232" s="1700"/>
      <c r="R232" s="1700"/>
      <c r="S232" s="1700"/>
      <c r="T232" s="1700"/>
      <c r="U232" s="1695"/>
      <c r="V232" s="1686"/>
    </row>
    <row r="233" spans="1:22">
      <c r="A233" s="1532"/>
      <c r="B233" s="1689"/>
      <c r="C233" s="1674" t="s">
        <v>878</v>
      </c>
      <c r="D233" s="527" t="s">
        <v>879</v>
      </c>
      <c r="E233" s="1698"/>
      <c r="F233" s="1693"/>
      <c r="G233" s="1693"/>
      <c r="H233" s="1700"/>
      <c r="I233" s="1700"/>
      <c r="J233" s="1700"/>
      <c r="K233" s="1700"/>
      <c r="L233" s="1700"/>
      <c r="M233" s="1700"/>
      <c r="N233" s="1700"/>
      <c r="O233" s="1700"/>
      <c r="P233" s="1700"/>
      <c r="Q233" s="1700"/>
      <c r="R233" s="1700"/>
      <c r="S233" s="1700"/>
      <c r="T233" s="1700"/>
      <c r="U233" s="1695"/>
      <c r="V233" s="1686"/>
    </row>
    <row r="234" spans="1:22">
      <c r="A234" s="1532"/>
      <c r="B234" s="1689"/>
      <c r="C234" s="1675"/>
      <c r="D234" s="528" t="s">
        <v>880</v>
      </c>
      <c r="E234" s="1698"/>
      <c r="F234" s="1693"/>
      <c r="G234" s="1693"/>
      <c r="H234" s="1701"/>
      <c r="I234" s="1701"/>
      <c r="J234" s="1701"/>
      <c r="K234" s="1701"/>
      <c r="L234" s="1701"/>
      <c r="M234" s="1701"/>
      <c r="N234" s="1701"/>
      <c r="O234" s="1701"/>
      <c r="P234" s="1701"/>
      <c r="Q234" s="1701"/>
      <c r="R234" s="1701"/>
      <c r="S234" s="1701"/>
      <c r="T234" s="1701"/>
      <c r="U234" s="1696"/>
      <c r="V234" s="1687"/>
    </row>
    <row r="235" spans="1:22">
      <c r="A235" s="1532"/>
      <c r="B235" s="1697" t="s">
        <v>859</v>
      </c>
      <c r="C235" s="1530" t="s">
        <v>875</v>
      </c>
      <c r="D235" s="526" t="s">
        <v>876</v>
      </c>
      <c r="E235" s="1698"/>
      <c r="F235" s="1693"/>
      <c r="G235" s="1693"/>
      <c r="H235" s="1693"/>
      <c r="I235" s="1699">
        <v>0.96</v>
      </c>
      <c r="J235" s="1699">
        <v>0.88319999999999999</v>
      </c>
      <c r="K235" s="1699">
        <v>0.83020799999999995</v>
      </c>
      <c r="L235" s="1699">
        <v>0.78869759999999989</v>
      </c>
      <c r="M235" s="1699">
        <v>0.75714969599999982</v>
      </c>
      <c r="N235" s="1699">
        <v>0.70414921727999991</v>
      </c>
      <c r="O235" s="1699">
        <v>0.69006623293439995</v>
      </c>
      <c r="P235" s="1699">
        <v>0.67626490827571195</v>
      </c>
      <c r="Q235" s="1699">
        <v>0.66273961011019766</v>
      </c>
      <c r="R235" s="1699">
        <v>0.6561122140090957</v>
      </c>
      <c r="S235" s="1699">
        <v>0.64955109186900473</v>
      </c>
      <c r="T235" s="1699">
        <v>0.64305558095031468</v>
      </c>
      <c r="U235" s="1694">
        <v>0.63662502514081154</v>
      </c>
      <c r="V235" s="1685">
        <v>0.63025877488940341</v>
      </c>
    </row>
    <row r="236" spans="1:22">
      <c r="A236" s="1532"/>
      <c r="B236" s="1689"/>
      <c r="C236" s="1531"/>
      <c r="D236" s="527" t="s">
        <v>877</v>
      </c>
      <c r="E236" s="1698"/>
      <c r="F236" s="1693"/>
      <c r="G236" s="1693"/>
      <c r="H236" s="1693"/>
      <c r="I236" s="1700"/>
      <c r="J236" s="1700"/>
      <c r="K236" s="1700"/>
      <c r="L236" s="1700"/>
      <c r="M236" s="1700"/>
      <c r="N236" s="1700"/>
      <c r="O236" s="1700"/>
      <c r="P236" s="1700"/>
      <c r="Q236" s="1700"/>
      <c r="R236" s="1700"/>
      <c r="S236" s="1700"/>
      <c r="T236" s="1700"/>
      <c r="U236" s="1695"/>
      <c r="V236" s="1686"/>
    </row>
    <row r="237" spans="1:22">
      <c r="A237" s="1532"/>
      <c r="B237" s="1689"/>
      <c r="C237" s="1674" t="s">
        <v>878</v>
      </c>
      <c r="D237" s="527" t="s">
        <v>879</v>
      </c>
      <c r="E237" s="1698"/>
      <c r="F237" s="1693"/>
      <c r="G237" s="1693"/>
      <c r="H237" s="1693"/>
      <c r="I237" s="1700"/>
      <c r="J237" s="1700"/>
      <c r="K237" s="1700"/>
      <c r="L237" s="1700"/>
      <c r="M237" s="1700"/>
      <c r="N237" s="1700"/>
      <c r="O237" s="1700"/>
      <c r="P237" s="1700"/>
      <c r="Q237" s="1700"/>
      <c r="R237" s="1700"/>
      <c r="S237" s="1700"/>
      <c r="T237" s="1700"/>
      <c r="U237" s="1695"/>
      <c r="V237" s="1686"/>
    </row>
    <row r="238" spans="1:22">
      <c r="A238" s="1532"/>
      <c r="B238" s="1689"/>
      <c r="C238" s="1675"/>
      <c r="D238" s="528" t="s">
        <v>880</v>
      </c>
      <c r="E238" s="1698"/>
      <c r="F238" s="1693"/>
      <c r="G238" s="1693"/>
      <c r="H238" s="1693"/>
      <c r="I238" s="1701"/>
      <c r="J238" s="1701"/>
      <c r="K238" s="1701"/>
      <c r="L238" s="1701"/>
      <c r="M238" s="1701"/>
      <c r="N238" s="1701"/>
      <c r="O238" s="1701"/>
      <c r="P238" s="1701"/>
      <c r="Q238" s="1701"/>
      <c r="R238" s="1701"/>
      <c r="S238" s="1701"/>
      <c r="T238" s="1701"/>
      <c r="U238" s="1696"/>
      <c r="V238" s="1687"/>
    </row>
    <row r="239" spans="1:22">
      <c r="A239" s="1532"/>
      <c r="B239" s="1697" t="s">
        <v>860</v>
      </c>
      <c r="C239" s="1530" t="s">
        <v>875</v>
      </c>
      <c r="D239" s="526" t="s">
        <v>876</v>
      </c>
      <c r="E239" s="1698"/>
      <c r="F239" s="1693"/>
      <c r="G239" s="1693"/>
      <c r="H239" s="1693"/>
      <c r="I239" s="1693"/>
      <c r="J239" s="1699">
        <v>0.92</v>
      </c>
      <c r="K239" s="1699">
        <v>0.86480000000000001</v>
      </c>
      <c r="L239" s="1699">
        <v>0.82155999999999996</v>
      </c>
      <c r="M239" s="1699">
        <v>0.78869759999999989</v>
      </c>
      <c r="N239" s="1699">
        <v>0.73348876799999996</v>
      </c>
      <c r="O239" s="1699">
        <v>0.71881899263999993</v>
      </c>
      <c r="P239" s="1699">
        <v>0.70444261278719988</v>
      </c>
      <c r="Q239" s="1699">
        <v>0.69035376053145592</v>
      </c>
      <c r="R239" s="1699">
        <v>0.68345022292614133</v>
      </c>
      <c r="S239" s="1699">
        <v>0.67661572069687992</v>
      </c>
      <c r="T239" s="1699">
        <v>0.66984956348991109</v>
      </c>
      <c r="U239" s="1694">
        <v>0.66315106785501199</v>
      </c>
      <c r="V239" s="1685">
        <v>0.65651955717646182</v>
      </c>
    </row>
    <row r="240" spans="1:22">
      <c r="A240" s="1532"/>
      <c r="B240" s="1689"/>
      <c r="C240" s="1531"/>
      <c r="D240" s="527" t="s">
        <v>877</v>
      </c>
      <c r="E240" s="1698"/>
      <c r="F240" s="1693"/>
      <c r="G240" s="1693"/>
      <c r="H240" s="1693"/>
      <c r="I240" s="1693"/>
      <c r="J240" s="1700"/>
      <c r="K240" s="1700"/>
      <c r="L240" s="1700"/>
      <c r="M240" s="1700"/>
      <c r="N240" s="1700"/>
      <c r="O240" s="1700"/>
      <c r="P240" s="1700"/>
      <c r="Q240" s="1700"/>
      <c r="R240" s="1700"/>
      <c r="S240" s="1700"/>
      <c r="T240" s="1700"/>
      <c r="U240" s="1695"/>
      <c r="V240" s="1686"/>
    </row>
    <row r="241" spans="1:22">
      <c r="A241" s="1532"/>
      <c r="B241" s="1689"/>
      <c r="C241" s="1674" t="s">
        <v>878</v>
      </c>
      <c r="D241" s="527" t="s">
        <v>879</v>
      </c>
      <c r="E241" s="1698"/>
      <c r="F241" s="1693"/>
      <c r="G241" s="1693"/>
      <c r="H241" s="1693"/>
      <c r="I241" s="1693"/>
      <c r="J241" s="1700"/>
      <c r="K241" s="1700"/>
      <c r="L241" s="1700"/>
      <c r="M241" s="1700"/>
      <c r="N241" s="1700"/>
      <c r="O241" s="1700"/>
      <c r="P241" s="1700"/>
      <c r="Q241" s="1700"/>
      <c r="R241" s="1700"/>
      <c r="S241" s="1700"/>
      <c r="T241" s="1700"/>
      <c r="U241" s="1695"/>
      <c r="V241" s="1686"/>
    </row>
    <row r="242" spans="1:22">
      <c r="A242" s="1532"/>
      <c r="B242" s="1689"/>
      <c r="C242" s="1675"/>
      <c r="D242" s="528" t="s">
        <v>880</v>
      </c>
      <c r="E242" s="1698"/>
      <c r="F242" s="1693"/>
      <c r="G242" s="1693"/>
      <c r="H242" s="1693"/>
      <c r="I242" s="1693"/>
      <c r="J242" s="1701"/>
      <c r="K242" s="1701"/>
      <c r="L242" s="1701"/>
      <c r="M242" s="1701"/>
      <c r="N242" s="1701"/>
      <c r="O242" s="1701"/>
      <c r="P242" s="1701"/>
      <c r="Q242" s="1701"/>
      <c r="R242" s="1701"/>
      <c r="S242" s="1701"/>
      <c r="T242" s="1701"/>
      <c r="U242" s="1696"/>
      <c r="V242" s="1687"/>
    </row>
    <row r="243" spans="1:22">
      <c r="A243" s="1532"/>
      <c r="B243" s="1697" t="s">
        <v>861</v>
      </c>
      <c r="C243" s="1530" t="s">
        <v>875</v>
      </c>
      <c r="D243" s="526" t="s">
        <v>876</v>
      </c>
      <c r="E243" s="1698"/>
      <c r="F243" s="1693"/>
      <c r="G243" s="1693"/>
      <c r="H243" s="1693"/>
      <c r="I243" s="1693"/>
      <c r="J243" s="1693"/>
      <c r="K243" s="1699">
        <v>0.94</v>
      </c>
      <c r="L243" s="1699">
        <v>0.8929999999999999</v>
      </c>
      <c r="M243" s="1699">
        <v>0.85727999999999993</v>
      </c>
      <c r="N243" s="1699">
        <v>0.79727039999999993</v>
      </c>
      <c r="O243" s="1699">
        <v>0.78132499199999994</v>
      </c>
      <c r="P243" s="1699">
        <v>0.76569849215999997</v>
      </c>
      <c r="Q243" s="1699">
        <v>0.75038452231679997</v>
      </c>
      <c r="R243" s="1699">
        <v>0.74288067709363192</v>
      </c>
      <c r="S243" s="1699">
        <v>0.73545187032269554</v>
      </c>
      <c r="T243" s="1699">
        <v>0.72809735161946854</v>
      </c>
      <c r="U243" s="1694">
        <v>0.72081637810327381</v>
      </c>
      <c r="V243" s="1685">
        <v>0.71360821432224109</v>
      </c>
    </row>
    <row r="244" spans="1:22">
      <c r="A244" s="1532"/>
      <c r="B244" s="1689"/>
      <c r="C244" s="1531"/>
      <c r="D244" s="527" t="s">
        <v>877</v>
      </c>
      <c r="E244" s="1698"/>
      <c r="F244" s="1693"/>
      <c r="G244" s="1693"/>
      <c r="H244" s="1693"/>
      <c r="I244" s="1693"/>
      <c r="J244" s="1693"/>
      <c r="K244" s="1700"/>
      <c r="L244" s="1700"/>
      <c r="M244" s="1700"/>
      <c r="N244" s="1700"/>
      <c r="O244" s="1700"/>
      <c r="P244" s="1700"/>
      <c r="Q244" s="1700"/>
      <c r="R244" s="1700"/>
      <c r="S244" s="1700"/>
      <c r="T244" s="1700"/>
      <c r="U244" s="1695"/>
      <c r="V244" s="1686"/>
    </row>
    <row r="245" spans="1:22">
      <c r="A245" s="1532"/>
      <c r="B245" s="1689"/>
      <c r="C245" s="1674" t="s">
        <v>878</v>
      </c>
      <c r="D245" s="527" t="s">
        <v>879</v>
      </c>
      <c r="E245" s="1698"/>
      <c r="F245" s="1693"/>
      <c r="G245" s="1693"/>
      <c r="H245" s="1693"/>
      <c r="I245" s="1693"/>
      <c r="J245" s="1693"/>
      <c r="K245" s="1700"/>
      <c r="L245" s="1700"/>
      <c r="M245" s="1700"/>
      <c r="N245" s="1700"/>
      <c r="O245" s="1700"/>
      <c r="P245" s="1700"/>
      <c r="Q245" s="1700"/>
      <c r="R245" s="1700"/>
      <c r="S245" s="1700"/>
      <c r="T245" s="1700"/>
      <c r="U245" s="1695"/>
      <c r="V245" s="1686"/>
    </row>
    <row r="246" spans="1:22">
      <c r="A246" s="1532"/>
      <c r="B246" s="1689"/>
      <c r="C246" s="1675"/>
      <c r="D246" s="528" t="s">
        <v>880</v>
      </c>
      <c r="E246" s="1698"/>
      <c r="F246" s="1693"/>
      <c r="G246" s="1693"/>
      <c r="H246" s="1693"/>
      <c r="I246" s="1693"/>
      <c r="J246" s="1693"/>
      <c r="K246" s="1701"/>
      <c r="L246" s="1701"/>
      <c r="M246" s="1701"/>
      <c r="N246" s="1701"/>
      <c r="O246" s="1701"/>
      <c r="P246" s="1701"/>
      <c r="Q246" s="1701"/>
      <c r="R246" s="1701"/>
      <c r="S246" s="1701"/>
      <c r="T246" s="1701"/>
      <c r="U246" s="1696"/>
      <c r="V246" s="1687"/>
    </row>
    <row r="247" spans="1:22">
      <c r="A247" s="1532"/>
      <c r="B247" s="1697" t="s">
        <v>862</v>
      </c>
      <c r="C247" s="1530" t="s">
        <v>875</v>
      </c>
      <c r="D247" s="526" t="s">
        <v>876</v>
      </c>
      <c r="E247" s="1698"/>
      <c r="F247" s="1693"/>
      <c r="G247" s="1693"/>
      <c r="H247" s="1693"/>
      <c r="I247" s="1693"/>
      <c r="J247" s="1693"/>
      <c r="K247" s="1693"/>
      <c r="L247" s="1699">
        <v>0.95</v>
      </c>
      <c r="M247" s="1699">
        <v>0.91199999999999992</v>
      </c>
      <c r="N247" s="1699">
        <v>0.84816000000000003</v>
      </c>
      <c r="O247" s="1699">
        <v>0.83119679999999996</v>
      </c>
      <c r="P247" s="1699">
        <v>0.81457286399999995</v>
      </c>
      <c r="Q247" s="1699">
        <v>0.79828140671999992</v>
      </c>
      <c r="R247" s="1699">
        <v>0.79029859265279989</v>
      </c>
      <c r="S247" s="1699">
        <v>0.78239560672627184</v>
      </c>
      <c r="T247" s="1699">
        <v>0.77457165065900913</v>
      </c>
      <c r="U247" s="1694">
        <v>0.76682593415241906</v>
      </c>
      <c r="V247" s="1685">
        <v>0.75915767481089491</v>
      </c>
    </row>
    <row r="248" spans="1:22">
      <c r="A248" s="1532"/>
      <c r="B248" s="1689"/>
      <c r="C248" s="1531"/>
      <c r="D248" s="527" t="s">
        <v>877</v>
      </c>
      <c r="E248" s="1698"/>
      <c r="F248" s="1693"/>
      <c r="G248" s="1693"/>
      <c r="H248" s="1693"/>
      <c r="I248" s="1693"/>
      <c r="J248" s="1693"/>
      <c r="K248" s="1693"/>
      <c r="L248" s="1700"/>
      <c r="M248" s="1700"/>
      <c r="N248" s="1700"/>
      <c r="O248" s="1700"/>
      <c r="P248" s="1700"/>
      <c r="Q248" s="1700"/>
      <c r="R248" s="1700"/>
      <c r="S248" s="1700"/>
      <c r="T248" s="1700"/>
      <c r="U248" s="1695"/>
      <c r="V248" s="1686"/>
    </row>
    <row r="249" spans="1:22">
      <c r="A249" s="1532"/>
      <c r="B249" s="1689"/>
      <c r="C249" s="1674" t="s">
        <v>878</v>
      </c>
      <c r="D249" s="527" t="s">
        <v>879</v>
      </c>
      <c r="E249" s="1698"/>
      <c r="F249" s="1693"/>
      <c r="G249" s="1693"/>
      <c r="H249" s="1693"/>
      <c r="I249" s="1693"/>
      <c r="J249" s="1693"/>
      <c r="K249" s="1693"/>
      <c r="L249" s="1700"/>
      <c r="M249" s="1700"/>
      <c r="N249" s="1700"/>
      <c r="O249" s="1700"/>
      <c r="P249" s="1700"/>
      <c r="Q249" s="1700"/>
      <c r="R249" s="1700"/>
      <c r="S249" s="1700"/>
      <c r="T249" s="1700"/>
      <c r="U249" s="1695"/>
      <c r="V249" s="1686"/>
    </row>
    <row r="250" spans="1:22">
      <c r="A250" s="1532"/>
      <c r="B250" s="1689"/>
      <c r="C250" s="1675"/>
      <c r="D250" s="528" t="s">
        <v>880</v>
      </c>
      <c r="E250" s="1698"/>
      <c r="F250" s="1693"/>
      <c r="G250" s="1693"/>
      <c r="H250" s="1693"/>
      <c r="I250" s="1693"/>
      <c r="J250" s="1693"/>
      <c r="K250" s="1693"/>
      <c r="L250" s="1701"/>
      <c r="M250" s="1701"/>
      <c r="N250" s="1701"/>
      <c r="O250" s="1701"/>
      <c r="P250" s="1701"/>
      <c r="Q250" s="1701"/>
      <c r="R250" s="1701"/>
      <c r="S250" s="1701"/>
      <c r="T250" s="1701"/>
      <c r="U250" s="1696"/>
      <c r="V250" s="1687"/>
    </row>
    <row r="251" spans="1:22">
      <c r="A251" s="1532"/>
      <c r="B251" s="1697" t="s">
        <v>863</v>
      </c>
      <c r="C251" s="1530" t="s">
        <v>875</v>
      </c>
      <c r="D251" s="526" t="s">
        <v>876</v>
      </c>
      <c r="E251" s="1698"/>
      <c r="F251" s="1693"/>
      <c r="G251" s="1693"/>
      <c r="H251" s="1693"/>
      <c r="I251" s="1693"/>
      <c r="J251" s="1693"/>
      <c r="K251" s="1693"/>
      <c r="L251" s="1693"/>
      <c r="M251" s="1699">
        <v>0.96</v>
      </c>
      <c r="N251" s="1699">
        <v>0.89280000000000004</v>
      </c>
      <c r="O251" s="1699">
        <v>0.87494400000000006</v>
      </c>
      <c r="P251" s="1699">
        <v>0.85744512000000006</v>
      </c>
      <c r="Q251" s="1699">
        <v>0.84029621760000006</v>
      </c>
      <c r="R251" s="1699">
        <v>0.83189325542400006</v>
      </c>
      <c r="S251" s="1699">
        <v>0.82357432286976007</v>
      </c>
      <c r="T251" s="1699">
        <v>0.81533857964106249</v>
      </c>
      <c r="U251" s="1694">
        <v>0.80718519384465182</v>
      </c>
      <c r="V251" s="1685">
        <v>0.79911334190620531</v>
      </c>
    </row>
    <row r="252" spans="1:22">
      <c r="A252" s="1532"/>
      <c r="B252" s="1689"/>
      <c r="C252" s="1531"/>
      <c r="D252" s="527" t="s">
        <v>877</v>
      </c>
      <c r="E252" s="1698"/>
      <c r="F252" s="1693"/>
      <c r="G252" s="1693"/>
      <c r="H252" s="1693"/>
      <c r="I252" s="1693"/>
      <c r="J252" s="1693"/>
      <c r="K252" s="1693"/>
      <c r="L252" s="1693"/>
      <c r="M252" s="1700"/>
      <c r="N252" s="1700"/>
      <c r="O252" s="1700"/>
      <c r="P252" s="1700"/>
      <c r="Q252" s="1700"/>
      <c r="R252" s="1700"/>
      <c r="S252" s="1700"/>
      <c r="T252" s="1700"/>
      <c r="U252" s="1695"/>
      <c r="V252" s="1686"/>
    </row>
    <row r="253" spans="1:22">
      <c r="A253" s="1532"/>
      <c r="B253" s="1689"/>
      <c r="C253" s="1674" t="s">
        <v>878</v>
      </c>
      <c r="D253" s="527" t="s">
        <v>879</v>
      </c>
      <c r="E253" s="1698"/>
      <c r="F253" s="1693"/>
      <c r="G253" s="1693"/>
      <c r="H253" s="1693"/>
      <c r="I253" s="1693"/>
      <c r="J253" s="1693"/>
      <c r="K253" s="1693"/>
      <c r="L253" s="1693"/>
      <c r="M253" s="1700"/>
      <c r="N253" s="1700"/>
      <c r="O253" s="1700"/>
      <c r="P253" s="1700"/>
      <c r="Q253" s="1700"/>
      <c r="R253" s="1700"/>
      <c r="S253" s="1700"/>
      <c r="T253" s="1700"/>
      <c r="U253" s="1695"/>
      <c r="V253" s="1686"/>
    </row>
    <row r="254" spans="1:22">
      <c r="A254" s="1532"/>
      <c r="B254" s="1689"/>
      <c r="C254" s="1675"/>
      <c r="D254" s="528" t="s">
        <v>880</v>
      </c>
      <c r="E254" s="1698"/>
      <c r="F254" s="1693"/>
      <c r="G254" s="1693"/>
      <c r="H254" s="1693"/>
      <c r="I254" s="1693"/>
      <c r="J254" s="1693"/>
      <c r="K254" s="1693"/>
      <c r="L254" s="1693"/>
      <c r="M254" s="1701"/>
      <c r="N254" s="1701"/>
      <c r="O254" s="1701"/>
      <c r="P254" s="1701"/>
      <c r="Q254" s="1701"/>
      <c r="R254" s="1701"/>
      <c r="S254" s="1701"/>
      <c r="T254" s="1701"/>
      <c r="U254" s="1696"/>
      <c r="V254" s="1687"/>
    </row>
    <row r="255" spans="1:22">
      <c r="A255" s="1532"/>
      <c r="B255" s="1688" t="s">
        <v>864</v>
      </c>
      <c r="C255" s="1530" t="s">
        <v>875</v>
      </c>
      <c r="D255" s="526" t="s">
        <v>876</v>
      </c>
      <c r="E255" s="1698"/>
      <c r="F255" s="1693"/>
      <c r="G255" s="1693"/>
      <c r="H255" s="1693"/>
      <c r="I255" s="1693"/>
      <c r="J255" s="1693"/>
      <c r="K255" s="1693"/>
      <c r="L255" s="1693"/>
      <c r="M255" s="1693"/>
      <c r="N255" s="1699">
        <v>0.93</v>
      </c>
      <c r="O255" s="1699">
        <v>0.91139999999999999</v>
      </c>
      <c r="P255" s="1699">
        <v>0.89317199999999997</v>
      </c>
      <c r="Q255" s="1699">
        <v>0.8753085599999999</v>
      </c>
      <c r="R255" s="1699">
        <v>0.86655547439999991</v>
      </c>
      <c r="S255" s="1699">
        <v>0.85788991965599992</v>
      </c>
      <c r="T255" s="1699">
        <v>0.84931102045943996</v>
      </c>
      <c r="U255" s="1694">
        <v>0.84081791025484554</v>
      </c>
      <c r="V255" s="1685">
        <v>0.83240973115229711</v>
      </c>
    </row>
    <row r="256" spans="1:22">
      <c r="A256" s="1532"/>
      <c r="B256" s="1689"/>
      <c r="C256" s="1531"/>
      <c r="D256" s="527" t="s">
        <v>877</v>
      </c>
      <c r="E256" s="1698"/>
      <c r="F256" s="1693"/>
      <c r="G256" s="1693"/>
      <c r="H256" s="1693"/>
      <c r="I256" s="1693"/>
      <c r="J256" s="1693"/>
      <c r="K256" s="1693"/>
      <c r="L256" s="1693"/>
      <c r="M256" s="1693"/>
      <c r="N256" s="1700"/>
      <c r="O256" s="1700"/>
      <c r="P256" s="1700"/>
      <c r="Q256" s="1700"/>
      <c r="R256" s="1700"/>
      <c r="S256" s="1700"/>
      <c r="T256" s="1700"/>
      <c r="U256" s="1695"/>
      <c r="V256" s="1686"/>
    </row>
    <row r="257" spans="1:22">
      <c r="A257" s="1532"/>
      <c r="B257" s="1689"/>
      <c r="C257" s="1674" t="s">
        <v>878</v>
      </c>
      <c r="D257" s="527" t="s">
        <v>879</v>
      </c>
      <c r="E257" s="1698"/>
      <c r="F257" s="1693"/>
      <c r="G257" s="1693"/>
      <c r="H257" s="1693"/>
      <c r="I257" s="1693"/>
      <c r="J257" s="1693"/>
      <c r="K257" s="1693"/>
      <c r="L257" s="1693"/>
      <c r="M257" s="1693"/>
      <c r="N257" s="1700"/>
      <c r="O257" s="1700"/>
      <c r="P257" s="1700"/>
      <c r="Q257" s="1700"/>
      <c r="R257" s="1700"/>
      <c r="S257" s="1700"/>
      <c r="T257" s="1700"/>
      <c r="U257" s="1695"/>
      <c r="V257" s="1686"/>
    </row>
    <row r="258" spans="1:22">
      <c r="A258" s="1532"/>
      <c r="B258" s="1689"/>
      <c r="C258" s="1675"/>
      <c r="D258" s="528" t="s">
        <v>880</v>
      </c>
      <c r="E258" s="1698"/>
      <c r="F258" s="1693"/>
      <c r="G258" s="1693"/>
      <c r="H258" s="1693"/>
      <c r="I258" s="1693"/>
      <c r="J258" s="1693"/>
      <c r="K258" s="1693"/>
      <c r="L258" s="1693"/>
      <c r="M258" s="1693"/>
      <c r="N258" s="1701"/>
      <c r="O258" s="1701"/>
      <c r="P258" s="1701"/>
      <c r="Q258" s="1701"/>
      <c r="R258" s="1701"/>
      <c r="S258" s="1701"/>
      <c r="T258" s="1701"/>
      <c r="U258" s="1696"/>
      <c r="V258" s="1687"/>
    </row>
    <row r="259" spans="1:22">
      <c r="A259" s="1532"/>
      <c r="B259" s="1697" t="s">
        <v>865</v>
      </c>
      <c r="C259" s="1530" t="s">
        <v>875</v>
      </c>
      <c r="D259" s="526" t="s">
        <v>876</v>
      </c>
      <c r="E259" s="1698"/>
      <c r="F259" s="1693"/>
      <c r="G259" s="1693"/>
      <c r="H259" s="1693"/>
      <c r="I259" s="1693"/>
      <c r="J259" s="1693"/>
      <c r="K259" s="1693"/>
      <c r="L259" s="1693"/>
      <c r="M259" s="1693"/>
      <c r="N259" s="1693"/>
      <c r="O259" s="1699">
        <v>0.98</v>
      </c>
      <c r="P259" s="1699">
        <v>0.96039999999999992</v>
      </c>
      <c r="Q259" s="1699">
        <v>0.94119199999999992</v>
      </c>
      <c r="R259" s="1699">
        <v>0.9317800799999999</v>
      </c>
      <c r="S259" s="1699">
        <v>0.9224622791999999</v>
      </c>
      <c r="T259" s="1699">
        <v>0.91323765640799992</v>
      </c>
      <c r="U259" s="1694">
        <v>0.90410527984391986</v>
      </c>
      <c r="V259" s="1685">
        <v>0.89506422704548061</v>
      </c>
    </row>
    <row r="260" spans="1:22">
      <c r="A260" s="1532"/>
      <c r="B260" s="1689"/>
      <c r="C260" s="1531"/>
      <c r="D260" s="527" t="s">
        <v>877</v>
      </c>
      <c r="E260" s="1698"/>
      <c r="F260" s="1693"/>
      <c r="G260" s="1693"/>
      <c r="H260" s="1693"/>
      <c r="I260" s="1693"/>
      <c r="J260" s="1693"/>
      <c r="K260" s="1693"/>
      <c r="L260" s="1693"/>
      <c r="M260" s="1693"/>
      <c r="N260" s="1693"/>
      <c r="O260" s="1700"/>
      <c r="P260" s="1700"/>
      <c r="Q260" s="1700"/>
      <c r="R260" s="1700"/>
      <c r="S260" s="1700"/>
      <c r="T260" s="1700"/>
      <c r="U260" s="1695"/>
      <c r="V260" s="1686"/>
    </row>
    <row r="261" spans="1:22">
      <c r="A261" s="1532"/>
      <c r="B261" s="1689"/>
      <c r="C261" s="1674" t="s">
        <v>878</v>
      </c>
      <c r="D261" s="527" t="s">
        <v>879</v>
      </c>
      <c r="E261" s="1698"/>
      <c r="F261" s="1693"/>
      <c r="G261" s="1693"/>
      <c r="H261" s="1693"/>
      <c r="I261" s="1693"/>
      <c r="J261" s="1693"/>
      <c r="K261" s="1693"/>
      <c r="L261" s="1693"/>
      <c r="M261" s="1693"/>
      <c r="N261" s="1693"/>
      <c r="O261" s="1700"/>
      <c r="P261" s="1700"/>
      <c r="Q261" s="1700"/>
      <c r="R261" s="1700"/>
      <c r="S261" s="1700"/>
      <c r="T261" s="1700"/>
      <c r="U261" s="1695"/>
      <c r="V261" s="1686"/>
    </row>
    <row r="262" spans="1:22">
      <c r="A262" s="1532"/>
      <c r="B262" s="1689"/>
      <c r="C262" s="1675"/>
      <c r="D262" s="528" t="s">
        <v>880</v>
      </c>
      <c r="E262" s="1698"/>
      <c r="F262" s="1693"/>
      <c r="G262" s="1693"/>
      <c r="H262" s="1693"/>
      <c r="I262" s="1693"/>
      <c r="J262" s="1693"/>
      <c r="K262" s="1693"/>
      <c r="L262" s="1693"/>
      <c r="M262" s="1693"/>
      <c r="N262" s="1693"/>
      <c r="O262" s="1701"/>
      <c r="P262" s="1701"/>
      <c r="Q262" s="1701"/>
      <c r="R262" s="1701"/>
      <c r="S262" s="1701"/>
      <c r="T262" s="1701"/>
      <c r="U262" s="1696"/>
      <c r="V262" s="1687"/>
    </row>
    <row r="263" spans="1:22">
      <c r="A263" s="1532"/>
      <c r="B263" s="1697" t="s">
        <v>866</v>
      </c>
      <c r="C263" s="1530" t="s">
        <v>875</v>
      </c>
      <c r="D263" s="526" t="s">
        <v>876</v>
      </c>
      <c r="E263" s="1698"/>
      <c r="F263" s="1693"/>
      <c r="G263" s="1693"/>
      <c r="H263" s="1693"/>
      <c r="I263" s="1693"/>
      <c r="J263" s="1693"/>
      <c r="K263" s="1693"/>
      <c r="L263" s="1693"/>
      <c r="M263" s="1693"/>
      <c r="N263" s="1693"/>
      <c r="O263" s="1693"/>
      <c r="P263" s="1699">
        <v>0.98</v>
      </c>
      <c r="Q263" s="1699">
        <v>0.96039999999999992</v>
      </c>
      <c r="R263" s="1699">
        <v>0.95079599999999986</v>
      </c>
      <c r="S263" s="1699">
        <v>0.94128803999999988</v>
      </c>
      <c r="T263" s="1699">
        <v>0.93187515959999989</v>
      </c>
      <c r="U263" s="1694">
        <v>0.92255640800399985</v>
      </c>
      <c r="V263" s="1685">
        <v>0.9133308439239598</v>
      </c>
    </row>
    <row r="264" spans="1:22">
      <c r="A264" s="1532"/>
      <c r="B264" s="1689"/>
      <c r="C264" s="1531"/>
      <c r="D264" s="527" t="s">
        <v>877</v>
      </c>
      <c r="E264" s="1698"/>
      <c r="F264" s="1693"/>
      <c r="G264" s="1693"/>
      <c r="H264" s="1693"/>
      <c r="I264" s="1693"/>
      <c r="J264" s="1693"/>
      <c r="K264" s="1693"/>
      <c r="L264" s="1693"/>
      <c r="M264" s="1693"/>
      <c r="N264" s="1693"/>
      <c r="O264" s="1693"/>
      <c r="P264" s="1700"/>
      <c r="Q264" s="1700"/>
      <c r="R264" s="1700"/>
      <c r="S264" s="1700"/>
      <c r="T264" s="1700"/>
      <c r="U264" s="1695"/>
      <c r="V264" s="1686"/>
    </row>
    <row r="265" spans="1:22">
      <c r="A265" s="1532"/>
      <c r="B265" s="1689"/>
      <c r="C265" s="1674" t="s">
        <v>878</v>
      </c>
      <c r="D265" s="527" t="s">
        <v>879</v>
      </c>
      <c r="E265" s="1698"/>
      <c r="F265" s="1693"/>
      <c r="G265" s="1693"/>
      <c r="H265" s="1693"/>
      <c r="I265" s="1693"/>
      <c r="J265" s="1693"/>
      <c r="K265" s="1693"/>
      <c r="L265" s="1693"/>
      <c r="M265" s="1693"/>
      <c r="N265" s="1693"/>
      <c r="O265" s="1693"/>
      <c r="P265" s="1700"/>
      <c r="Q265" s="1700"/>
      <c r="R265" s="1700"/>
      <c r="S265" s="1700"/>
      <c r="T265" s="1700"/>
      <c r="U265" s="1695"/>
      <c r="V265" s="1686"/>
    </row>
    <row r="266" spans="1:22">
      <c r="A266" s="1532"/>
      <c r="B266" s="1689"/>
      <c r="C266" s="1675"/>
      <c r="D266" s="528" t="s">
        <v>880</v>
      </c>
      <c r="E266" s="1698"/>
      <c r="F266" s="1693"/>
      <c r="G266" s="1693"/>
      <c r="H266" s="1693"/>
      <c r="I266" s="1693"/>
      <c r="J266" s="1693"/>
      <c r="K266" s="1693"/>
      <c r="L266" s="1693"/>
      <c r="M266" s="1693"/>
      <c r="N266" s="1693"/>
      <c r="O266" s="1693"/>
      <c r="P266" s="1701"/>
      <c r="Q266" s="1701"/>
      <c r="R266" s="1701"/>
      <c r="S266" s="1701"/>
      <c r="T266" s="1701"/>
      <c r="U266" s="1696"/>
      <c r="V266" s="1687"/>
    </row>
    <row r="267" spans="1:22">
      <c r="A267" s="1532"/>
      <c r="B267" s="1697" t="s">
        <v>867</v>
      </c>
      <c r="C267" s="1530" t="s">
        <v>875</v>
      </c>
      <c r="D267" s="526" t="s">
        <v>876</v>
      </c>
      <c r="E267" s="1698"/>
      <c r="F267" s="1693"/>
      <c r="G267" s="1693"/>
      <c r="H267" s="1693"/>
      <c r="I267" s="1693"/>
      <c r="J267" s="1693"/>
      <c r="K267" s="1693"/>
      <c r="L267" s="1693"/>
      <c r="M267" s="1693"/>
      <c r="N267" s="1693"/>
      <c r="O267" s="1693"/>
      <c r="P267" s="1693"/>
      <c r="Q267" s="1699">
        <v>0.98</v>
      </c>
      <c r="R267" s="1699">
        <v>0.97019999999999995</v>
      </c>
      <c r="S267" s="1699">
        <v>0.96049799999999996</v>
      </c>
      <c r="T267" s="1699">
        <v>0.95089301999999998</v>
      </c>
      <c r="U267" s="1694">
        <v>0.94138408979999999</v>
      </c>
      <c r="V267" s="1685">
        <v>0.93197024890199998</v>
      </c>
    </row>
    <row r="268" spans="1:22">
      <c r="A268" s="1532"/>
      <c r="B268" s="1689"/>
      <c r="C268" s="1531"/>
      <c r="D268" s="527" t="s">
        <v>877</v>
      </c>
      <c r="E268" s="1698"/>
      <c r="F268" s="1693"/>
      <c r="G268" s="1693"/>
      <c r="H268" s="1693"/>
      <c r="I268" s="1693"/>
      <c r="J268" s="1693"/>
      <c r="K268" s="1693"/>
      <c r="L268" s="1693"/>
      <c r="M268" s="1693"/>
      <c r="N268" s="1693"/>
      <c r="O268" s="1693"/>
      <c r="P268" s="1693"/>
      <c r="Q268" s="1700"/>
      <c r="R268" s="1700"/>
      <c r="S268" s="1700"/>
      <c r="T268" s="1700"/>
      <c r="U268" s="1695"/>
      <c r="V268" s="1686"/>
    </row>
    <row r="269" spans="1:22">
      <c r="A269" s="1532"/>
      <c r="B269" s="1689"/>
      <c r="C269" s="1674" t="s">
        <v>878</v>
      </c>
      <c r="D269" s="527" t="s">
        <v>879</v>
      </c>
      <c r="E269" s="1698"/>
      <c r="F269" s="1693"/>
      <c r="G269" s="1693"/>
      <c r="H269" s="1693"/>
      <c r="I269" s="1693"/>
      <c r="J269" s="1693"/>
      <c r="K269" s="1693"/>
      <c r="L269" s="1693"/>
      <c r="M269" s="1693"/>
      <c r="N269" s="1693"/>
      <c r="O269" s="1693"/>
      <c r="P269" s="1693"/>
      <c r="Q269" s="1700"/>
      <c r="R269" s="1700"/>
      <c r="S269" s="1700"/>
      <c r="T269" s="1700"/>
      <c r="U269" s="1695"/>
      <c r="V269" s="1686"/>
    </row>
    <row r="270" spans="1:22">
      <c r="A270" s="1532"/>
      <c r="B270" s="1689"/>
      <c r="C270" s="1675"/>
      <c r="D270" s="528" t="s">
        <v>880</v>
      </c>
      <c r="E270" s="1698"/>
      <c r="F270" s="1693"/>
      <c r="G270" s="1693"/>
      <c r="H270" s="1693"/>
      <c r="I270" s="1693"/>
      <c r="J270" s="1693"/>
      <c r="K270" s="1693"/>
      <c r="L270" s="1693"/>
      <c r="M270" s="1693"/>
      <c r="N270" s="1693"/>
      <c r="O270" s="1693"/>
      <c r="P270" s="1693"/>
      <c r="Q270" s="1701"/>
      <c r="R270" s="1701"/>
      <c r="S270" s="1701"/>
      <c r="T270" s="1701"/>
      <c r="U270" s="1696"/>
      <c r="V270" s="1687"/>
    </row>
    <row r="271" spans="1:22">
      <c r="A271" s="1532"/>
      <c r="B271" s="1697" t="s">
        <v>868</v>
      </c>
      <c r="C271" s="1530" t="s">
        <v>875</v>
      </c>
      <c r="D271" s="526" t="s">
        <v>876</v>
      </c>
      <c r="E271" s="1698"/>
      <c r="F271" s="1693"/>
      <c r="G271" s="1693"/>
      <c r="H271" s="1693"/>
      <c r="I271" s="1693"/>
      <c r="J271" s="1693"/>
      <c r="K271" s="1693"/>
      <c r="L271" s="1693"/>
      <c r="M271" s="1693"/>
      <c r="N271" s="1693"/>
      <c r="O271" s="1693"/>
      <c r="P271" s="1693"/>
      <c r="Q271" s="1693"/>
      <c r="R271" s="1699">
        <v>0.99</v>
      </c>
      <c r="S271" s="1699">
        <v>0.98009999999999997</v>
      </c>
      <c r="T271" s="1699">
        <v>0.97029899999999991</v>
      </c>
      <c r="U271" s="1694">
        <v>0.96059600999999994</v>
      </c>
      <c r="V271" s="1685">
        <v>0.95099004989999991</v>
      </c>
    </row>
    <row r="272" spans="1:22">
      <c r="A272" s="1532"/>
      <c r="B272" s="1689"/>
      <c r="C272" s="1531"/>
      <c r="D272" s="527" t="s">
        <v>877</v>
      </c>
      <c r="E272" s="1698"/>
      <c r="F272" s="1693"/>
      <c r="G272" s="1693"/>
      <c r="H272" s="1693"/>
      <c r="I272" s="1693"/>
      <c r="J272" s="1693"/>
      <c r="K272" s="1693"/>
      <c r="L272" s="1693"/>
      <c r="M272" s="1693"/>
      <c r="N272" s="1693"/>
      <c r="O272" s="1693"/>
      <c r="P272" s="1693"/>
      <c r="Q272" s="1693"/>
      <c r="R272" s="1700"/>
      <c r="S272" s="1700"/>
      <c r="T272" s="1700"/>
      <c r="U272" s="1695"/>
      <c r="V272" s="1686"/>
    </row>
    <row r="273" spans="1:22">
      <c r="A273" s="1532"/>
      <c r="B273" s="1689"/>
      <c r="C273" s="1674" t="s">
        <v>878</v>
      </c>
      <c r="D273" s="527" t="s">
        <v>879</v>
      </c>
      <c r="E273" s="1698"/>
      <c r="F273" s="1693"/>
      <c r="G273" s="1693"/>
      <c r="H273" s="1693"/>
      <c r="I273" s="1693"/>
      <c r="J273" s="1693"/>
      <c r="K273" s="1693"/>
      <c r="L273" s="1693"/>
      <c r="M273" s="1693"/>
      <c r="N273" s="1693"/>
      <c r="O273" s="1693"/>
      <c r="P273" s="1693"/>
      <c r="Q273" s="1693"/>
      <c r="R273" s="1700"/>
      <c r="S273" s="1700"/>
      <c r="T273" s="1700"/>
      <c r="U273" s="1695"/>
      <c r="V273" s="1686"/>
    </row>
    <row r="274" spans="1:22">
      <c r="A274" s="1532"/>
      <c r="B274" s="1689"/>
      <c r="C274" s="1675"/>
      <c r="D274" s="528" t="s">
        <v>880</v>
      </c>
      <c r="E274" s="1698"/>
      <c r="F274" s="1693"/>
      <c r="G274" s="1693"/>
      <c r="H274" s="1693"/>
      <c r="I274" s="1693"/>
      <c r="J274" s="1693"/>
      <c r="K274" s="1693"/>
      <c r="L274" s="1693"/>
      <c r="M274" s="1693"/>
      <c r="N274" s="1693"/>
      <c r="O274" s="1693"/>
      <c r="P274" s="1693"/>
      <c r="Q274" s="1693"/>
      <c r="R274" s="1701"/>
      <c r="S274" s="1701"/>
      <c r="T274" s="1701"/>
      <c r="U274" s="1696"/>
      <c r="V274" s="1687"/>
    </row>
    <row r="275" spans="1:22">
      <c r="A275" s="1532"/>
      <c r="B275" s="1697" t="s">
        <v>869</v>
      </c>
      <c r="C275" s="1530" t="s">
        <v>875</v>
      </c>
      <c r="D275" s="526" t="s">
        <v>876</v>
      </c>
      <c r="E275" s="1698"/>
      <c r="F275" s="1693"/>
      <c r="G275" s="1693"/>
      <c r="H275" s="1693"/>
      <c r="I275" s="1693"/>
      <c r="J275" s="1693"/>
      <c r="K275" s="1693"/>
      <c r="L275" s="1693"/>
      <c r="M275" s="1693"/>
      <c r="N275" s="1693"/>
      <c r="O275" s="1693"/>
      <c r="P275" s="1693"/>
      <c r="Q275" s="1693"/>
      <c r="R275" s="1693"/>
      <c r="S275" s="1699">
        <v>0.99</v>
      </c>
      <c r="T275" s="1699">
        <v>0.98009999999999997</v>
      </c>
      <c r="U275" s="1694">
        <v>0.97029899999999991</v>
      </c>
      <c r="V275" s="1685">
        <v>0.96059600999999994</v>
      </c>
    </row>
    <row r="276" spans="1:22">
      <c r="A276" s="1532"/>
      <c r="B276" s="1689"/>
      <c r="C276" s="1531"/>
      <c r="D276" s="527" t="s">
        <v>877</v>
      </c>
      <c r="E276" s="1698"/>
      <c r="F276" s="1693"/>
      <c r="G276" s="1693"/>
      <c r="H276" s="1693"/>
      <c r="I276" s="1693"/>
      <c r="J276" s="1693"/>
      <c r="K276" s="1693"/>
      <c r="L276" s="1693"/>
      <c r="M276" s="1693"/>
      <c r="N276" s="1693"/>
      <c r="O276" s="1693"/>
      <c r="P276" s="1693"/>
      <c r="Q276" s="1693"/>
      <c r="R276" s="1693"/>
      <c r="S276" s="1700"/>
      <c r="T276" s="1700"/>
      <c r="U276" s="1695"/>
      <c r="V276" s="1686"/>
    </row>
    <row r="277" spans="1:22">
      <c r="A277" s="1532"/>
      <c r="B277" s="1689"/>
      <c r="C277" s="1674" t="s">
        <v>878</v>
      </c>
      <c r="D277" s="527" t="s">
        <v>879</v>
      </c>
      <c r="E277" s="1698"/>
      <c r="F277" s="1693"/>
      <c r="G277" s="1693"/>
      <c r="H277" s="1693"/>
      <c r="I277" s="1693"/>
      <c r="J277" s="1693"/>
      <c r="K277" s="1693"/>
      <c r="L277" s="1693"/>
      <c r="M277" s="1693"/>
      <c r="N277" s="1693"/>
      <c r="O277" s="1693"/>
      <c r="P277" s="1693"/>
      <c r="Q277" s="1693"/>
      <c r="R277" s="1693"/>
      <c r="S277" s="1700"/>
      <c r="T277" s="1700"/>
      <c r="U277" s="1695"/>
      <c r="V277" s="1686"/>
    </row>
    <row r="278" spans="1:22">
      <c r="A278" s="1532"/>
      <c r="B278" s="1689"/>
      <c r="C278" s="1675"/>
      <c r="D278" s="528" t="s">
        <v>880</v>
      </c>
      <c r="E278" s="1698"/>
      <c r="F278" s="1693"/>
      <c r="G278" s="1693"/>
      <c r="H278" s="1693"/>
      <c r="I278" s="1693"/>
      <c r="J278" s="1693"/>
      <c r="K278" s="1693"/>
      <c r="L278" s="1693"/>
      <c r="M278" s="1693"/>
      <c r="N278" s="1693"/>
      <c r="O278" s="1693"/>
      <c r="P278" s="1693"/>
      <c r="Q278" s="1693"/>
      <c r="R278" s="1693"/>
      <c r="S278" s="1701"/>
      <c r="T278" s="1701"/>
      <c r="U278" s="1696"/>
      <c r="V278" s="1687"/>
    </row>
    <row r="279" spans="1:22">
      <c r="A279" s="1532"/>
      <c r="B279" s="1697" t="s">
        <v>870</v>
      </c>
      <c r="C279" s="1530" t="s">
        <v>875</v>
      </c>
      <c r="D279" s="526" t="s">
        <v>876</v>
      </c>
      <c r="E279" s="1698"/>
      <c r="F279" s="1693"/>
      <c r="G279" s="1693"/>
      <c r="H279" s="1693"/>
      <c r="I279" s="1693"/>
      <c r="J279" s="1693"/>
      <c r="K279" s="1693"/>
      <c r="L279" s="1693"/>
      <c r="M279" s="1693"/>
      <c r="N279" s="1693"/>
      <c r="O279" s="1693"/>
      <c r="P279" s="1693"/>
      <c r="Q279" s="1693"/>
      <c r="R279" s="1693"/>
      <c r="S279" s="1693"/>
      <c r="T279" s="1699">
        <v>0.99</v>
      </c>
      <c r="U279" s="1694">
        <v>0.98009999999999997</v>
      </c>
      <c r="V279" s="1685">
        <v>0.97029899999999991</v>
      </c>
    </row>
    <row r="280" spans="1:22">
      <c r="A280" s="1532"/>
      <c r="B280" s="1689"/>
      <c r="C280" s="1531"/>
      <c r="D280" s="527" t="s">
        <v>877</v>
      </c>
      <c r="E280" s="1698"/>
      <c r="F280" s="1693"/>
      <c r="G280" s="1693"/>
      <c r="H280" s="1693"/>
      <c r="I280" s="1693"/>
      <c r="J280" s="1693"/>
      <c r="K280" s="1693"/>
      <c r="L280" s="1693"/>
      <c r="M280" s="1693"/>
      <c r="N280" s="1693"/>
      <c r="O280" s="1693"/>
      <c r="P280" s="1693"/>
      <c r="Q280" s="1693"/>
      <c r="R280" s="1693"/>
      <c r="S280" s="1693"/>
      <c r="T280" s="1700"/>
      <c r="U280" s="1695"/>
      <c r="V280" s="1686"/>
    </row>
    <row r="281" spans="1:22">
      <c r="A281" s="1532"/>
      <c r="B281" s="1689"/>
      <c r="C281" s="1674" t="s">
        <v>878</v>
      </c>
      <c r="D281" s="527" t="s">
        <v>879</v>
      </c>
      <c r="E281" s="1698"/>
      <c r="F281" s="1693"/>
      <c r="G281" s="1693"/>
      <c r="H281" s="1693"/>
      <c r="I281" s="1693"/>
      <c r="J281" s="1693"/>
      <c r="K281" s="1693"/>
      <c r="L281" s="1693"/>
      <c r="M281" s="1693"/>
      <c r="N281" s="1693"/>
      <c r="O281" s="1693"/>
      <c r="P281" s="1693"/>
      <c r="Q281" s="1693"/>
      <c r="R281" s="1693"/>
      <c r="S281" s="1693"/>
      <c r="T281" s="1700"/>
      <c r="U281" s="1695"/>
      <c r="V281" s="1686"/>
    </row>
    <row r="282" spans="1:22">
      <c r="A282" s="1532"/>
      <c r="B282" s="1689"/>
      <c r="C282" s="1675"/>
      <c r="D282" s="528" t="s">
        <v>880</v>
      </c>
      <c r="E282" s="1698"/>
      <c r="F282" s="1693"/>
      <c r="G282" s="1693"/>
      <c r="H282" s="1693"/>
      <c r="I282" s="1693"/>
      <c r="J282" s="1693"/>
      <c r="K282" s="1693"/>
      <c r="L282" s="1693"/>
      <c r="M282" s="1693"/>
      <c r="N282" s="1693"/>
      <c r="O282" s="1693"/>
      <c r="P282" s="1693"/>
      <c r="Q282" s="1693"/>
      <c r="R282" s="1693"/>
      <c r="S282" s="1693"/>
      <c r="T282" s="1701"/>
      <c r="U282" s="1696"/>
      <c r="V282" s="1687"/>
    </row>
    <row r="283" spans="1:22">
      <c r="A283" s="1532"/>
      <c r="B283" s="1697" t="s">
        <v>871</v>
      </c>
      <c r="C283" s="1530" t="s">
        <v>875</v>
      </c>
      <c r="D283" s="526" t="s">
        <v>876</v>
      </c>
      <c r="E283" s="1698"/>
      <c r="F283" s="1693"/>
      <c r="G283" s="1693"/>
      <c r="H283" s="1693"/>
      <c r="I283" s="1693"/>
      <c r="J283" s="1693"/>
      <c r="K283" s="1693"/>
      <c r="L283" s="1693"/>
      <c r="M283" s="1693"/>
      <c r="N283" s="1693"/>
      <c r="O283" s="1693"/>
      <c r="P283" s="1693"/>
      <c r="Q283" s="1693"/>
      <c r="R283" s="1693"/>
      <c r="S283" s="1693"/>
      <c r="T283" s="1693"/>
      <c r="U283" s="1694">
        <v>0.99</v>
      </c>
      <c r="V283" s="1685">
        <v>0.98009999999999997</v>
      </c>
    </row>
    <row r="284" spans="1:22">
      <c r="A284" s="1532"/>
      <c r="B284" s="1689"/>
      <c r="C284" s="1531"/>
      <c r="D284" s="527" t="s">
        <v>877</v>
      </c>
      <c r="E284" s="1698"/>
      <c r="F284" s="1693"/>
      <c r="G284" s="1693"/>
      <c r="H284" s="1693"/>
      <c r="I284" s="1693"/>
      <c r="J284" s="1693"/>
      <c r="K284" s="1693"/>
      <c r="L284" s="1693"/>
      <c r="M284" s="1693"/>
      <c r="N284" s="1693"/>
      <c r="O284" s="1693"/>
      <c r="P284" s="1693"/>
      <c r="Q284" s="1693"/>
      <c r="R284" s="1693"/>
      <c r="S284" s="1693"/>
      <c r="T284" s="1693"/>
      <c r="U284" s="1695"/>
      <c r="V284" s="1686"/>
    </row>
    <row r="285" spans="1:22">
      <c r="A285" s="1532"/>
      <c r="B285" s="1689"/>
      <c r="C285" s="1674" t="s">
        <v>878</v>
      </c>
      <c r="D285" s="527" t="s">
        <v>879</v>
      </c>
      <c r="E285" s="1698"/>
      <c r="F285" s="1693"/>
      <c r="G285" s="1693"/>
      <c r="H285" s="1693"/>
      <c r="I285" s="1693"/>
      <c r="J285" s="1693"/>
      <c r="K285" s="1693"/>
      <c r="L285" s="1693"/>
      <c r="M285" s="1693"/>
      <c r="N285" s="1693"/>
      <c r="O285" s="1693"/>
      <c r="P285" s="1693"/>
      <c r="Q285" s="1693"/>
      <c r="R285" s="1693"/>
      <c r="S285" s="1693"/>
      <c r="T285" s="1693"/>
      <c r="U285" s="1695"/>
      <c r="V285" s="1686"/>
    </row>
    <row r="286" spans="1:22">
      <c r="A286" s="1532"/>
      <c r="B286" s="1689"/>
      <c r="C286" s="1675"/>
      <c r="D286" s="528" t="s">
        <v>880</v>
      </c>
      <c r="E286" s="1698"/>
      <c r="F286" s="1693"/>
      <c r="G286" s="1693"/>
      <c r="H286" s="1693"/>
      <c r="I286" s="1693"/>
      <c r="J286" s="1693"/>
      <c r="K286" s="1693"/>
      <c r="L286" s="1693"/>
      <c r="M286" s="1693"/>
      <c r="N286" s="1693"/>
      <c r="O286" s="1693"/>
      <c r="P286" s="1693"/>
      <c r="Q286" s="1693"/>
      <c r="R286" s="1693"/>
      <c r="S286" s="1693"/>
      <c r="T286" s="1693"/>
      <c r="U286" s="1696"/>
      <c r="V286" s="1687"/>
    </row>
    <row r="287" spans="1:22">
      <c r="A287" s="1532"/>
      <c r="B287" s="1697" t="s">
        <v>872</v>
      </c>
      <c r="C287" s="1530" t="s">
        <v>875</v>
      </c>
      <c r="D287" s="526" t="s">
        <v>876</v>
      </c>
      <c r="E287" s="1690"/>
      <c r="F287" s="1676"/>
      <c r="G287" s="1676"/>
      <c r="H287" s="1676"/>
      <c r="I287" s="1676"/>
      <c r="J287" s="1676"/>
      <c r="K287" s="1676"/>
      <c r="L287" s="1676"/>
      <c r="M287" s="1676"/>
      <c r="N287" s="1676"/>
      <c r="O287" s="1676"/>
      <c r="P287" s="1676"/>
      <c r="Q287" s="1676"/>
      <c r="R287" s="1676"/>
      <c r="S287" s="1676"/>
      <c r="T287" s="1676"/>
      <c r="U287" s="1693"/>
      <c r="V287" s="1685">
        <v>0.99</v>
      </c>
    </row>
    <row r="288" spans="1:22">
      <c r="A288" s="1532"/>
      <c r="B288" s="1689"/>
      <c r="C288" s="1531"/>
      <c r="D288" s="527" t="s">
        <v>877</v>
      </c>
      <c r="E288" s="1691"/>
      <c r="F288" s="1677"/>
      <c r="G288" s="1677"/>
      <c r="H288" s="1677"/>
      <c r="I288" s="1677"/>
      <c r="J288" s="1677"/>
      <c r="K288" s="1677"/>
      <c r="L288" s="1677"/>
      <c r="M288" s="1677"/>
      <c r="N288" s="1677"/>
      <c r="O288" s="1677"/>
      <c r="P288" s="1677"/>
      <c r="Q288" s="1677"/>
      <c r="R288" s="1677"/>
      <c r="S288" s="1677"/>
      <c r="T288" s="1677"/>
      <c r="U288" s="1693"/>
      <c r="V288" s="1686"/>
    </row>
    <row r="289" spans="1:22">
      <c r="A289" s="1532"/>
      <c r="B289" s="1689"/>
      <c r="C289" s="1674" t="s">
        <v>878</v>
      </c>
      <c r="D289" s="527" t="s">
        <v>879</v>
      </c>
      <c r="E289" s="1691"/>
      <c r="F289" s="1677"/>
      <c r="G289" s="1677"/>
      <c r="H289" s="1677"/>
      <c r="I289" s="1677"/>
      <c r="J289" s="1677"/>
      <c r="K289" s="1677"/>
      <c r="L289" s="1677"/>
      <c r="M289" s="1677"/>
      <c r="N289" s="1677"/>
      <c r="O289" s="1677"/>
      <c r="P289" s="1677"/>
      <c r="Q289" s="1677"/>
      <c r="R289" s="1677"/>
      <c r="S289" s="1677"/>
      <c r="T289" s="1677"/>
      <c r="U289" s="1693"/>
      <c r="V289" s="1686"/>
    </row>
    <row r="290" spans="1:22">
      <c r="A290" s="1532"/>
      <c r="B290" s="1689"/>
      <c r="C290" s="1675"/>
      <c r="D290" s="528" t="s">
        <v>880</v>
      </c>
      <c r="E290" s="1692"/>
      <c r="F290" s="1678"/>
      <c r="G290" s="1678"/>
      <c r="H290" s="1678"/>
      <c r="I290" s="1678"/>
      <c r="J290" s="1678"/>
      <c r="K290" s="1678"/>
      <c r="L290" s="1678"/>
      <c r="M290" s="1678"/>
      <c r="N290" s="1678"/>
      <c r="O290" s="1678"/>
      <c r="P290" s="1678"/>
      <c r="Q290" s="1678"/>
      <c r="R290" s="1678"/>
      <c r="S290" s="1678"/>
      <c r="T290" s="1678"/>
      <c r="U290" s="1693"/>
      <c r="V290" s="1687"/>
    </row>
    <row r="291" spans="1:22">
      <c r="A291" s="1532"/>
      <c r="B291" s="1697" t="s">
        <v>873</v>
      </c>
      <c r="C291" s="1530" t="s">
        <v>875</v>
      </c>
      <c r="D291" s="526" t="s">
        <v>876</v>
      </c>
      <c r="E291" s="1690"/>
      <c r="F291" s="1676"/>
      <c r="G291" s="1676"/>
      <c r="H291" s="1676"/>
      <c r="I291" s="1676"/>
      <c r="J291" s="1676"/>
      <c r="K291" s="1676"/>
      <c r="L291" s="1676"/>
      <c r="M291" s="1676"/>
      <c r="N291" s="1676"/>
      <c r="O291" s="1676"/>
      <c r="P291" s="1676"/>
      <c r="Q291" s="1676"/>
      <c r="R291" s="1676"/>
      <c r="S291" s="1676"/>
      <c r="T291" s="1676"/>
      <c r="U291" s="1679"/>
      <c r="V291" s="1682"/>
    </row>
    <row r="292" spans="1:22">
      <c r="A292" s="1532"/>
      <c r="B292" s="1689"/>
      <c r="C292" s="1531"/>
      <c r="D292" s="527" t="s">
        <v>877</v>
      </c>
      <c r="E292" s="1691"/>
      <c r="F292" s="1677"/>
      <c r="G292" s="1677"/>
      <c r="H292" s="1677"/>
      <c r="I292" s="1677"/>
      <c r="J292" s="1677"/>
      <c r="K292" s="1677"/>
      <c r="L292" s="1677"/>
      <c r="M292" s="1677"/>
      <c r="N292" s="1677"/>
      <c r="O292" s="1677"/>
      <c r="P292" s="1677"/>
      <c r="Q292" s="1677"/>
      <c r="R292" s="1677"/>
      <c r="S292" s="1677"/>
      <c r="T292" s="1677"/>
      <c r="U292" s="1680"/>
      <c r="V292" s="1683"/>
    </row>
    <row r="293" spans="1:22">
      <c r="A293" s="1532"/>
      <c r="B293" s="1689"/>
      <c r="C293" s="1674" t="s">
        <v>878</v>
      </c>
      <c r="D293" s="527" t="s">
        <v>879</v>
      </c>
      <c r="E293" s="1691"/>
      <c r="F293" s="1677"/>
      <c r="G293" s="1677"/>
      <c r="H293" s="1677"/>
      <c r="I293" s="1677"/>
      <c r="J293" s="1677"/>
      <c r="K293" s="1677"/>
      <c r="L293" s="1677"/>
      <c r="M293" s="1677"/>
      <c r="N293" s="1677"/>
      <c r="O293" s="1677"/>
      <c r="P293" s="1677"/>
      <c r="Q293" s="1677"/>
      <c r="R293" s="1677"/>
      <c r="S293" s="1677"/>
      <c r="T293" s="1677"/>
      <c r="U293" s="1680"/>
      <c r="V293" s="1683"/>
    </row>
    <row r="294" spans="1:22">
      <c r="A294" s="1525"/>
      <c r="B294" s="1689"/>
      <c r="C294" s="1675"/>
      <c r="D294" s="528" t="s">
        <v>880</v>
      </c>
      <c r="E294" s="1692"/>
      <c r="F294" s="1678"/>
      <c r="G294" s="1678"/>
      <c r="H294" s="1678"/>
      <c r="I294" s="1678"/>
      <c r="J294" s="1678"/>
      <c r="K294" s="1678"/>
      <c r="L294" s="1678"/>
      <c r="M294" s="1678"/>
      <c r="N294" s="1678"/>
      <c r="O294" s="1678"/>
      <c r="P294" s="1678"/>
      <c r="Q294" s="1678"/>
      <c r="R294" s="1678"/>
      <c r="S294" s="1678"/>
      <c r="T294" s="1678"/>
      <c r="U294" s="1681"/>
      <c r="V294" s="1684"/>
    </row>
    <row r="295" spans="1:22">
      <c r="A295" s="1524" t="s">
        <v>229</v>
      </c>
      <c r="B295" s="1688" t="s">
        <v>881</v>
      </c>
      <c r="C295" s="1530" t="s">
        <v>875</v>
      </c>
      <c r="D295" s="526" t="s">
        <v>876</v>
      </c>
      <c r="E295" s="1690"/>
      <c r="F295" s="1699">
        <v>0.61</v>
      </c>
      <c r="G295" s="1699">
        <v>0.4819</v>
      </c>
      <c r="H295" s="1699">
        <v>0.41925299999999999</v>
      </c>
      <c r="I295" s="1699">
        <v>0.40248287999999999</v>
      </c>
      <c r="J295" s="1699">
        <v>0.3702842496</v>
      </c>
      <c r="K295" s="1699">
        <v>0.34806719462399999</v>
      </c>
      <c r="L295" s="1699">
        <v>0.33066383489279999</v>
      </c>
      <c r="M295" s="1699">
        <v>0.317437281497088</v>
      </c>
      <c r="N295" s="1699">
        <v>0.29521667179229183</v>
      </c>
      <c r="O295" s="1699">
        <v>0.28931233835644599</v>
      </c>
      <c r="P295" s="1699">
        <v>0.28352609158931708</v>
      </c>
      <c r="Q295" s="1699">
        <v>0.27785556975753073</v>
      </c>
      <c r="R295" s="1699">
        <v>0.27229845836238009</v>
      </c>
      <c r="S295" s="1699">
        <v>0.26957547377875629</v>
      </c>
      <c r="T295" s="1699">
        <v>0.26687971904096874</v>
      </c>
      <c r="U295" s="1694">
        <v>0.26421092185055906</v>
      </c>
      <c r="V295" s="1685">
        <v>0.26156881263205345</v>
      </c>
    </row>
    <row r="296" spans="1:22">
      <c r="A296" s="1532"/>
      <c r="B296" s="1689"/>
      <c r="C296" s="1531"/>
      <c r="D296" s="527" t="s">
        <v>877</v>
      </c>
      <c r="E296" s="1691"/>
      <c r="F296" s="1700"/>
      <c r="G296" s="1700"/>
      <c r="H296" s="1700"/>
      <c r="I296" s="1700"/>
      <c r="J296" s="1700"/>
      <c r="K296" s="1700"/>
      <c r="L296" s="1700"/>
      <c r="M296" s="1700"/>
      <c r="N296" s="1700"/>
      <c r="O296" s="1700"/>
      <c r="P296" s="1700"/>
      <c r="Q296" s="1700"/>
      <c r="R296" s="1700"/>
      <c r="S296" s="1700"/>
      <c r="T296" s="1700"/>
      <c r="U296" s="1695"/>
      <c r="V296" s="1686"/>
    </row>
    <row r="297" spans="1:22">
      <c r="A297" s="1532"/>
      <c r="B297" s="1689"/>
      <c r="C297" s="1674" t="s">
        <v>878</v>
      </c>
      <c r="D297" s="527" t="s">
        <v>879</v>
      </c>
      <c r="E297" s="1691"/>
      <c r="F297" s="1700"/>
      <c r="G297" s="1700"/>
      <c r="H297" s="1700"/>
      <c r="I297" s="1700"/>
      <c r="J297" s="1700"/>
      <c r="K297" s="1700"/>
      <c r="L297" s="1700"/>
      <c r="M297" s="1700"/>
      <c r="N297" s="1700"/>
      <c r="O297" s="1700"/>
      <c r="P297" s="1700"/>
      <c r="Q297" s="1700"/>
      <c r="R297" s="1700"/>
      <c r="S297" s="1700"/>
      <c r="T297" s="1700"/>
      <c r="U297" s="1695"/>
      <c r="V297" s="1686"/>
    </row>
    <row r="298" spans="1:22">
      <c r="A298" s="1532"/>
      <c r="B298" s="1689"/>
      <c r="C298" s="1675"/>
      <c r="D298" s="528" t="s">
        <v>880</v>
      </c>
      <c r="E298" s="1692"/>
      <c r="F298" s="1701"/>
      <c r="G298" s="1701"/>
      <c r="H298" s="1701"/>
      <c r="I298" s="1701"/>
      <c r="J298" s="1701"/>
      <c r="K298" s="1701"/>
      <c r="L298" s="1701"/>
      <c r="M298" s="1701"/>
      <c r="N298" s="1701"/>
      <c r="O298" s="1701"/>
      <c r="P298" s="1701"/>
      <c r="Q298" s="1701"/>
      <c r="R298" s="1701"/>
      <c r="S298" s="1701"/>
      <c r="T298" s="1701"/>
      <c r="U298" s="1696"/>
      <c r="V298" s="1687"/>
    </row>
    <row r="299" spans="1:22">
      <c r="A299" s="1532"/>
      <c r="B299" s="1688" t="s">
        <v>857</v>
      </c>
      <c r="C299" s="1530" t="s">
        <v>875</v>
      </c>
      <c r="D299" s="526" t="s">
        <v>876</v>
      </c>
      <c r="E299" s="1698"/>
      <c r="F299" s="1693"/>
      <c r="G299" s="1699">
        <v>0.79</v>
      </c>
      <c r="H299" s="1699">
        <v>0.68730000000000002</v>
      </c>
      <c r="I299" s="1699">
        <v>0.65980799999999995</v>
      </c>
      <c r="J299" s="1699">
        <v>0.60702336000000001</v>
      </c>
      <c r="K299" s="1699">
        <v>0.57060195839999994</v>
      </c>
      <c r="L299" s="1699">
        <v>0.54207186047999989</v>
      </c>
      <c r="M299" s="1699">
        <v>0.52038898606079986</v>
      </c>
      <c r="N299" s="1699">
        <v>0.48396175703654387</v>
      </c>
      <c r="O299" s="1699">
        <v>0.47428252189581299</v>
      </c>
      <c r="P299" s="1699">
        <v>0.46479687145789672</v>
      </c>
      <c r="Q299" s="1699">
        <v>0.45550093402873876</v>
      </c>
      <c r="R299" s="1699">
        <v>0.446390915348164</v>
      </c>
      <c r="S299" s="1699">
        <v>0.44192700619468234</v>
      </c>
      <c r="T299" s="1699">
        <v>0.43750773613273553</v>
      </c>
      <c r="U299" s="1694">
        <v>0.43313265877140816</v>
      </c>
      <c r="V299" s="1685">
        <v>0.42880133218369409</v>
      </c>
    </row>
    <row r="300" spans="1:22">
      <c r="A300" s="1532"/>
      <c r="B300" s="1689"/>
      <c r="C300" s="1531"/>
      <c r="D300" s="527" t="s">
        <v>877</v>
      </c>
      <c r="E300" s="1698"/>
      <c r="F300" s="1693"/>
      <c r="G300" s="1700"/>
      <c r="H300" s="1700"/>
      <c r="I300" s="1700"/>
      <c r="J300" s="1700"/>
      <c r="K300" s="1700"/>
      <c r="L300" s="1700"/>
      <c r="M300" s="1700"/>
      <c r="N300" s="1700"/>
      <c r="O300" s="1700"/>
      <c r="P300" s="1700"/>
      <c r="Q300" s="1700"/>
      <c r="R300" s="1700"/>
      <c r="S300" s="1700"/>
      <c r="T300" s="1700"/>
      <c r="U300" s="1695"/>
      <c r="V300" s="1686"/>
    </row>
    <row r="301" spans="1:22">
      <c r="A301" s="1532"/>
      <c r="B301" s="1689"/>
      <c r="C301" s="1674" t="s">
        <v>878</v>
      </c>
      <c r="D301" s="527" t="s">
        <v>879</v>
      </c>
      <c r="E301" s="1698"/>
      <c r="F301" s="1693"/>
      <c r="G301" s="1700"/>
      <c r="H301" s="1700"/>
      <c r="I301" s="1700"/>
      <c r="J301" s="1700"/>
      <c r="K301" s="1700"/>
      <c r="L301" s="1700"/>
      <c r="M301" s="1700"/>
      <c r="N301" s="1700"/>
      <c r="O301" s="1700"/>
      <c r="P301" s="1700"/>
      <c r="Q301" s="1700"/>
      <c r="R301" s="1700"/>
      <c r="S301" s="1700"/>
      <c r="T301" s="1700"/>
      <c r="U301" s="1695"/>
      <c r="V301" s="1686"/>
    </row>
    <row r="302" spans="1:22">
      <c r="A302" s="1532"/>
      <c r="B302" s="1689"/>
      <c r="C302" s="1675"/>
      <c r="D302" s="528" t="s">
        <v>880</v>
      </c>
      <c r="E302" s="1698"/>
      <c r="F302" s="1693"/>
      <c r="G302" s="1701"/>
      <c r="H302" s="1701"/>
      <c r="I302" s="1701"/>
      <c r="J302" s="1701"/>
      <c r="K302" s="1701"/>
      <c r="L302" s="1701"/>
      <c r="M302" s="1701"/>
      <c r="N302" s="1701"/>
      <c r="O302" s="1701"/>
      <c r="P302" s="1701"/>
      <c r="Q302" s="1701"/>
      <c r="R302" s="1701"/>
      <c r="S302" s="1701"/>
      <c r="T302" s="1701"/>
      <c r="U302" s="1696"/>
      <c r="V302" s="1687"/>
    </row>
    <row r="303" spans="1:22">
      <c r="A303" s="1532"/>
      <c r="B303" s="1688" t="s">
        <v>858</v>
      </c>
      <c r="C303" s="1530" t="s">
        <v>875</v>
      </c>
      <c r="D303" s="526" t="s">
        <v>876</v>
      </c>
      <c r="E303" s="1698"/>
      <c r="F303" s="1693"/>
      <c r="G303" s="1693"/>
      <c r="H303" s="1699">
        <v>0.87</v>
      </c>
      <c r="I303" s="1699">
        <v>0.83519999999999994</v>
      </c>
      <c r="J303" s="1699">
        <v>0.76838399999999996</v>
      </c>
      <c r="K303" s="1699">
        <v>0.72228095999999997</v>
      </c>
      <c r="L303" s="1699">
        <v>0.68616691199999991</v>
      </c>
      <c r="M303" s="1699">
        <v>0.65872023551999992</v>
      </c>
      <c r="N303" s="1699">
        <v>0.61260981903360001</v>
      </c>
      <c r="O303" s="1699">
        <v>0.60035762265292802</v>
      </c>
      <c r="P303" s="1699">
        <v>0.58835047019986941</v>
      </c>
      <c r="Q303" s="1699">
        <v>0.57658346079587197</v>
      </c>
      <c r="R303" s="1699">
        <v>0.56505179157995455</v>
      </c>
      <c r="S303" s="1699">
        <v>0.55940127366415504</v>
      </c>
      <c r="T303" s="1699">
        <v>0.55380726092751353</v>
      </c>
      <c r="U303" s="1694">
        <v>0.54826918831823834</v>
      </c>
      <c r="V303" s="1685">
        <v>0.54278649643505594</v>
      </c>
    </row>
    <row r="304" spans="1:22">
      <c r="A304" s="1532"/>
      <c r="B304" s="1689"/>
      <c r="C304" s="1531"/>
      <c r="D304" s="527" t="s">
        <v>877</v>
      </c>
      <c r="E304" s="1698"/>
      <c r="F304" s="1693"/>
      <c r="G304" s="1693"/>
      <c r="H304" s="1700"/>
      <c r="I304" s="1700"/>
      <c r="J304" s="1700"/>
      <c r="K304" s="1700"/>
      <c r="L304" s="1700"/>
      <c r="M304" s="1700"/>
      <c r="N304" s="1700"/>
      <c r="O304" s="1700"/>
      <c r="P304" s="1700"/>
      <c r="Q304" s="1700"/>
      <c r="R304" s="1700"/>
      <c r="S304" s="1700"/>
      <c r="T304" s="1700"/>
      <c r="U304" s="1695"/>
      <c r="V304" s="1686"/>
    </row>
    <row r="305" spans="1:22">
      <c r="A305" s="1532"/>
      <c r="B305" s="1689"/>
      <c r="C305" s="1674" t="s">
        <v>878</v>
      </c>
      <c r="D305" s="527" t="s">
        <v>879</v>
      </c>
      <c r="E305" s="1698"/>
      <c r="F305" s="1693"/>
      <c r="G305" s="1693"/>
      <c r="H305" s="1700"/>
      <c r="I305" s="1700"/>
      <c r="J305" s="1700"/>
      <c r="K305" s="1700"/>
      <c r="L305" s="1700"/>
      <c r="M305" s="1700"/>
      <c r="N305" s="1700"/>
      <c r="O305" s="1700"/>
      <c r="P305" s="1700"/>
      <c r="Q305" s="1700"/>
      <c r="R305" s="1700"/>
      <c r="S305" s="1700"/>
      <c r="T305" s="1700"/>
      <c r="U305" s="1695"/>
      <c r="V305" s="1686"/>
    </row>
    <row r="306" spans="1:22">
      <c r="A306" s="1532"/>
      <c r="B306" s="1689"/>
      <c r="C306" s="1675"/>
      <c r="D306" s="528" t="s">
        <v>880</v>
      </c>
      <c r="E306" s="1698"/>
      <c r="F306" s="1693"/>
      <c r="G306" s="1693"/>
      <c r="H306" s="1701"/>
      <c r="I306" s="1701"/>
      <c r="J306" s="1701"/>
      <c r="K306" s="1701"/>
      <c r="L306" s="1701"/>
      <c r="M306" s="1701"/>
      <c r="N306" s="1701"/>
      <c r="O306" s="1701"/>
      <c r="P306" s="1701"/>
      <c r="Q306" s="1701"/>
      <c r="R306" s="1701"/>
      <c r="S306" s="1701"/>
      <c r="T306" s="1701"/>
      <c r="U306" s="1696"/>
      <c r="V306" s="1687"/>
    </row>
    <row r="307" spans="1:22">
      <c r="A307" s="1532"/>
      <c r="B307" s="1688" t="s">
        <v>859</v>
      </c>
      <c r="C307" s="1530" t="s">
        <v>875</v>
      </c>
      <c r="D307" s="526" t="s">
        <v>876</v>
      </c>
      <c r="E307" s="1698"/>
      <c r="F307" s="1693"/>
      <c r="G307" s="1693"/>
      <c r="H307" s="1693"/>
      <c r="I307" s="1699">
        <v>0.96</v>
      </c>
      <c r="J307" s="1699">
        <v>0.88319999999999999</v>
      </c>
      <c r="K307" s="1699">
        <v>0.83020799999999995</v>
      </c>
      <c r="L307" s="1699">
        <v>0.78869759999999989</v>
      </c>
      <c r="M307" s="1699">
        <v>0.75714969599999982</v>
      </c>
      <c r="N307" s="1699">
        <v>0.70414921727999991</v>
      </c>
      <c r="O307" s="1699">
        <v>0.69006623293439995</v>
      </c>
      <c r="P307" s="1699">
        <v>0.67626490827571195</v>
      </c>
      <c r="Q307" s="1699">
        <v>0.66273961011019766</v>
      </c>
      <c r="R307" s="1699">
        <v>0.64948481790799373</v>
      </c>
      <c r="S307" s="1699">
        <v>0.64298996972891376</v>
      </c>
      <c r="T307" s="1699">
        <v>0.63656007003162463</v>
      </c>
      <c r="U307" s="1694">
        <v>0.6301944693313084</v>
      </c>
      <c r="V307" s="1685">
        <v>0.62389252463799527</v>
      </c>
    </row>
    <row r="308" spans="1:22">
      <c r="A308" s="1532"/>
      <c r="B308" s="1689"/>
      <c r="C308" s="1531"/>
      <c r="D308" s="527" t="s">
        <v>877</v>
      </c>
      <c r="E308" s="1698"/>
      <c r="F308" s="1693"/>
      <c r="G308" s="1693"/>
      <c r="H308" s="1693"/>
      <c r="I308" s="1700"/>
      <c r="J308" s="1700"/>
      <c r="K308" s="1700"/>
      <c r="L308" s="1700"/>
      <c r="M308" s="1700"/>
      <c r="N308" s="1700"/>
      <c r="O308" s="1700"/>
      <c r="P308" s="1700"/>
      <c r="Q308" s="1700"/>
      <c r="R308" s="1700"/>
      <c r="S308" s="1700"/>
      <c r="T308" s="1700"/>
      <c r="U308" s="1695"/>
      <c r="V308" s="1686"/>
    </row>
    <row r="309" spans="1:22">
      <c r="A309" s="1532"/>
      <c r="B309" s="1689"/>
      <c r="C309" s="1674" t="s">
        <v>878</v>
      </c>
      <c r="D309" s="527" t="s">
        <v>879</v>
      </c>
      <c r="E309" s="1698"/>
      <c r="F309" s="1693"/>
      <c r="G309" s="1693"/>
      <c r="H309" s="1693"/>
      <c r="I309" s="1700"/>
      <c r="J309" s="1700"/>
      <c r="K309" s="1700"/>
      <c r="L309" s="1700"/>
      <c r="M309" s="1700"/>
      <c r="N309" s="1700"/>
      <c r="O309" s="1700"/>
      <c r="P309" s="1700"/>
      <c r="Q309" s="1700"/>
      <c r="R309" s="1700"/>
      <c r="S309" s="1700"/>
      <c r="T309" s="1700"/>
      <c r="U309" s="1695"/>
      <c r="V309" s="1686"/>
    </row>
    <row r="310" spans="1:22">
      <c r="A310" s="1532"/>
      <c r="B310" s="1689"/>
      <c r="C310" s="1675"/>
      <c r="D310" s="528" t="s">
        <v>880</v>
      </c>
      <c r="E310" s="1698"/>
      <c r="F310" s="1693"/>
      <c r="G310" s="1693"/>
      <c r="H310" s="1693"/>
      <c r="I310" s="1701"/>
      <c r="J310" s="1701"/>
      <c r="K310" s="1701"/>
      <c r="L310" s="1701"/>
      <c r="M310" s="1701"/>
      <c r="N310" s="1701"/>
      <c r="O310" s="1701"/>
      <c r="P310" s="1701"/>
      <c r="Q310" s="1701"/>
      <c r="R310" s="1701"/>
      <c r="S310" s="1701"/>
      <c r="T310" s="1701"/>
      <c r="U310" s="1696"/>
      <c r="V310" s="1687"/>
    </row>
    <row r="311" spans="1:22">
      <c r="A311" s="1532"/>
      <c r="B311" s="1697" t="s">
        <v>860</v>
      </c>
      <c r="C311" s="1530" t="s">
        <v>875</v>
      </c>
      <c r="D311" s="526" t="s">
        <v>876</v>
      </c>
      <c r="E311" s="1698"/>
      <c r="F311" s="1693"/>
      <c r="G311" s="1693"/>
      <c r="H311" s="1693"/>
      <c r="I311" s="1693"/>
      <c r="J311" s="1699">
        <v>0.92</v>
      </c>
      <c r="K311" s="1699">
        <v>0.86480000000000001</v>
      </c>
      <c r="L311" s="1699">
        <v>0.82155999999999996</v>
      </c>
      <c r="M311" s="1699">
        <v>0.78869759999999989</v>
      </c>
      <c r="N311" s="1699">
        <v>0.73348876799999996</v>
      </c>
      <c r="O311" s="1699">
        <v>0.71881899263999993</v>
      </c>
      <c r="P311" s="1699">
        <v>0.70444261278719988</v>
      </c>
      <c r="Q311" s="1699">
        <v>0.69035376053145592</v>
      </c>
      <c r="R311" s="1699">
        <v>0.67654668532082674</v>
      </c>
      <c r="S311" s="1699">
        <v>0.66978121846761851</v>
      </c>
      <c r="T311" s="1699">
        <v>0.66308340628294227</v>
      </c>
      <c r="U311" s="1694">
        <v>0.65645257222011288</v>
      </c>
      <c r="V311" s="1685">
        <v>0.64988804649791176</v>
      </c>
    </row>
    <row r="312" spans="1:22">
      <c r="A312" s="1532"/>
      <c r="B312" s="1689"/>
      <c r="C312" s="1531"/>
      <c r="D312" s="527" t="s">
        <v>877</v>
      </c>
      <c r="E312" s="1698"/>
      <c r="F312" s="1693"/>
      <c r="G312" s="1693"/>
      <c r="H312" s="1693"/>
      <c r="I312" s="1693"/>
      <c r="J312" s="1700"/>
      <c r="K312" s="1700"/>
      <c r="L312" s="1700"/>
      <c r="M312" s="1700"/>
      <c r="N312" s="1700"/>
      <c r="O312" s="1700"/>
      <c r="P312" s="1700"/>
      <c r="Q312" s="1700"/>
      <c r="R312" s="1700"/>
      <c r="S312" s="1700"/>
      <c r="T312" s="1700"/>
      <c r="U312" s="1695"/>
      <c r="V312" s="1686"/>
    </row>
    <row r="313" spans="1:22">
      <c r="A313" s="1532"/>
      <c r="B313" s="1689"/>
      <c r="C313" s="1674" t="s">
        <v>878</v>
      </c>
      <c r="D313" s="527" t="s">
        <v>879</v>
      </c>
      <c r="E313" s="1698"/>
      <c r="F313" s="1693"/>
      <c r="G313" s="1693"/>
      <c r="H313" s="1693"/>
      <c r="I313" s="1693"/>
      <c r="J313" s="1700"/>
      <c r="K313" s="1700"/>
      <c r="L313" s="1700"/>
      <c r="M313" s="1700"/>
      <c r="N313" s="1700"/>
      <c r="O313" s="1700"/>
      <c r="P313" s="1700"/>
      <c r="Q313" s="1700"/>
      <c r="R313" s="1700"/>
      <c r="S313" s="1700"/>
      <c r="T313" s="1700"/>
      <c r="U313" s="1695"/>
      <c r="V313" s="1686"/>
    </row>
    <row r="314" spans="1:22">
      <c r="A314" s="1532"/>
      <c r="B314" s="1689"/>
      <c r="C314" s="1675"/>
      <c r="D314" s="528" t="s">
        <v>880</v>
      </c>
      <c r="E314" s="1698"/>
      <c r="F314" s="1693"/>
      <c r="G314" s="1693"/>
      <c r="H314" s="1693"/>
      <c r="I314" s="1693"/>
      <c r="J314" s="1701"/>
      <c r="K314" s="1701"/>
      <c r="L314" s="1701"/>
      <c r="M314" s="1701"/>
      <c r="N314" s="1701"/>
      <c r="O314" s="1701"/>
      <c r="P314" s="1701"/>
      <c r="Q314" s="1701"/>
      <c r="R314" s="1701"/>
      <c r="S314" s="1701"/>
      <c r="T314" s="1701"/>
      <c r="U314" s="1696"/>
      <c r="V314" s="1687"/>
    </row>
    <row r="315" spans="1:22">
      <c r="A315" s="1532"/>
      <c r="B315" s="1697" t="s">
        <v>861</v>
      </c>
      <c r="C315" s="1530" t="s">
        <v>875</v>
      </c>
      <c r="D315" s="526" t="s">
        <v>876</v>
      </c>
      <c r="E315" s="1698"/>
      <c r="F315" s="1693"/>
      <c r="G315" s="1693"/>
      <c r="H315" s="1693"/>
      <c r="I315" s="1693"/>
      <c r="J315" s="1693"/>
      <c r="K315" s="1699">
        <v>0.94</v>
      </c>
      <c r="L315" s="1699">
        <v>0.8929999999999999</v>
      </c>
      <c r="M315" s="1699">
        <v>0.85727999999999993</v>
      </c>
      <c r="N315" s="1699">
        <v>0.79727039999999993</v>
      </c>
      <c r="O315" s="1699">
        <v>0.78132499199999994</v>
      </c>
      <c r="P315" s="1699">
        <v>0.76569849215999997</v>
      </c>
      <c r="Q315" s="1699">
        <v>0.75038452231679997</v>
      </c>
      <c r="R315" s="1699">
        <v>0.73537683187046399</v>
      </c>
      <c r="S315" s="1699">
        <v>0.72802306355175939</v>
      </c>
      <c r="T315" s="1699">
        <v>0.72074283291624175</v>
      </c>
      <c r="U315" s="1694">
        <v>0.71353540458707931</v>
      </c>
      <c r="V315" s="1685">
        <v>0.70640005054120847</v>
      </c>
    </row>
    <row r="316" spans="1:22">
      <c r="A316" s="1532"/>
      <c r="B316" s="1689"/>
      <c r="C316" s="1531"/>
      <c r="D316" s="527" t="s">
        <v>877</v>
      </c>
      <c r="E316" s="1698"/>
      <c r="F316" s="1693"/>
      <c r="G316" s="1693"/>
      <c r="H316" s="1693"/>
      <c r="I316" s="1693"/>
      <c r="J316" s="1693"/>
      <c r="K316" s="1700"/>
      <c r="L316" s="1700"/>
      <c r="M316" s="1700"/>
      <c r="N316" s="1700"/>
      <c r="O316" s="1700"/>
      <c r="P316" s="1700"/>
      <c r="Q316" s="1700"/>
      <c r="R316" s="1700"/>
      <c r="S316" s="1700"/>
      <c r="T316" s="1700"/>
      <c r="U316" s="1695"/>
      <c r="V316" s="1686"/>
    </row>
    <row r="317" spans="1:22">
      <c r="A317" s="1532"/>
      <c r="B317" s="1689"/>
      <c r="C317" s="1674" t="s">
        <v>878</v>
      </c>
      <c r="D317" s="527" t="s">
        <v>879</v>
      </c>
      <c r="E317" s="1698"/>
      <c r="F317" s="1693"/>
      <c r="G317" s="1693"/>
      <c r="H317" s="1693"/>
      <c r="I317" s="1693"/>
      <c r="J317" s="1693"/>
      <c r="K317" s="1700"/>
      <c r="L317" s="1700"/>
      <c r="M317" s="1700"/>
      <c r="N317" s="1700"/>
      <c r="O317" s="1700"/>
      <c r="P317" s="1700"/>
      <c r="Q317" s="1700"/>
      <c r="R317" s="1700"/>
      <c r="S317" s="1700"/>
      <c r="T317" s="1700"/>
      <c r="U317" s="1695"/>
      <c r="V317" s="1686"/>
    </row>
    <row r="318" spans="1:22">
      <c r="A318" s="1532"/>
      <c r="B318" s="1689"/>
      <c r="C318" s="1675"/>
      <c r="D318" s="528" t="s">
        <v>880</v>
      </c>
      <c r="E318" s="1698"/>
      <c r="F318" s="1693"/>
      <c r="G318" s="1693"/>
      <c r="H318" s="1693"/>
      <c r="I318" s="1693"/>
      <c r="J318" s="1693"/>
      <c r="K318" s="1701"/>
      <c r="L318" s="1701"/>
      <c r="M318" s="1701"/>
      <c r="N318" s="1701"/>
      <c r="O318" s="1701"/>
      <c r="P318" s="1701"/>
      <c r="Q318" s="1701"/>
      <c r="R318" s="1701"/>
      <c r="S318" s="1701"/>
      <c r="T318" s="1701"/>
      <c r="U318" s="1696"/>
      <c r="V318" s="1687"/>
    </row>
    <row r="319" spans="1:22">
      <c r="A319" s="1532"/>
      <c r="B319" s="1697" t="s">
        <v>862</v>
      </c>
      <c r="C319" s="1530" t="s">
        <v>875</v>
      </c>
      <c r="D319" s="526" t="s">
        <v>876</v>
      </c>
      <c r="E319" s="1698"/>
      <c r="F319" s="1693"/>
      <c r="G319" s="1693"/>
      <c r="H319" s="1693"/>
      <c r="I319" s="1693"/>
      <c r="J319" s="1693"/>
      <c r="K319" s="1693"/>
      <c r="L319" s="1699">
        <v>0.95</v>
      </c>
      <c r="M319" s="1699">
        <v>0.91199999999999992</v>
      </c>
      <c r="N319" s="1699">
        <v>0.84816000000000003</v>
      </c>
      <c r="O319" s="1699">
        <v>0.83119679999999996</v>
      </c>
      <c r="P319" s="1699">
        <v>0.81457286399999995</v>
      </c>
      <c r="Q319" s="1699">
        <v>0.79828140671999992</v>
      </c>
      <c r="R319" s="1699">
        <v>0.78231577858559986</v>
      </c>
      <c r="S319" s="1699">
        <v>0.7744926207997439</v>
      </c>
      <c r="T319" s="1699">
        <v>0.76674769459174641</v>
      </c>
      <c r="U319" s="1694">
        <v>0.75908021764582889</v>
      </c>
      <c r="V319" s="1685">
        <v>0.75148941546937065</v>
      </c>
    </row>
    <row r="320" spans="1:22">
      <c r="A320" s="1532"/>
      <c r="B320" s="1689"/>
      <c r="C320" s="1531"/>
      <c r="D320" s="527" t="s">
        <v>877</v>
      </c>
      <c r="E320" s="1698"/>
      <c r="F320" s="1693"/>
      <c r="G320" s="1693"/>
      <c r="H320" s="1693"/>
      <c r="I320" s="1693"/>
      <c r="J320" s="1693"/>
      <c r="K320" s="1693"/>
      <c r="L320" s="1700"/>
      <c r="M320" s="1700"/>
      <c r="N320" s="1700"/>
      <c r="O320" s="1700"/>
      <c r="P320" s="1700"/>
      <c r="Q320" s="1700"/>
      <c r="R320" s="1700"/>
      <c r="S320" s="1700"/>
      <c r="T320" s="1700"/>
      <c r="U320" s="1695"/>
      <c r="V320" s="1686"/>
    </row>
    <row r="321" spans="1:22">
      <c r="A321" s="1532"/>
      <c r="B321" s="1689"/>
      <c r="C321" s="1674" t="s">
        <v>878</v>
      </c>
      <c r="D321" s="527" t="s">
        <v>879</v>
      </c>
      <c r="E321" s="1698"/>
      <c r="F321" s="1693"/>
      <c r="G321" s="1693"/>
      <c r="H321" s="1693"/>
      <c r="I321" s="1693"/>
      <c r="J321" s="1693"/>
      <c r="K321" s="1693"/>
      <c r="L321" s="1700"/>
      <c r="M321" s="1700"/>
      <c r="N321" s="1700"/>
      <c r="O321" s="1700"/>
      <c r="P321" s="1700"/>
      <c r="Q321" s="1700"/>
      <c r="R321" s="1700"/>
      <c r="S321" s="1700"/>
      <c r="T321" s="1700"/>
      <c r="U321" s="1695"/>
      <c r="V321" s="1686"/>
    </row>
    <row r="322" spans="1:22">
      <c r="A322" s="1532"/>
      <c r="B322" s="1689"/>
      <c r="C322" s="1675"/>
      <c r="D322" s="528" t="s">
        <v>880</v>
      </c>
      <c r="E322" s="1698"/>
      <c r="F322" s="1693"/>
      <c r="G322" s="1693"/>
      <c r="H322" s="1693"/>
      <c r="I322" s="1693"/>
      <c r="J322" s="1693"/>
      <c r="K322" s="1693"/>
      <c r="L322" s="1701"/>
      <c r="M322" s="1701"/>
      <c r="N322" s="1701"/>
      <c r="O322" s="1701"/>
      <c r="P322" s="1701"/>
      <c r="Q322" s="1701"/>
      <c r="R322" s="1701"/>
      <c r="S322" s="1701"/>
      <c r="T322" s="1701"/>
      <c r="U322" s="1696"/>
      <c r="V322" s="1687"/>
    </row>
    <row r="323" spans="1:22">
      <c r="A323" s="1532"/>
      <c r="B323" s="1697" t="s">
        <v>863</v>
      </c>
      <c r="C323" s="1530" t="s">
        <v>875</v>
      </c>
      <c r="D323" s="526" t="s">
        <v>876</v>
      </c>
      <c r="E323" s="1698"/>
      <c r="F323" s="1693"/>
      <c r="G323" s="1693"/>
      <c r="H323" s="1693"/>
      <c r="I323" s="1693"/>
      <c r="J323" s="1693"/>
      <c r="K323" s="1693"/>
      <c r="L323" s="1693"/>
      <c r="M323" s="1699">
        <v>0.96</v>
      </c>
      <c r="N323" s="1699">
        <v>0.89280000000000004</v>
      </c>
      <c r="O323" s="1699">
        <v>0.87494400000000006</v>
      </c>
      <c r="P323" s="1699">
        <v>0.85744512000000006</v>
      </c>
      <c r="Q323" s="1699">
        <v>0.84029621760000006</v>
      </c>
      <c r="R323" s="1699">
        <v>0.82349029324800005</v>
      </c>
      <c r="S323" s="1699">
        <v>0.81525539031552008</v>
      </c>
      <c r="T323" s="1699">
        <v>0.80710283641236491</v>
      </c>
      <c r="U323" s="1694">
        <v>0.79903180804824125</v>
      </c>
      <c r="V323" s="1685">
        <v>0.7910414899677588</v>
      </c>
    </row>
    <row r="324" spans="1:22">
      <c r="A324" s="1532"/>
      <c r="B324" s="1689"/>
      <c r="C324" s="1531"/>
      <c r="D324" s="527" t="s">
        <v>877</v>
      </c>
      <c r="E324" s="1698"/>
      <c r="F324" s="1693"/>
      <c r="G324" s="1693"/>
      <c r="H324" s="1693"/>
      <c r="I324" s="1693"/>
      <c r="J324" s="1693"/>
      <c r="K324" s="1693"/>
      <c r="L324" s="1693"/>
      <c r="M324" s="1700"/>
      <c r="N324" s="1700"/>
      <c r="O324" s="1700"/>
      <c r="P324" s="1700"/>
      <c r="Q324" s="1700"/>
      <c r="R324" s="1700"/>
      <c r="S324" s="1700"/>
      <c r="T324" s="1700"/>
      <c r="U324" s="1695"/>
      <c r="V324" s="1686"/>
    </row>
    <row r="325" spans="1:22">
      <c r="A325" s="1532"/>
      <c r="B325" s="1689"/>
      <c r="C325" s="1674" t="s">
        <v>878</v>
      </c>
      <c r="D325" s="527" t="s">
        <v>879</v>
      </c>
      <c r="E325" s="1698"/>
      <c r="F325" s="1693"/>
      <c r="G325" s="1693"/>
      <c r="H325" s="1693"/>
      <c r="I325" s="1693"/>
      <c r="J325" s="1693"/>
      <c r="K325" s="1693"/>
      <c r="L325" s="1693"/>
      <c r="M325" s="1700"/>
      <c r="N325" s="1700"/>
      <c r="O325" s="1700"/>
      <c r="P325" s="1700"/>
      <c r="Q325" s="1700"/>
      <c r="R325" s="1700"/>
      <c r="S325" s="1700"/>
      <c r="T325" s="1700"/>
      <c r="U325" s="1695"/>
      <c r="V325" s="1686"/>
    </row>
    <row r="326" spans="1:22">
      <c r="A326" s="1532"/>
      <c r="B326" s="1689"/>
      <c r="C326" s="1675"/>
      <c r="D326" s="528" t="s">
        <v>880</v>
      </c>
      <c r="E326" s="1698"/>
      <c r="F326" s="1693"/>
      <c r="G326" s="1693"/>
      <c r="H326" s="1693"/>
      <c r="I326" s="1693"/>
      <c r="J326" s="1693"/>
      <c r="K326" s="1693"/>
      <c r="L326" s="1693"/>
      <c r="M326" s="1701"/>
      <c r="N326" s="1701"/>
      <c r="O326" s="1701"/>
      <c r="P326" s="1701"/>
      <c r="Q326" s="1701"/>
      <c r="R326" s="1701"/>
      <c r="S326" s="1701"/>
      <c r="T326" s="1701"/>
      <c r="U326" s="1696"/>
      <c r="V326" s="1687"/>
    </row>
    <row r="327" spans="1:22">
      <c r="A327" s="1532"/>
      <c r="B327" s="1697" t="s">
        <v>864</v>
      </c>
      <c r="C327" s="1530" t="s">
        <v>875</v>
      </c>
      <c r="D327" s="526" t="s">
        <v>876</v>
      </c>
      <c r="E327" s="1698"/>
      <c r="F327" s="1693"/>
      <c r="G327" s="1693"/>
      <c r="H327" s="1693"/>
      <c r="I327" s="1693"/>
      <c r="J327" s="1693"/>
      <c r="K327" s="1693"/>
      <c r="L327" s="1693"/>
      <c r="M327" s="1693"/>
      <c r="N327" s="1699">
        <v>0.93</v>
      </c>
      <c r="O327" s="1699">
        <v>0.91139999999999999</v>
      </c>
      <c r="P327" s="1699">
        <v>0.89317199999999997</v>
      </c>
      <c r="Q327" s="1699">
        <v>0.8753085599999999</v>
      </c>
      <c r="R327" s="1699">
        <v>0.85780238879999993</v>
      </c>
      <c r="S327" s="1699">
        <v>0.84922436491199993</v>
      </c>
      <c r="T327" s="1699">
        <v>0.84073212126287988</v>
      </c>
      <c r="U327" s="1694">
        <v>0.83232480005025111</v>
      </c>
      <c r="V327" s="1685">
        <v>0.82400155204974856</v>
      </c>
    </row>
    <row r="328" spans="1:22">
      <c r="A328" s="1532"/>
      <c r="B328" s="1689"/>
      <c r="C328" s="1531"/>
      <c r="D328" s="527" t="s">
        <v>877</v>
      </c>
      <c r="E328" s="1698"/>
      <c r="F328" s="1693"/>
      <c r="G328" s="1693"/>
      <c r="H328" s="1693"/>
      <c r="I328" s="1693"/>
      <c r="J328" s="1693"/>
      <c r="K328" s="1693"/>
      <c r="L328" s="1693"/>
      <c r="M328" s="1693"/>
      <c r="N328" s="1700"/>
      <c r="O328" s="1700"/>
      <c r="P328" s="1700"/>
      <c r="Q328" s="1700"/>
      <c r="R328" s="1700"/>
      <c r="S328" s="1700"/>
      <c r="T328" s="1700"/>
      <c r="U328" s="1695"/>
      <c r="V328" s="1686"/>
    </row>
    <row r="329" spans="1:22">
      <c r="A329" s="1532"/>
      <c r="B329" s="1689"/>
      <c r="C329" s="1674" t="s">
        <v>878</v>
      </c>
      <c r="D329" s="527" t="s">
        <v>879</v>
      </c>
      <c r="E329" s="1698"/>
      <c r="F329" s="1693"/>
      <c r="G329" s="1693"/>
      <c r="H329" s="1693"/>
      <c r="I329" s="1693"/>
      <c r="J329" s="1693"/>
      <c r="K329" s="1693"/>
      <c r="L329" s="1693"/>
      <c r="M329" s="1693"/>
      <c r="N329" s="1700"/>
      <c r="O329" s="1700"/>
      <c r="P329" s="1700"/>
      <c r="Q329" s="1700"/>
      <c r="R329" s="1700"/>
      <c r="S329" s="1700"/>
      <c r="T329" s="1700"/>
      <c r="U329" s="1695"/>
      <c r="V329" s="1686"/>
    </row>
    <row r="330" spans="1:22">
      <c r="A330" s="1532"/>
      <c r="B330" s="1689"/>
      <c r="C330" s="1675"/>
      <c r="D330" s="528" t="s">
        <v>880</v>
      </c>
      <c r="E330" s="1698"/>
      <c r="F330" s="1693"/>
      <c r="G330" s="1693"/>
      <c r="H330" s="1693"/>
      <c r="I330" s="1693"/>
      <c r="J330" s="1693"/>
      <c r="K330" s="1693"/>
      <c r="L330" s="1693"/>
      <c r="M330" s="1693"/>
      <c r="N330" s="1701"/>
      <c r="O330" s="1701"/>
      <c r="P330" s="1701"/>
      <c r="Q330" s="1701"/>
      <c r="R330" s="1701"/>
      <c r="S330" s="1701"/>
      <c r="T330" s="1701"/>
      <c r="U330" s="1696"/>
      <c r="V330" s="1687"/>
    </row>
    <row r="331" spans="1:22">
      <c r="A331" s="1532"/>
      <c r="B331" s="1688" t="s">
        <v>865</v>
      </c>
      <c r="C331" s="1530" t="s">
        <v>875</v>
      </c>
      <c r="D331" s="526" t="s">
        <v>876</v>
      </c>
      <c r="E331" s="1698"/>
      <c r="F331" s="1693"/>
      <c r="G331" s="1693"/>
      <c r="H331" s="1693"/>
      <c r="I331" s="1693"/>
      <c r="J331" s="1693"/>
      <c r="K331" s="1693"/>
      <c r="L331" s="1693"/>
      <c r="M331" s="1693"/>
      <c r="N331" s="1693"/>
      <c r="O331" s="1699">
        <v>0.98</v>
      </c>
      <c r="P331" s="1699">
        <v>0.96039999999999992</v>
      </c>
      <c r="Q331" s="1699">
        <v>0.94119199999999992</v>
      </c>
      <c r="R331" s="1699">
        <v>0.92236815999999988</v>
      </c>
      <c r="S331" s="1699">
        <v>0.9131444783999999</v>
      </c>
      <c r="T331" s="1699">
        <v>0.90401303361599994</v>
      </c>
      <c r="U331" s="1694">
        <v>0.89497290327983992</v>
      </c>
      <c r="V331" s="1685">
        <v>0.88602317424704147</v>
      </c>
    </row>
    <row r="332" spans="1:22">
      <c r="A332" s="1532"/>
      <c r="B332" s="1689"/>
      <c r="C332" s="1531"/>
      <c r="D332" s="527" t="s">
        <v>877</v>
      </c>
      <c r="E332" s="1698"/>
      <c r="F332" s="1693"/>
      <c r="G332" s="1693"/>
      <c r="H332" s="1693"/>
      <c r="I332" s="1693"/>
      <c r="J332" s="1693"/>
      <c r="K332" s="1693"/>
      <c r="L332" s="1693"/>
      <c r="M332" s="1693"/>
      <c r="N332" s="1693"/>
      <c r="O332" s="1700"/>
      <c r="P332" s="1700"/>
      <c r="Q332" s="1700"/>
      <c r="R332" s="1700"/>
      <c r="S332" s="1700"/>
      <c r="T332" s="1700"/>
      <c r="U332" s="1695"/>
      <c r="V332" s="1686"/>
    </row>
    <row r="333" spans="1:22">
      <c r="A333" s="1532"/>
      <c r="B333" s="1689"/>
      <c r="C333" s="1674" t="s">
        <v>878</v>
      </c>
      <c r="D333" s="527" t="s">
        <v>879</v>
      </c>
      <c r="E333" s="1698"/>
      <c r="F333" s="1693"/>
      <c r="G333" s="1693"/>
      <c r="H333" s="1693"/>
      <c r="I333" s="1693"/>
      <c r="J333" s="1693"/>
      <c r="K333" s="1693"/>
      <c r="L333" s="1693"/>
      <c r="M333" s="1693"/>
      <c r="N333" s="1693"/>
      <c r="O333" s="1700"/>
      <c r="P333" s="1700"/>
      <c r="Q333" s="1700"/>
      <c r="R333" s="1700"/>
      <c r="S333" s="1700"/>
      <c r="T333" s="1700"/>
      <c r="U333" s="1695"/>
      <c r="V333" s="1686"/>
    </row>
    <row r="334" spans="1:22">
      <c r="A334" s="1532"/>
      <c r="B334" s="1689"/>
      <c r="C334" s="1675"/>
      <c r="D334" s="528" t="s">
        <v>880</v>
      </c>
      <c r="E334" s="1698"/>
      <c r="F334" s="1693"/>
      <c r="G334" s="1693"/>
      <c r="H334" s="1693"/>
      <c r="I334" s="1693"/>
      <c r="J334" s="1693"/>
      <c r="K334" s="1693"/>
      <c r="L334" s="1693"/>
      <c r="M334" s="1693"/>
      <c r="N334" s="1693"/>
      <c r="O334" s="1701"/>
      <c r="P334" s="1701"/>
      <c r="Q334" s="1701"/>
      <c r="R334" s="1701"/>
      <c r="S334" s="1701"/>
      <c r="T334" s="1701"/>
      <c r="U334" s="1696"/>
      <c r="V334" s="1687"/>
    </row>
    <row r="335" spans="1:22">
      <c r="A335" s="1532"/>
      <c r="B335" s="1697" t="s">
        <v>866</v>
      </c>
      <c r="C335" s="1530" t="s">
        <v>875</v>
      </c>
      <c r="D335" s="526" t="s">
        <v>876</v>
      </c>
      <c r="E335" s="1698"/>
      <c r="F335" s="1693"/>
      <c r="G335" s="1693"/>
      <c r="H335" s="1693"/>
      <c r="I335" s="1693"/>
      <c r="J335" s="1693"/>
      <c r="K335" s="1693"/>
      <c r="L335" s="1693"/>
      <c r="M335" s="1693"/>
      <c r="N335" s="1693"/>
      <c r="O335" s="1693"/>
      <c r="P335" s="1699">
        <v>0.98</v>
      </c>
      <c r="Q335" s="1699">
        <v>0.96039999999999992</v>
      </c>
      <c r="R335" s="1699">
        <v>0.94119199999999992</v>
      </c>
      <c r="S335" s="1699">
        <v>0.9317800799999999</v>
      </c>
      <c r="T335" s="1699">
        <v>0.9224622791999999</v>
      </c>
      <c r="U335" s="1694">
        <v>0.91323765640799992</v>
      </c>
      <c r="V335" s="1685">
        <v>0.90410527984391986</v>
      </c>
    </row>
    <row r="336" spans="1:22">
      <c r="A336" s="1532"/>
      <c r="B336" s="1689"/>
      <c r="C336" s="1531"/>
      <c r="D336" s="527" t="s">
        <v>877</v>
      </c>
      <c r="E336" s="1698"/>
      <c r="F336" s="1693"/>
      <c r="G336" s="1693"/>
      <c r="H336" s="1693"/>
      <c r="I336" s="1693"/>
      <c r="J336" s="1693"/>
      <c r="K336" s="1693"/>
      <c r="L336" s="1693"/>
      <c r="M336" s="1693"/>
      <c r="N336" s="1693"/>
      <c r="O336" s="1693"/>
      <c r="P336" s="1700"/>
      <c r="Q336" s="1700"/>
      <c r="R336" s="1700"/>
      <c r="S336" s="1700"/>
      <c r="T336" s="1700"/>
      <c r="U336" s="1695"/>
      <c r="V336" s="1686"/>
    </row>
    <row r="337" spans="1:22">
      <c r="A337" s="1532"/>
      <c r="B337" s="1689"/>
      <c r="C337" s="1674" t="s">
        <v>878</v>
      </c>
      <c r="D337" s="527" t="s">
        <v>879</v>
      </c>
      <c r="E337" s="1698"/>
      <c r="F337" s="1693"/>
      <c r="G337" s="1693"/>
      <c r="H337" s="1693"/>
      <c r="I337" s="1693"/>
      <c r="J337" s="1693"/>
      <c r="K337" s="1693"/>
      <c r="L337" s="1693"/>
      <c r="M337" s="1693"/>
      <c r="N337" s="1693"/>
      <c r="O337" s="1693"/>
      <c r="P337" s="1700"/>
      <c r="Q337" s="1700"/>
      <c r="R337" s="1700"/>
      <c r="S337" s="1700"/>
      <c r="T337" s="1700"/>
      <c r="U337" s="1695"/>
      <c r="V337" s="1686"/>
    </row>
    <row r="338" spans="1:22">
      <c r="A338" s="1532"/>
      <c r="B338" s="1689"/>
      <c r="C338" s="1675"/>
      <c r="D338" s="528" t="s">
        <v>880</v>
      </c>
      <c r="E338" s="1698"/>
      <c r="F338" s="1693"/>
      <c r="G338" s="1693"/>
      <c r="H338" s="1693"/>
      <c r="I338" s="1693"/>
      <c r="J338" s="1693"/>
      <c r="K338" s="1693"/>
      <c r="L338" s="1693"/>
      <c r="M338" s="1693"/>
      <c r="N338" s="1693"/>
      <c r="O338" s="1693"/>
      <c r="P338" s="1701"/>
      <c r="Q338" s="1701"/>
      <c r="R338" s="1701"/>
      <c r="S338" s="1701"/>
      <c r="T338" s="1701"/>
      <c r="U338" s="1696"/>
      <c r="V338" s="1687"/>
    </row>
    <row r="339" spans="1:22">
      <c r="A339" s="1532"/>
      <c r="B339" s="1697" t="s">
        <v>867</v>
      </c>
      <c r="C339" s="1530" t="s">
        <v>875</v>
      </c>
      <c r="D339" s="526" t="s">
        <v>876</v>
      </c>
      <c r="E339" s="1698"/>
      <c r="F339" s="1693"/>
      <c r="G339" s="1693"/>
      <c r="H339" s="1693"/>
      <c r="I339" s="1693"/>
      <c r="J339" s="1693"/>
      <c r="K339" s="1693"/>
      <c r="L339" s="1693"/>
      <c r="M339" s="1693"/>
      <c r="N339" s="1693"/>
      <c r="O339" s="1693"/>
      <c r="P339" s="1693"/>
      <c r="Q339" s="1699">
        <v>0.98</v>
      </c>
      <c r="R339" s="1699">
        <v>0.96039999999999992</v>
      </c>
      <c r="S339" s="1699">
        <v>0.95079599999999986</v>
      </c>
      <c r="T339" s="1699">
        <v>0.94128803999999988</v>
      </c>
      <c r="U339" s="1694">
        <v>0.93187515959999989</v>
      </c>
      <c r="V339" s="1685">
        <v>0.92255640800399985</v>
      </c>
    </row>
    <row r="340" spans="1:22">
      <c r="A340" s="1532"/>
      <c r="B340" s="1689"/>
      <c r="C340" s="1531"/>
      <c r="D340" s="527" t="s">
        <v>877</v>
      </c>
      <c r="E340" s="1698"/>
      <c r="F340" s="1693"/>
      <c r="G340" s="1693"/>
      <c r="H340" s="1693"/>
      <c r="I340" s="1693"/>
      <c r="J340" s="1693"/>
      <c r="K340" s="1693"/>
      <c r="L340" s="1693"/>
      <c r="M340" s="1693"/>
      <c r="N340" s="1693"/>
      <c r="O340" s="1693"/>
      <c r="P340" s="1693"/>
      <c r="Q340" s="1700"/>
      <c r="R340" s="1700"/>
      <c r="S340" s="1700"/>
      <c r="T340" s="1700"/>
      <c r="U340" s="1695"/>
      <c r="V340" s="1686"/>
    </row>
    <row r="341" spans="1:22">
      <c r="A341" s="1532"/>
      <c r="B341" s="1689"/>
      <c r="C341" s="1674" t="s">
        <v>878</v>
      </c>
      <c r="D341" s="527" t="s">
        <v>879</v>
      </c>
      <c r="E341" s="1698"/>
      <c r="F341" s="1693"/>
      <c r="G341" s="1693"/>
      <c r="H341" s="1693"/>
      <c r="I341" s="1693"/>
      <c r="J341" s="1693"/>
      <c r="K341" s="1693"/>
      <c r="L341" s="1693"/>
      <c r="M341" s="1693"/>
      <c r="N341" s="1693"/>
      <c r="O341" s="1693"/>
      <c r="P341" s="1693"/>
      <c r="Q341" s="1700"/>
      <c r="R341" s="1700"/>
      <c r="S341" s="1700"/>
      <c r="T341" s="1700"/>
      <c r="U341" s="1695"/>
      <c r="V341" s="1686"/>
    </row>
    <row r="342" spans="1:22">
      <c r="A342" s="1532"/>
      <c r="B342" s="1689"/>
      <c r="C342" s="1675"/>
      <c r="D342" s="528" t="s">
        <v>880</v>
      </c>
      <c r="E342" s="1698"/>
      <c r="F342" s="1693"/>
      <c r="G342" s="1693"/>
      <c r="H342" s="1693"/>
      <c r="I342" s="1693"/>
      <c r="J342" s="1693"/>
      <c r="K342" s="1693"/>
      <c r="L342" s="1693"/>
      <c r="M342" s="1693"/>
      <c r="N342" s="1693"/>
      <c r="O342" s="1693"/>
      <c r="P342" s="1693"/>
      <c r="Q342" s="1701"/>
      <c r="R342" s="1701"/>
      <c r="S342" s="1701"/>
      <c r="T342" s="1701"/>
      <c r="U342" s="1696"/>
      <c r="V342" s="1687"/>
    </row>
    <row r="343" spans="1:22">
      <c r="A343" s="1532"/>
      <c r="B343" s="1697" t="s">
        <v>868</v>
      </c>
      <c r="C343" s="1530" t="s">
        <v>875</v>
      </c>
      <c r="D343" s="526" t="s">
        <v>876</v>
      </c>
      <c r="E343" s="1698"/>
      <c r="F343" s="1693"/>
      <c r="G343" s="1693"/>
      <c r="H343" s="1693"/>
      <c r="I343" s="1693"/>
      <c r="J343" s="1693"/>
      <c r="K343" s="1693"/>
      <c r="L343" s="1693"/>
      <c r="M343" s="1693"/>
      <c r="N343" s="1693"/>
      <c r="O343" s="1693"/>
      <c r="P343" s="1693"/>
      <c r="Q343" s="1693"/>
      <c r="R343" s="1699">
        <v>0.98</v>
      </c>
      <c r="S343" s="1699">
        <v>0.97019999999999995</v>
      </c>
      <c r="T343" s="1699">
        <v>0.96049799999999996</v>
      </c>
      <c r="U343" s="1694">
        <v>0.95089301999999998</v>
      </c>
      <c r="V343" s="1685">
        <v>0.94138408979999999</v>
      </c>
    </row>
    <row r="344" spans="1:22">
      <c r="A344" s="1532"/>
      <c r="B344" s="1689"/>
      <c r="C344" s="1531"/>
      <c r="D344" s="527" t="s">
        <v>877</v>
      </c>
      <c r="E344" s="1698"/>
      <c r="F344" s="1693"/>
      <c r="G344" s="1693"/>
      <c r="H344" s="1693"/>
      <c r="I344" s="1693"/>
      <c r="J344" s="1693"/>
      <c r="K344" s="1693"/>
      <c r="L344" s="1693"/>
      <c r="M344" s="1693"/>
      <c r="N344" s="1693"/>
      <c r="O344" s="1693"/>
      <c r="P344" s="1693"/>
      <c r="Q344" s="1693"/>
      <c r="R344" s="1700"/>
      <c r="S344" s="1700"/>
      <c r="T344" s="1700"/>
      <c r="U344" s="1695"/>
      <c r="V344" s="1686"/>
    </row>
    <row r="345" spans="1:22">
      <c r="A345" s="1532"/>
      <c r="B345" s="1689"/>
      <c r="C345" s="1674" t="s">
        <v>878</v>
      </c>
      <c r="D345" s="527" t="s">
        <v>879</v>
      </c>
      <c r="E345" s="1698"/>
      <c r="F345" s="1693"/>
      <c r="G345" s="1693"/>
      <c r="H345" s="1693"/>
      <c r="I345" s="1693"/>
      <c r="J345" s="1693"/>
      <c r="K345" s="1693"/>
      <c r="L345" s="1693"/>
      <c r="M345" s="1693"/>
      <c r="N345" s="1693"/>
      <c r="O345" s="1693"/>
      <c r="P345" s="1693"/>
      <c r="Q345" s="1693"/>
      <c r="R345" s="1700"/>
      <c r="S345" s="1700"/>
      <c r="T345" s="1700"/>
      <c r="U345" s="1695"/>
      <c r="V345" s="1686"/>
    </row>
    <row r="346" spans="1:22">
      <c r="A346" s="1532"/>
      <c r="B346" s="1689"/>
      <c r="C346" s="1675"/>
      <c r="D346" s="528" t="s">
        <v>880</v>
      </c>
      <c r="E346" s="1698"/>
      <c r="F346" s="1693"/>
      <c r="G346" s="1693"/>
      <c r="H346" s="1693"/>
      <c r="I346" s="1693"/>
      <c r="J346" s="1693"/>
      <c r="K346" s="1693"/>
      <c r="L346" s="1693"/>
      <c r="M346" s="1693"/>
      <c r="N346" s="1693"/>
      <c r="O346" s="1693"/>
      <c r="P346" s="1693"/>
      <c r="Q346" s="1693"/>
      <c r="R346" s="1701"/>
      <c r="S346" s="1701"/>
      <c r="T346" s="1701"/>
      <c r="U346" s="1696"/>
      <c r="V346" s="1687"/>
    </row>
    <row r="347" spans="1:22">
      <c r="A347" s="1532"/>
      <c r="B347" s="1697" t="s">
        <v>869</v>
      </c>
      <c r="C347" s="1530" t="s">
        <v>875</v>
      </c>
      <c r="D347" s="526" t="s">
        <v>876</v>
      </c>
      <c r="E347" s="1698"/>
      <c r="F347" s="1693"/>
      <c r="G347" s="1693"/>
      <c r="H347" s="1693"/>
      <c r="I347" s="1693"/>
      <c r="J347" s="1693"/>
      <c r="K347" s="1693"/>
      <c r="L347" s="1693"/>
      <c r="M347" s="1693"/>
      <c r="N347" s="1693"/>
      <c r="O347" s="1693"/>
      <c r="P347" s="1693"/>
      <c r="Q347" s="1693"/>
      <c r="R347" s="1693"/>
      <c r="S347" s="1699">
        <v>0.99</v>
      </c>
      <c r="T347" s="1699">
        <v>0.98009999999999997</v>
      </c>
      <c r="U347" s="1694">
        <v>0.97029899999999991</v>
      </c>
      <c r="V347" s="1685">
        <v>0.96059600999999994</v>
      </c>
    </row>
    <row r="348" spans="1:22">
      <c r="A348" s="1532"/>
      <c r="B348" s="1689"/>
      <c r="C348" s="1531"/>
      <c r="D348" s="527" t="s">
        <v>877</v>
      </c>
      <c r="E348" s="1698"/>
      <c r="F348" s="1693"/>
      <c r="G348" s="1693"/>
      <c r="H348" s="1693"/>
      <c r="I348" s="1693"/>
      <c r="J348" s="1693"/>
      <c r="K348" s="1693"/>
      <c r="L348" s="1693"/>
      <c r="M348" s="1693"/>
      <c r="N348" s="1693"/>
      <c r="O348" s="1693"/>
      <c r="P348" s="1693"/>
      <c r="Q348" s="1693"/>
      <c r="R348" s="1693"/>
      <c r="S348" s="1700"/>
      <c r="T348" s="1700"/>
      <c r="U348" s="1695"/>
      <c r="V348" s="1686"/>
    </row>
    <row r="349" spans="1:22">
      <c r="A349" s="1532"/>
      <c r="B349" s="1689"/>
      <c r="C349" s="1674" t="s">
        <v>878</v>
      </c>
      <c r="D349" s="527" t="s">
        <v>879</v>
      </c>
      <c r="E349" s="1698"/>
      <c r="F349" s="1693"/>
      <c r="G349" s="1693"/>
      <c r="H349" s="1693"/>
      <c r="I349" s="1693"/>
      <c r="J349" s="1693"/>
      <c r="K349" s="1693"/>
      <c r="L349" s="1693"/>
      <c r="M349" s="1693"/>
      <c r="N349" s="1693"/>
      <c r="O349" s="1693"/>
      <c r="P349" s="1693"/>
      <c r="Q349" s="1693"/>
      <c r="R349" s="1693"/>
      <c r="S349" s="1700"/>
      <c r="T349" s="1700"/>
      <c r="U349" s="1695"/>
      <c r="V349" s="1686"/>
    </row>
    <row r="350" spans="1:22">
      <c r="A350" s="1532"/>
      <c r="B350" s="1689"/>
      <c r="C350" s="1675"/>
      <c r="D350" s="528" t="s">
        <v>880</v>
      </c>
      <c r="E350" s="1698"/>
      <c r="F350" s="1693"/>
      <c r="G350" s="1693"/>
      <c r="H350" s="1693"/>
      <c r="I350" s="1693"/>
      <c r="J350" s="1693"/>
      <c r="K350" s="1693"/>
      <c r="L350" s="1693"/>
      <c r="M350" s="1693"/>
      <c r="N350" s="1693"/>
      <c r="O350" s="1693"/>
      <c r="P350" s="1693"/>
      <c r="Q350" s="1693"/>
      <c r="R350" s="1693"/>
      <c r="S350" s="1701"/>
      <c r="T350" s="1701"/>
      <c r="U350" s="1696"/>
      <c r="V350" s="1687"/>
    </row>
    <row r="351" spans="1:22">
      <c r="A351" s="1532"/>
      <c r="B351" s="1688" t="s">
        <v>870</v>
      </c>
      <c r="C351" s="1530" t="s">
        <v>875</v>
      </c>
      <c r="D351" s="526" t="s">
        <v>876</v>
      </c>
      <c r="E351" s="1698"/>
      <c r="F351" s="1693"/>
      <c r="G351" s="1693"/>
      <c r="H351" s="1693"/>
      <c r="I351" s="1693"/>
      <c r="J351" s="1693"/>
      <c r="K351" s="1693"/>
      <c r="L351" s="1693"/>
      <c r="M351" s="1693"/>
      <c r="N351" s="1693"/>
      <c r="O351" s="1693"/>
      <c r="P351" s="1693"/>
      <c r="Q351" s="1693"/>
      <c r="R351" s="1693"/>
      <c r="S351" s="1693"/>
      <c r="T351" s="1699">
        <v>0.99</v>
      </c>
      <c r="U351" s="1694">
        <v>0.98009999999999997</v>
      </c>
      <c r="V351" s="1685">
        <v>0.97029899999999991</v>
      </c>
    </row>
    <row r="352" spans="1:22">
      <c r="A352" s="1532"/>
      <c r="B352" s="1689"/>
      <c r="C352" s="1531"/>
      <c r="D352" s="527" t="s">
        <v>877</v>
      </c>
      <c r="E352" s="1698"/>
      <c r="F352" s="1693"/>
      <c r="G352" s="1693"/>
      <c r="H352" s="1693"/>
      <c r="I352" s="1693"/>
      <c r="J352" s="1693"/>
      <c r="K352" s="1693"/>
      <c r="L352" s="1693"/>
      <c r="M352" s="1693"/>
      <c r="N352" s="1693"/>
      <c r="O352" s="1693"/>
      <c r="P352" s="1693"/>
      <c r="Q352" s="1693"/>
      <c r="R352" s="1693"/>
      <c r="S352" s="1693"/>
      <c r="T352" s="1700"/>
      <c r="U352" s="1695"/>
      <c r="V352" s="1686"/>
    </row>
    <row r="353" spans="1:22">
      <c r="A353" s="1532"/>
      <c r="B353" s="1689"/>
      <c r="C353" s="1674" t="s">
        <v>878</v>
      </c>
      <c r="D353" s="527" t="s">
        <v>879</v>
      </c>
      <c r="E353" s="1698"/>
      <c r="F353" s="1693"/>
      <c r="G353" s="1693"/>
      <c r="H353" s="1693"/>
      <c r="I353" s="1693"/>
      <c r="J353" s="1693"/>
      <c r="K353" s="1693"/>
      <c r="L353" s="1693"/>
      <c r="M353" s="1693"/>
      <c r="N353" s="1693"/>
      <c r="O353" s="1693"/>
      <c r="P353" s="1693"/>
      <c r="Q353" s="1693"/>
      <c r="R353" s="1693"/>
      <c r="S353" s="1693"/>
      <c r="T353" s="1700"/>
      <c r="U353" s="1695"/>
      <c r="V353" s="1686"/>
    </row>
    <row r="354" spans="1:22">
      <c r="A354" s="1532"/>
      <c r="B354" s="1689"/>
      <c r="C354" s="1675"/>
      <c r="D354" s="528" t="s">
        <v>880</v>
      </c>
      <c r="E354" s="1698"/>
      <c r="F354" s="1693"/>
      <c r="G354" s="1693"/>
      <c r="H354" s="1693"/>
      <c r="I354" s="1693"/>
      <c r="J354" s="1693"/>
      <c r="K354" s="1693"/>
      <c r="L354" s="1693"/>
      <c r="M354" s="1693"/>
      <c r="N354" s="1693"/>
      <c r="O354" s="1693"/>
      <c r="P354" s="1693"/>
      <c r="Q354" s="1693"/>
      <c r="R354" s="1693"/>
      <c r="S354" s="1693"/>
      <c r="T354" s="1701"/>
      <c r="U354" s="1696"/>
      <c r="V354" s="1687"/>
    </row>
    <row r="355" spans="1:22">
      <c r="A355" s="1532"/>
      <c r="B355" s="1697" t="s">
        <v>871</v>
      </c>
      <c r="C355" s="1530" t="s">
        <v>875</v>
      </c>
      <c r="D355" s="526" t="s">
        <v>876</v>
      </c>
      <c r="E355" s="1698"/>
      <c r="F355" s="1693"/>
      <c r="G355" s="1693"/>
      <c r="H355" s="1693"/>
      <c r="I355" s="1693"/>
      <c r="J355" s="1693"/>
      <c r="K355" s="1693"/>
      <c r="L355" s="1693"/>
      <c r="M355" s="1693"/>
      <c r="N355" s="1693"/>
      <c r="O355" s="1693"/>
      <c r="P355" s="1693"/>
      <c r="Q355" s="1693"/>
      <c r="R355" s="1693"/>
      <c r="S355" s="1693"/>
      <c r="T355" s="1693"/>
      <c r="U355" s="1694">
        <v>0.99</v>
      </c>
      <c r="V355" s="1685">
        <v>0.98009999999999997</v>
      </c>
    </row>
    <row r="356" spans="1:22">
      <c r="A356" s="1532"/>
      <c r="B356" s="1689"/>
      <c r="C356" s="1531"/>
      <c r="D356" s="527" t="s">
        <v>877</v>
      </c>
      <c r="E356" s="1698"/>
      <c r="F356" s="1693"/>
      <c r="G356" s="1693"/>
      <c r="H356" s="1693"/>
      <c r="I356" s="1693"/>
      <c r="J356" s="1693"/>
      <c r="K356" s="1693"/>
      <c r="L356" s="1693"/>
      <c r="M356" s="1693"/>
      <c r="N356" s="1693"/>
      <c r="O356" s="1693"/>
      <c r="P356" s="1693"/>
      <c r="Q356" s="1693"/>
      <c r="R356" s="1693"/>
      <c r="S356" s="1693"/>
      <c r="T356" s="1693"/>
      <c r="U356" s="1695"/>
      <c r="V356" s="1686"/>
    </row>
    <row r="357" spans="1:22">
      <c r="A357" s="1532"/>
      <c r="B357" s="1689"/>
      <c r="C357" s="1674" t="s">
        <v>878</v>
      </c>
      <c r="D357" s="527" t="s">
        <v>879</v>
      </c>
      <c r="E357" s="1698"/>
      <c r="F357" s="1693"/>
      <c r="G357" s="1693"/>
      <c r="H357" s="1693"/>
      <c r="I357" s="1693"/>
      <c r="J357" s="1693"/>
      <c r="K357" s="1693"/>
      <c r="L357" s="1693"/>
      <c r="M357" s="1693"/>
      <c r="N357" s="1693"/>
      <c r="O357" s="1693"/>
      <c r="P357" s="1693"/>
      <c r="Q357" s="1693"/>
      <c r="R357" s="1693"/>
      <c r="S357" s="1693"/>
      <c r="T357" s="1693"/>
      <c r="U357" s="1695"/>
      <c r="V357" s="1686"/>
    </row>
    <row r="358" spans="1:22">
      <c r="A358" s="1532"/>
      <c r="B358" s="1689"/>
      <c r="C358" s="1675"/>
      <c r="D358" s="528" t="s">
        <v>880</v>
      </c>
      <c r="E358" s="1698"/>
      <c r="F358" s="1693"/>
      <c r="G358" s="1693"/>
      <c r="H358" s="1693"/>
      <c r="I358" s="1693"/>
      <c r="J358" s="1693"/>
      <c r="K358" s="1693"/>
      <c r="L358" s="1693"/>
      <c r="M358" s="1693"/>
      <c r="N358" s="1693"/>
      <c r="O358" s="1693"/>
      <c r="P358" s="1693"/>
      <c r="Q358" s="1693"/>
      <c r="R358" s="1693"/>
      <c r="S358" s="1693"/>
      <c r="T358" s="1693"/>
      <c r="U358" s="1696"/>
      <c r="V358" s="1687"/>
    </row>
    <row r="359" spans="1:22">
      <c r="A359" s="1532"/>
      <c r="B359" s="1697" t="s">
        <v>872</v>
      </c>
      <c r="C359" s="1530" t="s">
        <v>875</v>
      </c>
      <c r="D359" s="526" t="s">
        <v>876</v>
      </c>
      <c r="E359" s="1690"/>
      <c r="F359" s="1676"/>
      <c r="G359" s="1676"/>
      <c r="H359" s="1676"/>
      <c r="I359" s="1676"/>
      <c r="J359" s="1676"/>
      <c r="K359" s="1676"/>
      <c r="L359" s="1676"/>
      <c r="M359" s="1676"/>
      <c r="N359" s="1676"/>
      <c r="O359" s="1676"/>
      <c r="P359" s="1676"/>
      <c r="Q359" s="1676"/>
      <c r="R359" s="1676"/>
      <c r="S359" s="1676"/>
      <c r="T359" s="1676"/>
      <c r="U359" s="1693"/>
      <c r="V359" s="1685">
        <v>0.99</v>
      </c>
    </row>
    <row r="360" spans="1:22">
      <c r="A360" s="1532"/>
      <c r="B360" s="1689"/>
      <c r="C360" s="1531"/>
      <c r="D360" s="527" t="s">
        <v>877</v>
      </c>
      <c r="E360" s="1691"/>
      <c r="F360" s="1677"/>
      <c r="G360" s="1677"/>
      <c r="H360" s="1677"/>
      <c r="I360" s="1677"/>
      <c r="J360" s="1677"/>
      <c r="K360" s="1677"/>
      <c r="L360" s="1677"/>
      <c r="M360" s="1677"/>
      <c r="N360" s="1677"/>
      <c r="O360" s="1677"/>
      <c r="P360" s="1677"/>
      <c r="Q360" s="1677"/>
      <c r="R360" s="1677"/>
      <c r="S360" s="1677"/>
      <c r="T360" s="1677"/>
      <c r="U360" s="1693"/>
      <c r="V360" s="1686"/>
    </row>
    <row r="361" spans="1:22">
      <c r="A361" s="1532"/>
      <c r="B361" s="1689"/>
      <c r="C361" s="1674" t="s">
        <v>878</v>
      </c>
      <c r="D361" s="527" t="s">
        <v>879</v>
      </c>
      <c r="E361" s="1691"/>
      <c r="F361" s="1677"/>
      <c r="G361" s="1677"/>
      <c r="H361" s="1677"/>
      <c r="I361" s="1677"/>
      <c r="J361" s="1677"/>
      <c r="K361" s="1677"/>
      <c r="L361" s="1677"/>
      <c r="M361" s="1677"/>
      <c r="N361" s="1677"/>
      <c r="O361" s="1677"/>
      <c r="P361" s="1677"/>
      <c r="Q361" s="1677"/>
      <c r="R361" s="1677"/>
      <c r="S361" s="1677"/>
      <c r="T361" s="1677"/>
      <c r="U361" s="1693"/>
      <c r="V361" s="1686"/>
    </row>
    <row r="362" spans="1:22">
      <c r="A362" s="1532"/>
      <c r="B362" s="1689"/>
      <c r="C362" s="1675"/>
      <c r="D362" s="528" t="s">
        <v>880</v>
      </c>
      <c r="E362" s="1692"/>
      <c r="F362" s="1678"/>
      <c r="G362" s="1678"/>
      <c r="H362" s="1678"/>
      <c r="I362" s="1678"/>
      <c r="J362" s="1678"/>
      <c r="K362" s="1678"/>
      <c r="L362" s="1678"/>
      <c r="M362" s="1678"/>
      <c r="N362" s="1678"/>
      <c r="O362" s="1678"/>
      <c r="P362" s="1678"/>
      <c r="Q362" s="1678"/>
      <c r="R362" s="1678"/>
      <c r="S362" s="1678"/>
      <c r="T362" s="1678"/>
      <c r="U362" s="1693"/>
      <c r="V362" s="1687"/>
    </row>
    <row r="363" spans="1:22">
      <c r="A363" s="1532"/>
      <c r="B363" s="1697" t="s">
        <v>873</v>
      </c>
      <c r="C363" s="1530" t="s">
        <v>875</v>
      </c>
      <c r="D363" s="526" t="s">
        <v>876</v>
      </c>
      <c r="E363" s="1690"/>
      <c r="F363" s="1676"/>
      <c r="G363" s="1676"/>
      <c r="H363" s="1676"/>
      <c r="I363" s="1676"/>
      <c r="J363" s="1676"/>
      <c r="K363" s="1676"/>
      <c r="L363" s="1676"/>
      <c r="M363" s="1676"/>
      <c r="N363" s="1676"/>
      <c r="O363" s="1676"/>
      <c r="P363" s="1676"/>
      <c r="Q363" s="1676"/>
      <c r="R363" s="1676"/>
      <c r="S363" s="1676"/>
      <c r="T363" s="1676"/>
      <c r="U363" s="1679"/>
      <c r="V363" s="1682"/>
    </row>
    <row r="364" spans="1:22">
      <c r="A364" s="1532"/>
      <c r="B364" s="1689"/>
      <c r="C364" s="1531"/>
      <c r="D364" s="527" t="s">
        <v>877</v>
      </c>
      <c r="E364" s="1691"/>
      <c r="F364" s="1677"/>
      <c r="G364" s="1677"/>
      <c r="H364" s="1677"/>
      <c r="I364" s="1677"/>
      <c r="J364" s="1677"/>
      <c r="K364" s="1677"/>
      <c r="L364" s="1677"/>
      <c r="M364" s="1677"/>
      <c r="N364" s="1677"/>
      <c r="O364" s="1677"/>
      <c r="P364" s="1677"/>
      <c r="Q364" s="1677"/>
      <c r="R364" s="1677"/>
      <c r="S364" s="1677"/>
      <c r="T364" s="1677"/>
      <c r="U364" s="1680"/>
      <c r="V364" s="1683"/>
    </row>
    <row r="365" spans="1:22">
      <c r="A365" s="1532"/>
      <c r="B365" s="1689"/>
      <c r="C365" s="1674" t="s">
        <v>878</v>
      </c>
      <c r="D365" s="527" t="s">
        <v>879</v>
      </c>
      <c r="E365" s="1691"/>
      <c r="F365" s="1677"/>
      <c r="G365" s="1677"/>
      <c r="H365" s="1677"/>
      <c r="I365" s="1677"/>
      <c r="J365" s="1677"/>
      <c r="K365" s="1677"/>
      <c r="L365" s="1677"/>
      <c r="M365" s="1677"/>
      <c r="N365" s="1677"/>
      <c r="O365" s="1677"/>
      <c r="P365" s="1677"/>
      <c r="Q365" s="1677"/>
      <c r="R365" s="1677"/>
      <c r="S365" s="1677"/>
      <c r="T365" s="1677"/>
      <c r="U365" s="1680"/>
      <c r="V365" s="1683"/>
    </row>
    <row r="366" spans="1:22">
      <c r="A366" s="1525"/>
      <c r="B366" s="1689"/>
      <c r="C366" s="1675"/>
      <c r="D366" s="528" t="s">
        <v>880</v>
      </c>
      <c r="E366" s="1692"/>
      <c r="F366" s="1678"/>
      <c r="G366" s="1678"/>
      <c r="H366" s="1678"/>
      <c r="I366" s="1678"/>
      <c r="J366" s="1678"/>
      <c r="K366" s="1678"/>
      <c r="L366" s="1678"/>
      <c r="M366" s="1678"/>
      <c r="N366" s="1678"/>
      <c r="O366" s="1678"/>
      <c r="P366" s="1678"/>
      <c r="Q366" s="1678"/>
      <c r="R366" s="1678"/>
      <c r="S366" s="1678"/>
      <c r="T366" s="1678"/>
      <c r="U366" s="1681"/>
      <c r="V366" s="1684"/>
    </row>
    <row r="367" spans="1:22">
      <c r="A367" s="1524" t="s">
        <v>230</v>
      </c>
      <c r="B367" s="1688" t="s">
        <v>881</v>
      </c>
      <c r="C367" s="1530" t="s">
        <v>875</v>
      </c>
      <c r="D367" s="526" t="s">
        <v>876</v>
      </c>
      <c r="E367" s="1690"/>
      <c r="F367" s="1699">
        <v>0.61</v>
      </c>
      <c r="G367" s="1699">
        <v>0.4819</v>
      </c>
      <c r="H367" s="1699">
        <v>0.41925299999999999</v>
      </c>
      <c r="I367" s="1699">
        <v>0.40248287999999999</v>
      </c>
      <c r="J367" s="1699">
        <v>0.3702842496</v>
      </c>
      <c r="K367" s="1699">
        <v>0.34806719462399999</v>
      </c>
      <c r="L367" s="1699">
        <v>0.33066383489279999</v>
      </c>
      <c r="M367" s="1699">
        <v>0.317437281497088</v>
      </c>
      <c r="N367" s="1699">
        <v>0.29521667179229183</v>
      </c>
      <c r="O367" s="1699">
        <v>0.28931233835644599</v>
      </c>
      <c r="P367" s="1699">
        <v>0.28352609158931708</v>
      </c>
      <c r="Q367" s="1699">
        <v>0.27785556975753073</v>
      </c>
      <c r="R367" s="1699">
        <v>0.27229845836238009</v>
      </c>
      <c r="S367" s="1699">
        <v>0.26957547377875629</v>
      </c>
      <c r="T367" s="1699">
        <v>0.26687971904096874</v>
      </c>
      <c r="U367" s="1694">
        <v>0.26421092185055906</v>
      </c>
      <c r="V367" s="1685">
        <v>0.26156881263205345</v>
      </c>
    </row>
    <row r="368" spans="1:22">
      <c r="A368" s="1532"/>
      <c r="B368" s="1689"/>
      <c r="C368" s="1531"/>
      <c r="D368" s="527" t="s">
        <v>877</v>
      </c>
      <c r="E368" s="1691"/>
      <c r="F368" s="1700"/>
      <c r="G368" s="1700"/>
      <c r="H368" s="1700"/>
      <c r="I368" s="1700"/>
      <c r="J368" s="1700"/>
      <c r="K368" s="1700"/>
      <c r="L368" s="1700"/>
      <c r="M368" s="1700"/>
      <c r="N368" s="1700"/>
      <c r="O368" s="1700"/>
      <c r="P368" s="1700"/>
      <c r="Q368" s="1700"/>
      <c r="R368" s="1700"/>
      <c r="S368" s="1700"/>
      <c r="T368" s="1700"/>
      <c r="U368" s="1695"/>
      <c r="V368" s="1686"/>
    </row>
    <row r="369" spans="1:22">
      <c r="A369" s="1532"/>
      <c r="B369" s="1689"/>
      <c r="C369" s="1674" t="s">
        <v>878</v>
      </c>
      <c r="D369" s="527" t="s">
        <v>879</v>
      </c>
      <c r="E369" s="1691"/>
      <c r="F369" s="1700"/>
      <c r="G369" s="1700"/>
      <c r="H369" s="1700"/>
      <c r="I369" s="1700"/>
      <c r="J369" s="1700"/>
      <c r="K369" s="1700"/>
      <c r="L369" s="1700"/>
      <c r="M369" s="1700"/>
      <c r="N369" s="1700"/>
      <c r="O369" s="1700"/>
      <c r="P369" s="1700"/>
      <c r="Q369" s="1700"/>
      <c r="R369" s="1700"/>
      <c r="S369" s="1700"/>
      <c r="T369" s="1700"/>
      <c r="U369" s="1695"/>
      <c r="V369" s="1686"/>
    </row>
    <row r="370" spans="1:22">
      <c r="A370" s="1532"/>
      <c r="B370" s="1689"/>
      <c r="C370" s="1675"/>
      <c r="D370" s="528" t="s">
        <v>880</v>
      </c>
      <c r="E370" s="1692"/>
      <c r="F370" s="1701"/>
      <c r="G370" s="1701"/>
      <c r="H370" s="1701"/>
      <c r="I370" s="1701"/>
      <c r="J370" s="1701"/>
      <c r="K370" s="1701"/>
      <c r="L370" s="1701"/>
      <c r="M370" s="1701"/>
      <c r="N370" s="1701"/>
      <c r="O370" s="1701"/>
      <c r="P370" s="1701"/>
      <c r="Q370" s="1701"/>
      <c r="R370" s="1701"/>
      <c r="S370" s="1701"/>
      <c r="T370" s="1701"/>
      <c r="U370" s="1696"/>
      <c r="V370" s="1687"/>
    </row>
    <row r="371" spans="1:22">
      <c r="A371" s="1532"/>
      <c r="B371" s="1688" t="s">
        <v>857</v>
      </c>
      <c r="C371" s="1530" t="s">
        <v>875</v>
      </c>
      <c r="D371" s="526" t="s">
        <v>876</v>
      </c>
      <c r="E371" s="1698"/>
      <c r="F371" s="1693"/>
      <c r="G371" s="1699">
        <v>0.79</v>
      </c>
      <c r="H371" s="1699">
        <v>0.68730000000000002</v>
      </c>
      <c r="I371" s="1699">
        <v>0.65980799999999995</v>
      </c>
      <c r="J371" s="1699">
        <v>0.60702336000000001</v>
      </c>
      <c r="K371" s="1699">
        <v>0.57060195839999994</v>
      </c>
      <c r="L371" s="1699">
        <v>0.54207186047999989</v>
      </c>
      <c r="M371" s="1699">
        <v>0.52038898606079986</v>
      </c>
      <c r="N371" s="1699">
        <v>0.48396175703654387</v>
      </c>
      <c r="O371" s="1699">
        <v>0.47428252189581299</v>
      </c>
      <c r="P371" s="1699">
        <v>0.46479687145789672</v>
      </c>
      <c r="Q371" s="1699">
        <v>0.45550093402873876</v>
      </c>
      <c r="R371" s="1699">
        <v>0.446390915348164</v>
      </c>
      <c r="S371" s="1699">
        <v>0.44192700619468234</v>
      </c>
      <c r="T371" s="1699">
        <v>0.43750773613273553</v>
      </c>
      <c r="U371" s="1694">
        <v>0.43313265877140816</v>
      </c>
      <c r="V371" s="1685">
        <v>0.42880133218369409</v>
      </c>
    </row>
    <row r="372" spans="1:22">
      <c r="A372" s="1532"/>
      <c r="B372" s="1689"/>
      <c r="C372" s="1531"/>
      <c r="D372" s="527" t="s">
        <v>877</v>
      </c>
      <c r="E372" s="1698"/>
      <c r="F372" s="1693"/>
      <c r="G372" s="1700"/>
      <c r="H372" s="1700"/>
      <c r="I372" s="1700"/>
      <c r="J372" s="1700"/>
      <c r="K372" s="1700"/>
      <c r="L372" s="1700"/>
      <c r="M372" s="1700"/>
      <c r="N372" s="1700"/>
      <c r="O372" s="1700"/>
      <c r="P372" s="1700"/>
      <c r="Q372" s="1700"/>
      <c r="R372" s="1700"/>
      <c r="S372" s="1700"/>
      <c r="T372" s="1700"/>
      <c r="U372" s="1695"/>
      <c r="V372" s="1686"/>
    </row>
    <row r="373" spans="1:22">
      <c r="A373" s="1532"/>
      <c r="B373" s="1689"/>
      <c r="C373" s="1674" t="s">
        <v>878</v>
      </c>
      <c r="D373" s="527" t="s">
        <v>879</v>
      </c>
      <c r="E373" s="1698"/>
      <c r="F373" s="1693"/>
      <c r="G373" s="1700"/>
      <c r="H373" s="1700"/>
      <c r="I373" s="1700"/>
      <c r="J373" s="1700"/>
      <c r="K373" s="1700"/>
      <c r="L373" s="1700"/>
      <c r="M373" s="1700"/>
      <c r="N373" s="1700"/>
      <c r="O373" s="1700"/>
      <c r="P373" s="1700"/>
      <c r="Q373" s="1700"/>
      <c r="R373" s="1700"/>
      <c r="S373" s="1700"/>
      <c r="T373" s="1700"/>
      <c r="U373" s="1695"/>
      <c r="V373" s="1686"/>
    </row>
    <row r="374" spans="1:22">
      <c r="A374" s="1532"/>
      <c r="B374" s="1689"/>
      <c r="C374" s="1675"/>
      <c r="D374" s="528" t="s">
        <v>880</v>
      </c>
      <c r="E374" s="1698"/>
      <c r="F374" s="1693"/>
      <c r="G374" s="1701"/>
      <c r="H374" s="1701"/>
      <c r="I374" s="1701"/>
      <c r="J374" s="1701"/>
      <c r="K374" s="1701"/>
      <c r="L374" s="1701"/>
      <c r="M374" s="1701"/>
      <c r="N374" s="1701"/>
      <c r="O374" s="1701"/>
      <c r="P374" s="1701"/>
      <c r="Q374" s="1701"/>
      <c r="R374" s="1701"/>
      <c r="S374" s="1701"/>
      <c r="T374" s="1701"/>
      <c r="U374" s="1696"/>
      <c r="V374" s="1687"/>
    </row>
    <row r="375" spans="1:22">
      <c r="A375" s="1532"/>
      <c r="B375" s="1688" t="s">
        <v>858</v>
      </c>
      <c r="C375" s="1530" t="s">
        <v>875</v>
      </c>
      <c r="D375" s="526" t="s">
        <v>876</v>
      </c>
      <c r="E375" s="1698"/>
      <c r="F375" s="1693"/>
      <c r="G375" s="1693"/>
      <c r="H375" s="1699">
        <v>0.87</v>
      </c>
      <c r="I375" s="1699">
        <v>0.83519999999999994</v>
      </c>
      <c r="J375" s="1699">
        <v>0.76838399999999996</v>
      </c>
      <c r="K375" s="1699">
        <v>0.72228095999999997</v>
      </c>
      <c r="L375" s="1699">
        <v>0.68616691199999991</v>
      </c>
      <c r="M375" s="1699">
        <v>0.65872023551999992</v>
      </c>
      <c r="N375" s="1699">
        <v>0.61260981903360001</v>
      </c>
      <c r="O375" s="1699">
        <v>0.60035762265292802</v>
      </c>
      <c r="P375" s="1699">
        <v>0.58835047019986941</v>
      </c>
      <c r="Q375" s="1699">
        <v>0.57658346079587197</v>
      </c>
      <c r="R375" s="1699">
        <v>0.56505179157995455</v>
      </c>
      <c r="S375" s="1699">
        <v>0.55940127366415504</v>
      </c>
      <c r="T375" s="1699">
        <v>0.55380726092751353</v>
      </c>
      <c r="U375" s="1694">
        <v>0.54826918831823834</v>
      </c>
      <c r="V375" s="1685">
        <v>0.54278649643505594</v>
      </c>
    </row>
    <row r="376" spans="1:22">
      <c r="A376" s="1532"/>
      <c r="B376" s="1689"/>
      <c r="C376" s="1531"/>
      <c r="D376" s="527" t="s">
        <v>877</v>
      </c>
      <c r="E376" s="1698"/>
      <c r="F376" s="1693"/>
      <c r="G376" s="1693"/>
      <c r="H376" s="1700"/>
      <c r="I376" s="1700"/>
      <c r="J376" s="1700"/>
      <c r="K376" s="1700"/>
      <c r="L376" s="1700"/>
      <c r="M376" s="1700"/>
      <c r="N376" s="1700"/>
      <c r="O376" s="1700"/>
      <c r="P376" s="1700"/>
      <c r="Q376" s="1700"/>
      <c r="R376" s="1700"/>
      <c r="S376" s="1700"/>
      <c r="T376" s="1700"/>
      <c r="U376" s="1695"/>
      <c r="V376" s="1686"/>
    </row>
    <row r="377" spans="1:22">
      <c r="A377" s="1532"/>
      <c r="B377" s="1689"/>
      <c r="C377" s="1674" t="s">
        <v>878</v>
      </c>
      <c r="D377" s="527" t="s">
        <v>879</v>
      </c>
      <c r="E377" s="1698"/>
      <c r="F377" s="1693"/>
      <c r="G377" s="1693"/>
      <c r="H377" s="1700"/>
      <c r="I377" s="1700"/>
      <c r="J377" s="1700"/>
      <c r="K377" s="1700"/>
      <c r="L377" s="1700"/>
      <c r="M377" s="1700"/>
      <c r="N377" s="1700"/>
      <c r="O377" s="1700"/>
      <c r="P377" s="1700"/>
      <c r="Q377" s="1700"/>
      <c r="R377" s="1700"/>
      <c r="S377" s="1700"/>
      <c r="T377" s="1700"/>
      <c r="U377" s="1695"/>
      <c r="V377" s="1686"/>
    </row>
    <row r="378" spans="1:22">
      <c r="A378" s="1532"/>
      <c r="B378" s="1689"/>
      <c r="C378" s="1675"/>
      <c r="D378" s="528" t="s">
        <v>880</v>
      </c>
      <c r="E378" s="1698"/>
      <c r="F378" s="1693"/>
      <c r="G378" s="1693"/>
      <c r="H378" s="1701"/>
      <c r="I378" s="1701"/>
      <c r="J378" s="1701"/>
      <c r="K378" s="1701"/>
      <c r="L378" s="1701"/>
      <c r="M378" s="1701"/>
      <c r="N378" s="1701"/>
      <c r="O378" s="1701"/>
      <c r="P378" s="1701"/>
      <c r="Q378" s="1701"/>
      <c r="R378" s="1701"/>
      <c r="S378" s="1701"/>
      <c r="T378" s="1701"/>
      <c r="U378" s="1696"/>
      <c r="V378" s="1687"/>
    </row>
    <row r="379" spans="1:22">
      <c r="A379" s="1532"/>
      <c r="B379" s="1697" t="s">
        <v>859</v>
      </c>
      <c r="C379" s="1530" t="s">
        <v>875</v>
      </c>
      <c r="D379" s="526" t="s">
        <v>876</v>
      </c>
      <c r="E379" s="1698"/>
      <c r="F379" s="1693"/>
      <c r="G379" s="1693"/>
      <c r="H379" s="1693"/>
      <c r="I379" s="1699">
        <v>0.96</v>
      </c>
      <c r="J379" s="1699">
        <v>0.88319999999999999</v>
      </c>
      <c r="K379" s="1699">
        <v>0.83020799999999995</v>
      </c>
      <c r="L379" s="1699">
        <v>0.78869759999999989</v>
      </c>
      <c r="M379" s="1699">
        <v>0.75714969599999982</v>
      </c>
      <c r="N379" s="1699">
        <v>0.70414921727999991</v>
      </c>
      <c r="O379" s="1699">
        <v>0.69006623293439995</v>
      </c>
      <c r="P379" s="1699">
        <v>0.67626490827571195</v>
      </c>
      <c r="Q379" s="1699">
        <v>0.66273961011019766</v>
      </c>
      <c r="R379" s="1699">
        <v>0.64948481790799373</v>
      </c>
      <c r="S379" s="1699">
        <v>0.64298996972891376</v>
      </c>
      <c r="T379" s="1699">
        <v>0.63656007003162463</v>
      </c>
      <c r="U379" s="1694">
        <v>0.6301944693313084</v>
      </c>
      <c r="V379" s="1685">
        <v>0.62389252463799527</v>
      </c>
    </row>
    <row r="380" spans="1:22">
      <c r="A380" s="1532"/>
      <c r="B380" s="1689"/>
      <c r="C380" s="1531"/>
      <c r="D380" s="527" t="s">
        <v>877</v>
      </c>
      <c r="E380" s="1698"/>
      <c r="F380" s="1693"/>
      <c r="G380" s="1693"/>
      <c r="H380" s="1693"/>
      <c r="I380" s="1700"/>
      <c r="J380" s="1700"/>
      <c r="K380" s="1700"/>
      <c r="L380" s="1700"/>
      <c r="M380" s="1700"/>
      <c r="N380" s="1700"/>
      <c r="O380" s="1700"/>
      <c r="P380" s="1700"/>
      <c r="Q380" s="1700"/>
      <c r="R380" s="1700"/>
      <c r="S380" s="1700"/>
      <c r="T380" s="1700"/>
      <c r="U380" s="1695"/>
      <c r="V380" s="1686"/>
    </row>
    <row r="381" spans="1:22">
      <c r="A381" s="1532"/>
      <c r="B381" s="1689"/>
      <c r="C381" s="1674" t="s">
        <v>878</v>
      </c>
      <c r="D381" s="527" t="s">
        <v>879</v>
      </c>
      <c r="E381" s="1698"/>
      <c r="F381" s="1693"/>
      <c r="G381" s="1693"/>
      <c r="H381" s="1693"/>
      <c r="I381" s="1700"/>
      <c r="J381" s="1700"/>
      <c r="K381" s="1700"/>
      <c r="L381" s="1700"/>
      <c r="M381" s="1700"/>
      <c r="N381" s="1700"/>
      <c r="O381" s="1700"/>
      <c r="P381" s="1700"/>
      <c r="Q381" s="1700"/>
      <c r="R381" s="1700"/>
      <c r="S381" s="1700"/>
      <c r="T381" s="1700"/>
      <c r="U381" s="1695"/>
      <c r="V381" s="1686"/>
    </row>
    <row r="382" spans="1:22">
      <c r="A382" s="1532"/>
      <c r="B382" s="1689"/>
      <c r="C382" s="1675"/>
      <c r="D382" s="528" t="s">
        <v>880</v>
      </c>
      <c r="E382" s="1698"/>
      <c r="F382" s="1693"/>
      <c r="G382" s="1693"/>
      <c r="H382" s="1693"/>
      <c r="I382" s="1701"/>
      <c r="J382" s="1701"/>
      <c r="K382" s="1701"/>
      <c r="L382" s="1701"/>
      <c r="M382" s="1701"/>
      <c r="N382" s="1701"/>
      <c r="O382" s="1701"/>
      <c r="P382" s="1701"/>
      <c r="Q382" s="1701"/>
      <c r="R382" s="1701"/>
      <c r="S382" s="1701"/>
      <c r="T382" s="1701"/>
      <c r="U382" s="1696"/>
      <c r="V382" s="1687"/>
    </row>
    <row r="383" spans="1:22">
      <c r="A383" s="1532"/>
      <c r="B383" s="1697" t="s">
        <v>882</v>
      </c>
      <c r="C383" s="1530" t="s">
        <v>875</v>
      </c>
      <c r="D383" s="526" t="s">
        <v>876</v>
      </c>
      <c r="E383" s="1698"/>
      <c r="F383" s="1693"/>
      <c r="G383" s="1693"/>
      <c r="H383" s="1693"/>
      <c r="I383" s="1693"/>
      <c r="J383" s="1699">
        <v>0.92</v>
      </c>
      <c r="K383" s="1699">
        <v>0.86480000000000001</v>
      </c>
      <c r="L383" s="1699">
        <v>0.82155999999999996</v>
      </c>
      <c r="M383" s="1699">
        <v>0.78869759999999989</v>
      </c>
      <c r="N383" s="1699">
        <v>0.73348876799999996</v>
      </c>
      <c r="O383" s="1699">
        <v>0.71881899263999993</v>
      </c>
      <c r="P383" s="1699">
        <v>0.70444261278719988</v>
      </c>
      <c r="Q383" s="1699">
        <v>0.69035376053145592</v>
      </c>
      <c r="R383" s="1699">
        <v>0.67654668532082674</v>
      </c>
      <c r="S383" s="1699">
        <v>0.66978121846761851</v>
      </c>
      <c r="T383" s="1699">
        <v>0.66308340628294227</v>
      </c>
      <c r="U383" s="1694">
        <v>0.65645257222011288</v>
      </c>
      <c r="V383" s="1685">
        <v>0.64988804649791176</v>
      </c>
    </row>
    <row r="384" spans="1:22">
      <c r="A384" s="1532"/>
      <c r="B384" s="1689"/>
      <c r="C384" s="1531"/>
      <c r="D384" s="527" t="s">
        <v>877</v>
      </c>
      <c r="E384" s="1698"/>
      <c r="F384" s="1693"/>
      <c r="G384" s="1693"/>
      <c r="H384" s="1693"/>
      <c r="I384" s="1693"/>
      <c r="J384" s="1700"/>
      <c r="K384" s="1700"/>
      <c r="L384" s="1700"/>
      <c r="M384" s="1700"/>
      <c r="N384" s="1700"/>
      <c r="O384" s="1700"/>
      <c r="P384" s="1700"/>
      <c r="Q384" s="1700"/>
      <c r="R384" s="1700"/>
      <c r="S384" s="1700"/>
      <c r="T384" s="1700"/>
      <c r="U384" s="1695"/>
      <c r="V384" s="1686"/>
    </row>
    <row r="385" spans="1:22">
      <c r="A385" s="1532"/>
      <c r="B385" s="1689"/>
      <c r="C385" s="1674" t="s">
        <v>878</v>
      </c>
      <c r="D385" s="527" t="s">
        <v>879</v>
      </c>
      <c r="E385" s="1698"/>
      <c r="F385" s="1693"/>
      <c r="G385" s="1693"/>
      <c r="H385" s="1693"/>
      <c r="I385" s="1693"/>
      <c r="J385" s="1700"/>
      <c r="K385" s="1700"/>
      <c r="L385" s="1700"/>
      <c r="M385" s="1700"/>
      <c r="N385" s="1700"/>
      <c r="O385" s="1700"/>
      <c r="P385" s="1700"/>
      <c r="Q385" s="1700"/>
      <c r="R385" s="1700"/>
      <c r="S385" s="1700"/>
      <c r="T385" s="1700"/>
      <c r="U385" s="1695"/>
      <c r="V385" s="1686"/>
    </row>
    <row r="386" spans="1:22">
      <c r="A386" s="1532"/>
      <c r="B386" s="1689"/>
      <c r="C386" s="1675"/>
      <c r="D386" s="528" t="s">
        <v>880</v>
      </c>
      <c r="E386" s="1698"/>
      <c r="F386" s="1693"/>
      <c r="G386" s="1693"/>
      <c r="H386" s="1693"/>
      <c r="I386" s="1693"/>
      <c r="J386" s="1701"/>
      <c r="K386" s="1701"/>
      <c r="L386" s="1701"/>
      <c r="M386" s="1701"/>
      <c r="N386" s="1701"/>
      <c r="O386" s="1701"/>
      <c r="P386" s="1701"/>
      <c r="Q386" s="1701"/>
      <c r="R386" s="1701"/>
      <c r="S386" s="1701"/>
      <c r="T386" s="1701"/>
      <c r="U386" s="1696"/>
      <c r="V386" s="1687"/>
    </row>
    <row r="387" spans="1:22">
      <c r="A387" s="1532"/>
      <c r="B387" s="1697" t="s">
        <v>861</v>
      </c>
      <c r="C387" s="1530" t="s">
        <v>875</v>
      </c>
      <c r="D387" s="526" t="s">
        <v>876</v>
      </c>
      <c r="E387" s="1698"/>
      <c r="F387" s="1693"/>
      <c r="G387" s="1693"/>
      <c r="H387" s="1693"/>
      <c r="I387" s="1693"/>
      <c r="J387" s="1693"/>
      <c r="K387" s="1699">
        <v>0.94</v>
      </c>
      <c r="L387" s="1699">
        <v>0.8929999999999999</v>
      </c>
      <c r="M387" s="1699">
        <v>0.85727999999999993</v>
      </c>
      <c r="N387" s="1699">
        <v>0.79727039999999993</v>
      </c>
      <c r="O387" s="1699">
        <v>0.78132499199999994</v>
      </c>
      <c r="P387" s="1699">
        <v>0.76569849215999997</v>
      </c>
      <c r="Q387" s="1699">
        <v>0.75038452231679997</v>
      </c>
      <c r="R387" s="1699">
        <v>0.73537683187046399</v>
      </c>
      <c r="S387" s="1699">
        <v>0.72802306355175939</v>
      </c>
      <c r="T387" s="1699">
        <v>0.72074283291624175</v>
      </c>
      <c r="U387" s="1694">
        <v>0.71353540458707931</v>
      </c>
      <c r="V387" s="1685">
        <v>0.70640005054120847</v>
      </c>
    </row>
    <row r="388" spans="1:22">
      <c r="A388" s="1532"/>
      <c r="B388" s="1689"/>
      <c r="C388" s="1531"/>
      <c r="D388" s="527" t="s">
        <v>877</v>
      </c>
      <c r="E388" s="1698"/>
      <c r="F388" s="1693"/>
      <c r="G388" s="1693"/>
      <c r="H388" s="1693"/>
      <c r="I388" s="1693"/>
      <c r="J388" s="1693"/>
      <c r="K388" s="1700"/>
      <c r="L388" s="1700"/>
      <c r="M388" s="1700"/>
      <c r="N388" s="1700"/>
      <c r="O388" s="1700"/>
      <c r="P388" s="1700"/>
      <c r="Q388" s="1700"/>
      <c r="R388" s="1700"/>
      <c r="S388" s="1700"/>
      <c r="T388" s="1700"/>
      <c r="U388" s="1695"/>
      <c r="V388" s="1686"/>
    </row>
    <row r="389" spans="1:22">
      <c r="A389" s="1532"/>
      <c r="B389" s="1689"/>
      <c r="C389" s="1674" t="s">
        <v>878</v>
      </c>
      <c r="D389" s="527" t="s">
        <v>879</v>
      </c>
      <c r="E389" s="1698"/>
      <c r="F389" s="1693"/>
      <c r="G389" s="1693"/>
      <c r="H389" s="1693"/>
      <c r="I389" s="1693"/>
      <c r="J389" s="1693"/>
      <c r="K389" s="1700"/>
      <c r="L389" s="1700"/>
      <c r="M389" s="1700"/>
      <c r="N389" s="1700"/>
      <c r="O389" s="1700"/>
      <c r="P389" s="1700"/>
      <c r="Q389" s="1700"/>
      <c r="R389" s="1700"/>
      <c r="S389" s="1700"/>
      <c r="T389" s="1700"/>
      <c r="U389" s="1695"/>
      <c r="V389" s="1686"/>
    </row>
    <row r="390" spans="1:22">
      <c r="A390" s="1532"/>
      <c r="B390" s="1689"/>
      <c r="C390" s="1675"/>
      <c r="D390" s="528" t="s">
        <v>880</v>
      </c>
      <c r="E390" s="1698"/>
      <c r="F390" s="1693"/>
      <c r="G390" s="1693"/>
      <c r="H390" s="1693"/>
      <c r="I390" s="1693"/>
      <c r="J390" s="1693"/>
      <c r="K390" s="1701"/>
      <c r="L390" s="1701"/>
      <c r="M390" s="1701"/>
      <c r="N390" s="1701"/>
      <c r="O390" s="1701"/>
      <c r="P390" s="1701"/>
      <c r="Q390" s="1701"/>
      <c r="R390" s="1701"/>
      <c r="S390" s="1701"/>
      <c r="T390" s="1701"/>
      <c r="U390" s="1696"/>
      <c r="V390" s="1687"/>
    </row>
    <row r="391" spans="1:22">
      <c r="A391" s="1532"/>
      <c r="B391" s="1688" t="s">
        <v>862</v>
      </c>
      <c r="C391" s="1530" t="s">
        <v>875</v>
      </c>
      <c r="D391" s="526" t="s">
        <v>876</v>
      </c>
      <c r="E391" s="1698"/>
      <c r="F391" s="1693"/>
      <c r="G391" s="1693"/>
      <c r="H391" s="1693"/>
      <c r="I391" s="1693"/>
      <c r="J391" s="1693"/>
      <c r="K391" s="1693"/>
      <c r="L391" s="1699">
        <v>0.95</v>
      </c>
      <c r="M391" s="1699">
        <v>0.91199999999999992</v>
      </c>
      <c r="N391" s="1699">
        <v>0.84816000000000003</v>
      </c>
      <c r="O391" s="1699">
        <v>0.83119679999999996</v>
      </c>
      <c r="P391" s="1699">
        <v>0.81457286399999995</v>
      </c>
      <c r="Q391" s="1699">
        <v>0.79828140671999992</v>
      </c>
      <c r="R391" s="1699">
        <v>0.78231577858559986</v>
      </c>
      <c r="S391" s="1699">
        <v>0.7744926207997439</v>
      </c>
      <c r="T391" s="1699">
        <v>0.76674769459174641</v>
      </c>
      <c r="U391" s="1694">
        <v>0.75908021764582889</v>
      </c>
      <c r="V391" s="1685">
        <v>0.75148941546937065</v>
      </c>
    </row>
    <row r="392" spans="1:22">
      <c r="A392" s="1532"/>
      <c r="B392" s="1689"/>
      <c r="C392" s="1531"/>
      <c r="D392" s="527" t="s">
        <v>877</v>
      </c>
      <c r="E392" s="1698"/>
      <c r="F392" s="1693"/>
      <c r="G392" s="1693"/>
      <c r="H392" s="1693"/>
      <c r="I392" s="1693"/>
      <c r="J392" s="1693"/>
      <c r="K392" s="1693"/>
      <c r="L392" s="1700"/>
      <c r="M392" s="1700"/>
      <c r="N392" s="1700"/>
      <c r="O392" s="1700"/>
      <c r="P392" s="1700"/>
      <c r="Q392" s="1700"/>
      <c r="R392" s="1700"/>
      <c r="S392" s="1700"/>
      <c r="T392" s="1700"/>
      <c r="U392" s="1695"/>
      <c r="V392" s="1686"/>
    </row>
    <row r="393" spans="1:22">
      <c r="A393" s="1532"/>
      <c r="B393" s="1689"/>
      <c r="C393" s="1674" t="s">
        <v>878</v>
      </c>
      <c r="D393" s="527" t="s">
        <v>879</v>
      </c>
      <c r="E393" s="1698"/>
      <c r="F393" s="1693"/>
      <c r="G393" s="1693"/>
      <c r="H393" s="1693"/>
      <c r="I393" s="1693"/>
      <c r="J393" s="1693"/>
      <c r="K393" s="1693"/>
      <c r="L393" s="1700"/>
      <c r="M393" s="1700"/>
      <c r="N393" s="1700"/>
      <c r="O393" s="1700"/>
      <c r="P393" s="1700"/>
      <c r="Q393" s="1700"/>
      <c r="R393" s="1700"/>
      <c r="S393" s="1700"/>
      <c r="T393" s="1700"/>
      <c r="U393" s="1695"/>
      <c r="V393" s="1686"/>
    </row>
    <row r="394" spans="1:22">
      <c r="A394" s="1532"/>
      <c r="B394" s="1689"/>
      <c r="C394" s="1675"/>
      <c r="D394" s="528" t="s">
        <v>880</v>
      </c>
      <c r="E394" s="1698"/>
      <c r="F394" s="1693"/>
      <c r="G394" s="1693"/>
      <c r="H394" s="1693"/>
      <c r="I394" s="1693"/>
      <c r="J394" s="1693"/>
      <c r="K394" s="1693"/>
      <c r="L394" s="1701"/>
      <c r="M394" s="1701"/>
      <c r="N394" s="1701"/>
      <c r="O394" s="1701"/>
      <c r="P394" s="1701"/>
      <c r="Q394" s="1701"/>
      <c r="R394" s="1701"/>
      <c r="S394" s="1701"/>
      <c r="T394" s="1701"/>
      <c r="U394" s="1696"/>
      <c r="V394" s="1687"/>
    </row>
    <row r="395" spans="1:22">
      <c r="A395" s="1532"/>
      <c r="B395" s="1697" t="s">
        <v>863</v>
      </c>
      <c r="C395" s="1530" t="s">
        <v>875</v>
      </c>
      <c r="D395" s="526" t="s">
        <v>876</v>
      </c>
      <c r="E395" s="1698"/>
      <c r="F395" s="1693"/>
      <c r="G395" s="1693"/>
      <c r="H395" s="1693"/>
      <c r="I395" s="1693"/>
      <c r="J395" s="1693"/>
      <c r="K395" s="1693"/>
      <c r="L395" s="1693"/>
      <c r="M395" s="1699">
        <v>0.96</v>
      </c>
      <c r="N395" s="1699">
        <v>0.89280000000000004</v>
      </c>
      <c r="O395" s="1699">
        <v>0.87494400000000006</v>
      </c>
      <c r="P395" s="1699">
        <v>0.85744512000000006</v>
      </c>
      <c r="Q395" s="1699">
        <v>0.84029621760000006</v>
      </c>
      <c r="R395" s="1699">
        <v>0.82349029324800005</v>
      </c>
      <c r="S395" s="1699">
        <v>0.81525539031552008</v>
      </c>
      <c r="T395" s="1699">
        <v>0.80710283641236491</v>
      </c>
      <c r="U395" s="1694">
        <v>0.79903180804824125</v>
      </c>
      <c r="V395" s="1685">
        <v>0.7910414899677588</v>
      </c>
    </row>
    <row r="396" spans="1:22">
      <c r="A396" s="1532"/>
      <c r="B396" s="1689"/>
      <c r="C396" s="1531"/>
      <c r="D396" s="527" t="s">
        <v>877</v>
      </c>
      <c r="E396" s="1698"/>
      <c r="F396" s="1693"/>
      <c r="G396" s="1693"/>
      <c r="H396" s="1693"/>
      <c r="I396" s="1693"/>
      <c r="J396" s="1693"/>
      <c r="K396" s="1693"/>
      <c r="L396" s="1693"/>
      <c r="M396" s="1700"/>
      <c r="N396" s="1700"/>
      <c r="O396" s="1700"/>
      <c r="P396" s="1700"/>
      <c r="Q396" s="1700"/>
      <c r="R396" s="1700"/>
      <c r="S396" s="1700"/>
      <c r="T396" s="1700"/>
      <c r="U396" s="1695"/>
      <c r="V396" s="1686"/>
    </row>
    <row r="397" spans="1:22">
      <c r="A397" s="1532"/>
      <c r="B397" s="1689"/>
      <c r="C397" s="1674" t="s">
        <v>878</v>
      </c>
      <c r="D397" s="527" t="s">
        <v>879</v>
      </c>
      <c r="E397" s="1698"/>
      <c r="F397" s="1693"/>
      <c r="G397" s="1693"/>
      <c r="H397" s="1693"/>
      <c r="I397" s="1693"/>
      <c r="J397" s="1693"/>
      <c r="K397" s="1693"/>
      <c r="L397" s="1693"/>
      <c r="M397" s="1700"/>
      <c r="N397" s="1700"/>
      <c r="O397" s="1700"/>
      <c r="P397" s="1700"/>
      <c r="Q397" s="1700"/>
      <c r="R397" s="1700"/>
      <c r="S397" s="1700"/>
      <c r="T397" s="1700"/>
      <c r="U397" s="1695"/>
      <c r="V397" s="1686"/>
    </row>
    <row r="398" spans="1:22">
      <c r="A398" s="1532"/>
      <c r="B398" s="1689"/>
      <c r="C398" s="1675"/>
      <c r="D398" s="528" t="s">
        <v>880</v>
      </c>
      <c r="E398" s="1698"/>
      <c r="F398" s="1693"/>
      <c r="G398" s="1693"/>
      <c r="H398" s="1693"/>
      <c r="I398" s="1693"/>
      <c r="J398" s="1693"/>
      <c r="K398" s="1693"/>
      <c r="L398" s="1693"/>
      <c r="M398" s="1701"/>
      <c r="N398" s="1701"/>
      <c r="O398" s="1701"/>
      <c r="P398" s="1701"/>
      <c r="Q398" s="1701"/>
      <c r="R398" s="1701"/>
      <c r="S398" s="1701"/>
      <c r="T398" s="1701"/>
      <c r="U398" s="1696"/>
      <c r="V398" s="1687"/>
    </row>
    <row r="399" spans="1:22">
      <c r="A399" s="1532"/>
      <c r="B399" s="1697" t="s">
        <v>864</v>
      </c>
      <c r="C399" s="1530" t="s">
        <v>875</v>
      </c>
      <c r="D399" s="526" t="s">
        <v>876</v>
      </c>
      <c r="E399" s="1698"/>
      <c r="F399" s="1693"/>
      <c r="G399" s="1693"/>
      <c r="H399" s="1693"/>
      <c r="I399" s="1693"/>
      <c r="J399" s="1693"/>
      <c r="K399" s="1693"/>
      <c r="L399" s="1693"/>
      <c r="M399" s="1693"/>
      <c r="N399" s="1699">
        <v>0.93</v>
      </c>
      <c r="O399" s="1699">
        <v>0.91139999999999999</v>
      </c>
      <c r="P399" s="1699">
        <v>0.89317199999999997</v>
      </c>
      <c r="Q399" s="1699">
        <v>0.8753085599999999</v>
      </c>
      <c r="R399" s="1699">
        <v>0.85780238879999993</v>
      </c>
      <c r="S399" s="1699">
        <v>0.84922436491199993</v>
      </c>
      <c r="T399" s="1699">
        <v>0.84073212126287988</v>
      </c>
      <c r="U399" s="1694">
        <v>0.83232480005025111</v>
      </c>
      <c r="V399" s="1685">
        <v>0.82400155204974856</v>
      </c>
    </row>
    <row r="400" spans="1:22">
      <c r="A400" s="1532"/>
      <c r="B400" s="1689"/>
      <c r="C400" s="1531"/>
      <c r="D400" s="527" t="s">
        <v>877</v>
      </c>
      <c r="E400" s="1698"/>
      <c r="F400" s="1693"/>
      <c r="G400" s="1693"/>
      <c r="H400" s="1693"/>
      <c r="I400" s="1693"/>
      <c r="J400" s="1693"/>
      <c r="K400" s="1693"/>
      <c r="L400" s="1693"/>
      <c r="M400" s="1693"/>
      <c r="N400" s="1700"/>
      <c r="O400" s="1700"/>
      <c r="P400" s="1700"/>
      <c r="Q400" s="1700"/>
      <c r="R400" s="1700"/>
      <c r="S400" s="1700"/>
      <c r="T400" s="1700"/>
      <c r="U400" s="1695"/>
      <c r="V400" s="1686"/>
    </row>
    <row r="401" spans="1:22">
      <c r="A401" s="1532"/>
      <c r="B401" s="1689"/>
      <c r="C401" s="1674" t="s">
        <v>878</v>
      </c>
      <c r="D401" s="527" t="s">
        <v>879</v>
      </c>
      <c r="E401" s="1698"/>
      <c r="F401" s="1693"/>
      <c r="G401" s="1693"/>
      <c r="H401" s="1693"/>
      <c r="I401" s="1693"/>
      <c r="J401" s="1693"/>
      <c r="K401" s="1693"/>
      <c r="L401" s="1693"/>
      <c r="M401" s="1693"/>
      <c r="N401" s="1700"/>
      <c r="O401" s="1700"/>
      <c r="P401" s="1700"/>
      <c r="Q401" s="1700"/>
      <c r="R401" s="1700"/>
      <c r="S401" s="1700"/>
      <c r="T401" s="1700"/>
      <c r="U401" s="1695"/>
      <c r="V401" s="1686"/>
    </row>
    <row r="402" spans="1:22">
      <c r="A402" s="1532"/>
      <c r="B402" s="1689"/>
      <c r="C402" s="1675"/>
      <c r="D402" s="528" t="s">
        <v>880</v>
      </c>
      <c r="E402" s="1698"/>
      <c r="F402" s="1693"/>
      <c r="G402" s="1693"/>
      <c r="H402" s="1693"/>
      <c r="I402" s="1693"/>
      <c r="J402" s="1693"/>
      <c r="K402" s="1693"/>
      <c r="L402" s="1693"/>
      <c r="M402" s="1693"/>
      <c r="N402" s="1701"/>
      <c r="O402" s="1701"/>
      <c r="P402" s="1701"/>
      <c r="Q402" s="1701"/>
      <c r="R402" s="1701"/>
      <c r="S402" s="1701"/>
      <c r="T402" s="1701"/>
      <c r="U402" s="1696"/>
      <c r="V402" s="1687"/>
    </row>
    <row r="403" spans="1:22">
      <c r="A403" s="1532"/>
      <c r="B403" s="1697" t="s">
        <v>865</v>
      </c>
      <c r="C403" s="1530" t="s">
        <v>875</v>
      </c>
      <c r="D403" s="526" t="s">
        <v>876</v>
      </c>
      <c r="E403" s="1698"/>
      <c r="F403" s="1693"/>
      <c r="G403" s="1693"/>
      <c r="H403" s="1693"/>
      <c r="I403" s="1693"/>
      <c r="J403" s="1693"/>
      <c r="K403" s="1693"/>
      <c r="L403" s="1693"/>
      <c r="M403" s="1693"/>
      <c r="N403" s="1693"/>
      <c r="O403" s="1699">
        <v>0.98</v>
      </c>
      <c r="P403" s="1699">
        <v>0.96039999999999992</v>
      </c>
      <c r="Q403" s="1699">
        <v>0.94119199999999992</v>
      </c>
      <c r="R403" s="1699">
        <v>0.92236815999999988</v>
      </c>
      <c r="S403" s="1699">
        <v>0.9131444783999999</v>
      </c>
      <c r="T403" s="1699">
        <v>0.90401303361599994</v>
      </c>
      <c r="U403" s="1694">
        <v>0.89497290327983992</v>
      </c>
      <c r="V403" s="1685">
        <v>0.88602317424704147</v>
      </c>
    </row>
    <row r="404" spans="1:22">
      <c r="A404" s="1532"/>
      <c r="B404" s="1689"/>
      <c r="C404" s="1531"/>
      <c r="D404" s="527" t="s">
        <v>877</v>
      </c>
      <c r="E404" s="1698"/>
      <c r="F404" s="1693"/>
      <c r="G404" s="1693"/>
      <c r="H404" s="1693"/>
      <c r="I404" s="1693"/>
      <c r="J404" s="1693"/>
      <c r="K404" s="1693"/>
      <c r="L404" s="1693"/>
      <c r="M404" s="1693"/>
      <c r="N404" s="1693"/>
      <c r="O404" s="1700"/>
      <c r="P404" s="1700"/>
      <c r="Q404" s="1700"/>
      <c r="R404" s="1700"/>
      <c r="S404" s="1700"/>
      <c r="T404" s="1700"/>
      <c r="U404" s="1695"/>
      <c r="V404" s="1686"/>
    </row>
    <row r="405" spans="1:22">
      <c r="A405" s="1532"/>
      <c r="B405" s="1689"/>
      <c r="C405" s="1674" t="s">
        <v>878</v>
      </c>
      <c r="D405" s="527" t="s">
        <v>879</v>
      </c>
      <c r="E405" s="1698"/>
      <c r="F405" s="1693"/>
      <c r="G405" s="1693"/>
      <c r="H405" s="1693"/>
      <c r="I405" s="1693"/>
      <c r="J405" s="1693"/>
      <c r="K405" s="1693"/>
      <c r="L405" s="1693"/>
      <c r="M405" s="1693"/>
      <c r="N405" s="1693"/>
      <c r="O405" s="1700"/>
      <c r="P405" s="1700"/>
      <c r="Q405" s="1700"/>
      <c r="R405" s="1700"/>
      <c r="S405" s="1700"/>
      <c r="T405" s="1700"/>
      <c r="U405" s="1695"/>
      <c r="V405" s="1686"/>
    </row>
    <row r="406" spans="1:22">
      <c r="A406" s="1532"/>
      <c r="B406" s="1689"/>
      <c r="C406" s="1675"/>
      <c r="D406" s="528" t="s">
        <v>880</v>
      </c>
      <c r="E406" s="1698"/>
      <c r="F406" s="1693"/>
      <c r="G406" s="1693"/>
      <c r="H406" s="1693"/>
      <c r="I406" s="1693"/>
      <c r="J406" s="1693"/>
      <c r="K406" s="1693"/>
      <c r="L406" s="1693"/>
      <c r="M406" s="1693"/>
      <c r="N406" s="1693"/>
      <c r="O406" s="1701"/>
      <c r="P406" s="1701"/>
      <c r="Q406" s="1701"/>
      <c r="R406" s="1701"/>
      <c r="S406" s="1701"/>
      <c r="T406" s="1701"/>
      <c r="U406" s="1696"/>
      <c r="V406" s="1687"/>
    </row>
    <row r="407" spans="1:22">
      <c r="A407" s="1532"/>
      <c r="B407" s="1697" t="s">
        <v>866</v>
      </c>
      <c r="C407" s="1530" t="s">
        <v>875</v>
      </c>
      <c r="D407" s="526" t="s">
        <v>876</v>
      </c>
      <c r="E407" s="1698"/>
      <c r="F407" s="1693"/>
      <c r="G407" s="1693"/>
      <c r="H407" s="1693"/>
      <c r="I407" s="1693"/>
      <c r="J407" s="1693"/>
      <c r="K407" s="1693"/>
      <c r="L407" s="1693"/>
      <c r="M407" s="1693"/>
      <c r="N407" s="1693"/>
      <c r="O407" s="1693"/>
      <c r="P407" s="1699">
        <v>0.98</v>
      </c>
      <c r="Q407" s="1699">
        <v>0.96039999999999992</v>
      </c>
      <c r="R407" s="1699">
        <v>0.94119199999999992</v>
      </c>
      <c r="S407" s="1699">
        <v>0.9317800799999999</v>
      </c>
      <c r="T407" s="1699">
        <v>0.9224622791999999</v>
      </c>
      <c r="U407" s="1694">
        <v>0.91323765640799992</v>
      </c>
      <c r="V407" s="1685">
        <v>0.90410527984391986</v>
      </c>
    </row>
    <row r="408" spans="1:22">
      <c r="A408" s="1532"/>
      <c r="B408" s="1689"/>
      <c r="C408" s="1531"/>
      <c r="D408" s="527" t="s">
        <v>877</v>
      </c>
      <c r="E408" s="1698"/>
      <c r="F408" s="1693"/>
      <c r="G408" s="1693"/>
      <c r="H408" s="1693"/>
      <c r="I408" s="1693"/>
      <c r="J408" s="1693"/>
      <c r="K408" s="1693"/>
      <c r="L408" s="1693"/>
      <c r="M408" s="1693"/>
      <c r="N408" s="1693"/>
      <c r="O408" s="1693"/>
      <c r="P408" s="1700"/>
      <c r="Q408" s="1700"/>
      <c r="R408" s="1700"/>
      <c r="S408" s="1700"/>
      <c r="T408" s="1700"/>
      <c r="U408" s="1695"/>
      <c r="V408" s="1686"/>
    </row>
    <row r="409" spans="1:22">
      <c r="A409" s="1532"/>
      <c r="B409" s="1689"/>
      <c r="C409" s="1674" t="s">
        <v>878</v>
      </c>
      <c r="D409" s="527" t="s">
        <v>879</v>
      </c>
      <c r="E409" s="1698"/>
      <c r="F409" s="1693"/>
      <c r="G409" s="1693"/>
      <c r="H409" s="1693"/>
      <c r="I409" s="1693"/>
      <c r="J409" s="1693"/>
      <c r="K409" s="1693"/>
      <c r="L409" s="1693"/>
      <c r="M409" s="1693"/>
      <c r="N409" s="1693"/>
      <c r="O409" s="1693"/>
      <c r="P409" s="1700"/>
      <c r="Q409" s="1700"/>
      <c r="R409" s="1700"/>
      <c r="S409" s="1700"/>
      <c r="T409" s="1700"/>
      <c r="U409" s="1695"/>
      <c r="V409" s="1686"/>
    </row>
    <row r="410" spans="1:22">
      <c r="A410" s="1532"/>
      <c r="B410" s="1689"/>
      <c r="C410" s="1675"/>
      <c r="D410" s="528" t="s">
        <v>880</v>
      </c>
      <c r="E410" s="1698"/>
      <c r="F410" s="1693"/>
      <c r="G410" s="1693"/>
      <c r="H410" s="1693"/>
      <c r="I410" s="1693"/>
      <c r="J410" s="1693"/>
      <c r="K410" s="1693"/>
      <c r="L410" s="1693"/>
      <c r="M410" s="1693"/>
      <c r="N410" s="1693"/>
      <c r="O410" s="1693"/>
      <c r="P410" s="1701"/>
      <c r="Q410" s="1701"/>
      <c r="R410" s="1701"/>
      <c r="S410" s="1701"/>
      <c r="T410" s="1701"/>
      <c r="U410" s="1696"/>
      <c r="V410" s="1687"/>
    </row>
    <row r="411" spans="1:22">
      <c r="A411" s="1532"/>
      <c r="B411" s="1688" t="s">
        <v>867</v>
      </c>
      <c r="C411" s="1530" t="s">
        <v>875</v>
      </c>
      <c r="D411" s="526" t="s">
        <v>876</v>
      </c>
      <c r="E411" s="1698"/>
      <c r="F411" s="1693"/>
      <c r="G411" s="1693"/>
      <c r="H411" s="1693"/>
      <c r="I411" s="1693"/>
      <c r="J411" s="1693"/>
      <c r="K411" s="1693"/>
      <c r="L411" s="1693"/>
      <c r="M411" s="1693"/>
      <c r="N411" s="1693"/>
      <c r="O411" s="1693"/>
      <c r="P411" s="1693"/>
      <c r="Q411" s="1699">
        <v>0.98</v>
      </c>
      <c r="R411" s="1699">
        <v>0.96039999999999992</v>
      </c>
      <c r="S411" s="1699">
        <v>0.95079599999999986</v>
      </c>
      <c r="T411" s="1699">
        <v>0.94128803999999988</v>
      </c>
      <c r="U411" s="1694">
        <v>0.93187515959999989</v>
      </c>
      <c r="V411" s="1685">
        <v>0.92255640800399985</v>
      </c>
    </row>
    <row r="412" spans="1:22">
      <c r="A412" s="1532"/>
      <c r="B412" s="1689"/>
      <c r="C412" s="1531"/>
      <c r="D412" s="527" t="s">
        <v>877</v>
      </c>
      <c r="E412" s="1698"/>
      <c r="F412" s="1693"/>
      <c r="G412" s="1693"/>
      <c r="H412" s="1693"/>
      <c r="I412" s="1693"/>
      <c r="J412" s="1693"/>
      <c r="K412" s="1693"/>
      <c r="L412" s="1693"/>
      <c r="M412" s="1693"/>
      <c r="N412" s="1693"/>
      <c r="O412" s="1693"/>
      <c r="P412" s="1693"/>
      <c r="Q412" s="1700"/>
      <c r="R412" s="1700"/>
      <c r="S412" s="1700"/>
      <c r="T412" s="1700"/>
      <c r="U412" s="1695"/>
      <c r="V412" s="1686"/>
    </row>
    <row r="413" spans="1:22">
      <c r="A413" s="1532"/>
      <c r="B413" s="1689"/>
      <c r="C413" s="1674" t="s">
        <v>878</v>
      </c>
      <c r="D413" s="527" t="s">
        <v>879</v>
      </c>
      <c r="E413" s="1698"/>
      <c r="F413" s="1693"/>
      <c r="G413" s="1693"/>
      <c r="H413" s="1693"/>
      <c r="I413" s="1693"/>
      <c r="J413" s="1693"/>
      <c r="K413" s="1693"/>
      <c r="L413" s="1693"/>
      <c r="M413" s="1693"/>
      <c r="N413" s="1693"/>
      <c r="O413" s="1693"/>
      <c r="P413" s="1693"/>
      <c r="Q413" s="1700"/>
      <c r="R413" s="1700"/>
      <c r="S413" s="1700"/>
      <c r="T413" s="1700"/>
      <c r="U413" s="1695"/>
      <c r="V413" s="1686"/>
    </row>
    <row r="414" spans="1:22">
      <c r="A414" s="1532"/>
      <c r="B414" s="1689"/>
      <c r="C414" s="1675"/>
      <c r="D414" s="528" t="s">
        <v>880</v>
      </c>
      <c r="E414" s="1698"/>
      <c r="F414" s="1693"/>
      <c r="G414" s="1693"/>
      <c r="H414" s="1693"/>
      <c r="I414" s="1693"/>
      <c r="J414" s="1693"/>
      <c r="K414" s="1693"/>
      <c r="L414" s="1693"/>
      <c r="M414" s="1693"/>
      <c r="N414" s="1693"/>
      <c r="O414" s="1693"/>
      <c r="P414" s="1693"/>
      <c r="Q414" s="1701"/>
      <c r="R414" s="1701"/>
      <c r="S414" s="1701"/>
      <c r="T414" s="1701"/>
      <c r="U414" s="1696"/>
      <c r="V414" s="1687"/>
    </row>
    <row r="415" spans="1:22">
      <c r="A415" s="1532"/>
      <c r="B415" s="1688" t="s">
        <v>868</v>
      </c>
      <c r="C415" s="1530" t="s">
        <v>875</v>
      </c>
      <c r="D415" s="526" t="s">
        <v>876</v>
      </c>
      <c r="E415" s="1698"/>
      <c r="F415" s="1693"/>
      <c r="G415" s="1693"/>
      <c r="H415" s="1693"/>
      <c r="I415" s="1693"/>
      <c r="J415" s="1693"/>
      <c r="K415" s="1693"/>
      <c r="L415" s="1693"/>
      <c r="M415" s="1693"/>
      <c r="N415" s="1693"/>
      <c r="O415" s="1693"/>
      <c r="P415" s="1693"/>
      <c r="Q415" s="1693"/>
      <c r="R415" s="1699">
        <v>0.98</v>
      </c>
      <c r="S415" s="1699">
        <v>0.97019999999999995</v>
      </c>
      <c r="T415" s="1699">
        <v>0.96049799999999996</v>
      </c>
      <c r="U415" s="1694">
        <v>0.95089301999999998</v>
      </c>
      <c r="V415" s="1685">
        <v>0.94138408979999999</v>
      </c>
    </row>
    <row r="416" spans="1:22">
      <c r="A416" s="1532"/>
      <c r="B416" s="1689"/>
      <c r="C416" s="1531"/>
      <c r="D416" s="527" t="s">
        <v>877</v>
      </c>
      <c r="E416" s="1698"/>
      <c r="F416" s="1693"/>
      <c r="G416" s="1693"/>
      <c r="H416" s="1693"/>
      <c r="I416" s="1693"/>
      <c r="J416" s="1693"/>
      <c r="K416" s="1693"/>
      <c r="L416" s="1693"/>
      <c r="M416" s="1693"/>
      <c r="N416" s="1693"/>
      <c r="O416" s="1693"/>
      <c r="P416" s="1693"/>
      <c r="Q416" s="1693"/>
      <c r="R416" s="1700"/>
      <c r="S416" s="1700"/>
      <c r="T416" s="1700"/>
      <c r="U416" s="1695"/>
      <c r="V416" s="1686"/>
    </row>
    <row r="417" spans="1:22">
      <c r="A417" s="1532"/>
      <c r="B417" s="1689"/>
      <c r="C417" s="1674" t="s">
        <v>878</v>
      </c>
      <c r="D417" s="527" t="s">
        <v>879</v>
      </c>
      <c r="E417" s="1698"/>
      <c r="F417" s="1693"/>
      <c r="G417" s="1693"/>
      <c r="H417" s="1693"/>
      <c r="I417" s="1693"/>
      <c r="J417" s="1693"/>
      <c r="K417" s="1693"/>
      <c r="L417" s="1693"/>
      <c r="M417" s="1693"/>
      <c r="N417" s="1693"/>
      <c r="O417" s="1693"/>
      <c r="P417" s="1693"/>
      <c r="Q417" s="1693"/>
      <c r="R417" s="1700"/>
      <c r="S417" s="1700"/>
      <c r="T417" s="1700"/>
      <c r="U417" s="1695"/>
      <c r="V417" s="1686"/>
    </row>
    <row r="418" spans="1:22">
      <c r="A418" s="1532"/>
      <c r="B418" s="1689"/>
      <c r="C418" s="1675"/>
      <c r="D418" s="528" t="s">
        <v>880</v>
      </c>
      <c r="E418" s="1698"/>
      <c r="F418" s="1693"/>
      <c r="G418" s="1693"/>
      <c r="H418" s="1693"/>
      <c r="I418" s="1693"/>
      <c r="J418" s="1693"/>
      <c r="K418" s="1693"/>
      <c r="L418" s="1693"/>
      <c r="M418" s="1693"/>
      <c r="N418" s="1693"/>
      <c r="O418" s="1693"/>
      <c r="P418" s="1693"/>
      <c r="Q418" s="1693"/>
      <c r="R418" s="1701"/>
      <c r="S418" s="1701"/>
      <c r="T418" s="1701"/>
      <c r="U418" s="1696"/>
      <c r="V418" s="1687"/>
    </row>
    <row r="419" spans="1:22">
      <c r="A419" s="1532"/>
      <c r="B419" s="1697" t="s">
        <v>869</v>
      </c>
      <c r="C419" s="1530" t="s">
        <v>875</v>
      </c>
      <c r="D419" s="526" t="s">
        <v>876</v>
      </c>
      <c r="E419" s="1698"/>
      <c r="F419" s="1693"/>
      <c r="G419" s="1693"/>
      <c r="H419" s="1693"/>
      <c r="I419" s="1693"/>
      <c r="J419" s="1693"/>
      <c r="K419" s="1693"/>
      <c r="L419" s="1693"/>
      <c r="M419" s="1693"/>
      <c r="N419" s="1693"/>
      <c r="O419" s="1693"/>
      <c r="P419" s="1693"/>
      <c r="Q419" s="1693"/>
      <c r="R419" s="1693"/>
      <c r="S419" s="1699">
        <v>0.99</v>
      </c>
      <c r="T419" s="1699">
        <v>0.98009999999999997</v>
      </c>
      <c r="U419" s="1694">
        <v>0.97029899999999991</v>
      </c>
      <c r="V419" s="1685">
        <v>0.96059600999999994</v>
      </c>
    </row>
    <row r="420" spans="1:22">
      <c r="A420" s="1532"/>
      <c r="B420" s="1689"/>
      <c r="C420" s="1531"/>
      <c r="D420" s="527" t="s">
        <v>877</v>
      </c>
      <c r="E420" s="1698"/>
      <c r="F420" s="1693"/>
      <c r="G420" s="1693"/>
      <c r="H420" s="1693"/>
      <c r="I420" s="1693"/>
      <c r="J420" s="1693"/>
      <c r="K420" s="1693"/>
      <c r="L420" s="1693"/>
      <c r="M420" s="1693"/>
      <c r="N420" s="1693"/>
      <c r="O420" s="1693"/>
      <c r="P420" s="1693"/>
      <c r="Q420" s="1693"/>
      <c r="R420" s="1693"/>
      <c r="S420" s="1700"/>
      <c r="T420" s="1700"/>
      <c r="U420" s="1695"/>
      <c r="V420" s="1686"/>
    </row>
    <row r="421" spans="1:22">
      <c r="A421" s="1532"/>
      <c r="B421" s="1689"/>
      <c r="C421" s="1674" t="s">
        <v>878</v>
      </c>
      <c r="D421" s="527" t="s">
        <v>879</v>
      </c>
      <c r="E421" s="1698"/>
      <c r="F421" s="1693"/>
      <c r="G421" s="1693"/>
      <c r="H421" s="1693"/>
      <c r="I421" s="1693"/>
      <c r="J421" s="1693"/>
      <c r="K421" s="1693"/>
      <c r="L421" s="1693"/>
      <c r="M421" s="1693"/>
      <c r="N421" s="1693"/>
      <c r="O421" s="1693"/>
      <c r="P421" s="1693"/>
      <c r="Q421" s="1693"/>
      <c r="R421" s="1693"/>
      <c r="S421" s="1700"/>
      <c r="T421" s="1700"/>
      <c r="U421" s="1695"/>
      <c r="V421" s="1686"/>
    </row>
    <row r="422" spans="1:22">
      <c r="A422" s="1532"/>
      <c r="B422" s="1689"/>
      <c r="C422" s="1675"/>
      <c r="D422" s="528" t="s">
        <v>880</v>
      </c>
      <c r="E422" s="1698"/>
      <c r="F422" s="1693"/>
      <c r="G422" s="1693"/>
      <c r="H422" s="1693"/>
      <c r="I422" s="1693"/>
      <c r="J422" s="1693"/>
      <c r="K422" s="1693"/>
      <c r="L422" s="1693"/>
      <c r="M422" s="1693"/>
      <c r="N422" s="1693"/>
      <c r="O422" s="1693"/>
      <c r="P422" s="1693"/>
      <c r="Q422" s="1693"/>
      <c r="R422" s="1693"/>
      <c r="S422" s="1701"/>
      <c r="T422" s="1701"/>
      <c r="U422" s="1696"/>
      <c r="V422" s="1687"/>
    </row>
    <row r="423" spans="1:22">
      <c r="A423" s="1532"/>
      <c r="B423" s="1697" t="s">
        <v>870</v>
      </c>
      <c r="C423" s="1530" t="s">
        <v>875</v>
      </c>
      <c r="D423" s="526" t="s">
        <v>876</v>
      </c>
      <c r="E423" s="1698"/>
      <c r="F423" s="1693"/>
      <c r="G423" s="1693"/>
      <c r="H423" s="1693"/>
      <c r="I423" s="1693"/>
      <c r="J423" s="1693"/>
      <c r="K423" s="1693"/>
      <c r="L423" s="1693"/>
      <c r="M423" s="1693"/>
      <c r="N423" s="1693"/>
      <c r="O423" s="1693"/>
      <c r="P423" s="1693"/>
      <c r="Q423" s="1693"/>
      <c r="R423" s="1693"/>
      <c r="S423" s="1693"/>
      <c r="T423" s="1699">
        <v>0.99</v>
      </c>
      <c r="U423" s="1694">
        <v>0.98009999999999997</v>
      </c>
      <c r="V423" s="1685">
        <v>0.97029899999999991</v>
      </c>
    </row>
    <row r="424" spans="1:22">
      <c r="A424" s="1532"/>
      <c r="B424" s="1689"/>
      <c r="C424" s="1531"/>
      <c r="D424" s="527" t="s">
        <v>877</v>
      </c>
      <c r="E424" s="1698"/>
      <c r="F424" s="1693"/>
      <c r="G424" s="1693"/>
      <c r="H424" s="1693"/>
      <c r="I424" s="1693"/>
      <c r="J424" s="1693"/>
      <c r="K424" s="1693"/>
      <c r="L424" s="1693"/>
      <c r="M424" s="1693"/>
      <c r="N424" s="1693"/>
      <c r="O424" s="1693"/>
      <c r="P424" s="1693"/>
      <c r="Q424" s="1693"/>
      <c r="R424" s="1693"/>
      <c r="S424" s="1693"/>
      <c r="T424" s="1700"/>
      <c r="U424" s="1695"/>
      <c r="V424" s="1686"/>
    </row>
    <row r="425" spans="1:22">
      <c r="A425" s="1532"/>
      <c r="B425" s="1689"/>
      <c r="C425" s="1674" t="s">
        <v>878</v>
      </c>
      <c r="D425" s="527" t="s">
        <v>879</v>
      </c>
      <c r="E425" s="1698"/>
      <c r="F425" s="1693"/>
      <c r="G425" s="1693"/>
      <c r="H425" s="1693"/>
      <c r="I425" s="1693"/>
      <c r="J425" s="1693"/>
      <c r="K425" s="1693"/>
      <c r="L425" s="1693"/>
      <c r="M425" s="1693"/>
      <c r="N425" s="1693"/>
      <c r="O425" s="1693"/>
      <c r="P425" s="1693"/>
      <c r="Q425" s="1693"/>
      <c r="R425" s="1693"/>
      <c r="S425" s="1693"/>
      <c r="T425" s="1700"/>
      <c r="U425" s="1695"/>
      <c r="V425" s="1686"/>
    </row>
    <row r="426" spans="1:22">
      <c r="A426" s="1532"/>
      <c r="B426" s="1689"/>
      <c r="C426" s="1675"/>
      <c r="D426" s="528" t="s">
        <v>880</v>
      </c>
      <c r="E426" s="1698"/>
      <c r="F426" s="1693"/>
      <c r="G426" s="1693"/>
      <c r="H426" s="1693"/>
      <c r="I426" s="1693"/>
      <c r="J426" s="1693"/>
      <c r="K426" s="1693"/>
      <c r="L426" s="1693"/>
      <c r="M426" s="1693"/>
      <c r="N426" s="1693"/>
      <c r="O426" s="1693"/>
      <c r="P426" s="1693"/>
      <c r="Q426" s="1693"/>
      <c r="R426" s="1693"/>
      <c r="S426" s="1693"/>
      <c r="T426" s="1701"/>
      <c r="U426" s="1696"/>
      <c r="V426" s="1687"/>
    </row>
    <row r="427" spans="1:22">
      <c r="A427" s="1532"/>
      <c r="B427" s="1697" t="s">
        <v>871</v>
      </c>
      <c r="C427" s="1530" t="s">
        <v>875</v>
      </c>
      <c r="D427" s="526" t="s">
        <v>876</v>
      </c>
      <c r="E427" s="1698"/>
      <c r="F427" s="1693"/>
      <c r="G427" s="1693"/>
      <c r="H427" s="1693"/>
      <c r="I427" s="1693"/>
      <c r="J427" s="1693"/>
      <c r="K427" s="1693"/>
      <c r="L427" s="1693"/>
      <c r="M427" s="1693"/>
      <c r="N427" s="1693"/>
      <c r="O427" s="1693"/>
      <c r="P427" s="1693"/>
      <c r="Q427" s="1693"/>
      <c r="R427" s="1693"/>
      <c r="S427" s="1693"/>
      <c r="T427" s="1693"/>
      <c r="U427" s="1694">
        <v>0.99</v>
      </c>
      <c r="V427" s="1685">
        <v>0.98009999999999997</v>
      </c>
    </row>
    <row r="428" spans="1:22">
      <c r="A428" s="1532"/>
      <c r="B428" s="1689"/>
      <c r="C428" s="1531"/>
      <c r="D428" s="527" t="s">
        <v>877</v>
      </c>
      <c r="E428" s="1698"/>
      <c r="F428" s="1693"/>
      <c r="G428" s="1693"/>
      <c r="H428" s="1693"/>
      <c r="I428" s="1693"/>
      <c r="J428" s="1693"/>
      <c r="K428" s="1693"/>
      <c r="L428" s="1693"/>
      <c r="M428" s="1693"/>
      <c r="N428" s="1693"/>
      <c r="O428" s="1693"/>
      <c r="P428" s="1693"/>
      <c r="Q428" s="1693"/>
      <c r="R428" s="1693"/>
      <c r="S428" s="1693"/>
      <c r="T428" s="1693"/>
      <c r="U428" s="1695"/>
      <c r="V428" s="1686"/>
    </row>
    <row r="429" spans="1:22">
      <c r="A429" s="1532"/>
      <c r="B429" s="1689"/>
      <c r="C429" s="1674" t="s">
        <v>878</v>
      </c>
      <c r="D429" s="527" t="s">
        <v>879</v>
      </c>
      <c r="E429" s="1698"/>
      <c r="F429" s="1693"/>
      <c r="G429" s="1693"/>
      <c r="H429" s="1693"/>
      <c r="I429" s="1693"/>
      <c r="J429" s="1693"/>
      <c r="K429" s="1693"/>
      <c r="L429" s="1693"/>
      <c r="M429" s="1693"/>
      <c r="N429" s="1693"/>
      <c r="O429" s="1693"/>
      <c r="P429" s="1693"/>
      <c r="Q429" s="1693"/>
      <c r="R429" s="1693"/>
      <c r="S429" s="1693"/>
      <c r="T429" s="1693"/>
      <c r="U429" s="1695"/>
      <c r="V429" s="1686"/>
    </row>
    <row r="430" spans="1:22">
      <c r="A430" s="1532"/>
      <c r="B430" s="1689"/>
      <c r="C430" s="1675"/>
      <c r="D430" s="528" t="s">
        <v>880</v>
      </c>
      <c r="E430" s="1698"/>
      <c r="F430" s="1693"/>
      <c r="G430" s="1693"/>
      <c r="H430" s="1693"/>
      <c r="I430" s="1693"/>
      <c r="J430" s="1693"/>
      <c r="K430" s="1693"/>
      <c r="L430" s="1693"/>
      <c r="M430" s="1693"/>
      <c r="N430" s="1693"/>
      <c r="O430" s="1693"/>
      <c r="P430" s="1693"/>
      <c r="Q430" s="1693"/>
      <c r="R430" s="1693"/>
      <c r="S430" s="1693"/>
      <c r="T430" s="1693"/>
      <c r="U430" s="1696"/>
      <c r="V430" s="1687"/>
    </row>
    <row r="431" spans="1:22">
      <c r="A431" s="1532"/>
      <c r="B431" s="1697" t="s">
        <v>872</v>
      </c>
      <c r="C431" s="1530" t="s">
        <v>875</v>
      </c>
      <c r="D431" s="526" t="s">
        <v>876</v>
      </c>
      <c r="E431" s="1690"/>
      <c r="F431" s="1676"/>
      <c r="G431" s="1676"/>
      <c r="H431" s="1676"/>
      <c r="I431" s="1676"/>
      <c r="J431" s="1676"/>
      <c r="K431" s="1676"/>
      <c r="L431" s="1676"/>
      <c r="M431" s="1676"/>
      <c r="N431" s="1676"/>
      <c r="O431" s="1676"/>
      <c r="P431" s="1676"/>
      <c r="Q431" s="1676"/>
      <c r="R431" s="1676"/>
      <c r="S431" s="1676"/>
      <c r="T431" s="1676"/>
      <c r="U431" s="1693"/>
      <c r="V431" s="1685">
        <v>0.99</v>
      </c>
    </row>
    <row r="432" spans="1:22">
      <c r="A432" s="1532"/>
      <c r="B432" s="1689"/>
      <c r="C432" s="1531"/>
      <c r="D432" s="527" t="s">
        <v>877</v>
      </c>
      <c r="E432" s="1691"/>
      <c r="F432" s="1677"/>
      <c r="G432" s="1677"/>
      <c r="H432" s="1677"/>
      <c r="I432" s="1677"/>
      <c r="J432" s="1677"/>
      <c r="K432" s="1677"/>
      <c r="L432" s="1677"/>
      <c r="M432" s="1677"/>
      <c r="N432" s="1677"/>
      <c r="O432" s="1677"/>
      <c r="P432" s="1677"/>
      <c r="Q432" s="1677"/>
      <c r="R432" s="1677"/>
      <c r="S432" s="1677"/>
      <c r="T432" s="1677"/>
      <c r="U432" s="1693"/>
      <c r="V432" s="1686"/>
    </row>
    <row r="433" spans="1:22">
      <c r="A433" s="1532"/>
      <c r="B433" s="1689"/>
      <c r="C433" s="1674" t="s">
        <v>878</v>
      </c>
      <c r="D433" s="527" t="s">
        <v>879</v>
      </c>
      <c r="E433" s="1691"/>
      <c r="F433" s="1677"/>
      <c r="G433" s="1677"/>
      <c r="H433" s="1677"/>
      <c r="I433" s="1677"/>
      <c r="J433" s="1677"/>
      <c r="K433" s="1677"/>
      <c r="L433" s="1677"/>
      <c r="M433" s="1677"/>
      <c r="N433" s="1677"/>
      <c r="O433" s="1677"/>
      <c r="P433" s="1677"/>
      <c r="Q433" s="1677"/>
      <c r="R433" s="1677"/>
      <c r="S433" s="1677"/>
      <c r="T433" s="1677"/>
      <c r="U433" s="1693"/>
      <c r="V433" s="1686"/>
    </row>
    <row r="434" spans="1:22">
      <c r="A434" s="1532"/>
      <c r="B434" s="1689"/>
      <c r="C434" s="1675"/>
      <c r="D434" s="528" t="s">
        <v>880</v>
      </c>
      <c r="E434" s="1692"/>
      <c r="F434" s="1678"/>
      <c r="G434" s="1678"/>
      <c r="H434" s="1678"/>
      <c r="I434" s="1678"/>
      <c r="J434" s="1678"/>
      <c r="K434" s="1678"/>
      <c r="L434" s="1678"/>
      <c r="M434" s="1678"/>
      <c r="N434" s="1678"/>
      <c r="O434" s="1678"/>
      <c r="P434" s="1678"/>
      <c r="Q434" s="1678"/>
      <c r="R434" s="1678"/>
      <c r="S434" s="1678"/>
      <c r="T434" s="1678"/>
      <c r="U434" s="1693"/>
      <c r="V434" s="1687"/>
    </row>
    <row r="435" spans="1:22">
      <c r="A435" s="1532"/>
      <c r="B435" s="1688" t="s">
        <v>873</v>
      </c>
      <c r="C435" s="1530" t="s">
        <v>875</v>
      </c>
      <c r="D435" s="526" t="s">
        <v>876</v>
      </c>
      <c r="E435" s="1690"/>
      <c r="F435" s="1676"/>
      <c r="G435" s="1676"/>
      <c r="H435" s="1676"/>
      <c r="I435" s="1676"/>
      <c r="J435" s="1676"/>
      <c r="K435" s="1676"/>
      <c r="L435" s="1676"/>
      <c r="M435" s="1676"/>
      <c r="N435" s="1676"/>
      <c r="O435" s="1676"/>
      <c r="P435" s="1676"/>
      <c r="Q435" s="1676"/>
      <c r="R435" s="1676"/>
      <c r="S435" s="1676"/>
      <c r="T435" s="1676"/>
      <c r="U435" s="1679"/>
      <c r="V435" s="1682"/>
    </row>
    <row r="436" spans="1:22">
      <c r="A436" s="1532"/>
      <c r="B436" s="1689"/>
      <c r="C436" s="1531"/>
      <c r="D436" s="527" t="s">
        <v>877</v>
      </c>
      <c r="E436" s="1691"/>
      <c r="F436" s="1677"/>
      <c r="G436" s="1677"/>
      <c r="H436" s="1677"/>
      <c r="I436" s="1677"/>
      <c r="J436" s="1677"/>
      <c r="K436" s="1677"/>
      <c r="L436" s="1677"/>
      <c r="M436" s="1677"/>
      <c r="N436" s="1677"/>
      <c r="O436" s="1677"/>
      <c r="P436" s="1677"/>
      <c r="Q436" s="1677"/>
      <c r="R436" s="1677"/>
      <c r="S436" s="1677"/>
      <c r="T436" s="1677"/>
      <c r="U436" s="1680"/>
      <c r="V436" s="1683"/>
    </row>
    <row r="437" spans="1:22">
      <c r="A437" s="1532"/>
      <c r="B437" s="1689"/>
      <c r="C437" s="1674" t="s">
        <v>878</v>
      </c>
      <c r="D437" s="527" t="s">
        <v>879</v>
      </c>
      <c r="E437" s="1691"/>
      <c r="F437" s="1677"/>
      <c r="G437" s="1677"/>
      <c r="H437" s="1677"/>
      <c r="I437" s="1677"/>
      <c r="J437" s="1677"/>
      <c r="K437" s="1677"/>
      <c r="L437" s="1677"/>
      <c r="M437" s="1677"/>
      <c r="N437" s="1677"/>
      <c r="O437" s="1677"/>
      <c r="P437" s="1677"/>
      <c r="Q437" s="1677"/>
      <c r="R437" s="1677"/>
      <c r="S437" s="1677"/>
      <c r="T437" s="1677"/>
      <c r="U437" s="1680"/>
      <c r="V437" s="1683"/>
    </row>
    <row r="438" spans="1:22">
      <c r="A438" s="1525"/>
      <c r="B438" s="1689"/>
      <c r="C438" s="1675"/>
      <c r="D438" s="528" t="s">
        <v>880</v>
      </c>
      <c r="E438" s="1692"/>
      <c r="F438" s="1678"/>
      <c r="G438" s="1678"/>
      <c r="H438" s="1678"/>
      <c r="I438" s="1678"/>
      <c r="J438" s="1678"/>
      <c r="K438" s="1678"/>
      <c r="L438" s="1678"/>
      <c r="M438" s="1678"/>
      <c r="N438" s="1678"/>
      <c r="O438" s="1678"/>
      <c r="P438" s="1678"/>
      <c r="Q438" s="1678"/>
      <c r="R438" s="1678"/>
      <c r="S438" s="1678"/>
      <c r="T438" s="1678"/>
      <c r="U438" s="1681"/>
      <c r="V438" s="1684"/>
    </row>
    <row r="439" spans="1:22">
      <c r="A439" s="1524" t="s">
        <v>231</v>
      </c>
      <c r="B439" s="1688" t="s">
        <v>881</v>
      </c>
      <c r="C439" s="1530" t="s">
        <v>875</v>
      </c>
      <c r="D439" s="526" t="s">
        <v>876</v>
      </c>
      <c r="E439" s="1690"/>
      <c r="F439" s="1699">
        <v>0.61</v>
      </c>
      <c r="G439" s="1699">
        <v>0.4819</v>
      </c>
      <c r="H439" s="1699">
        <v>0.41925299999999999</v>
      </c>
      <c r="I439" s="1699">
        <v>0.40248287999999999</v>
      </c>
      <c r="J439" s="1699">
        <v>0.3702842496</v>
      </c>
      <c r="K439" s="1699">
        <v>0.34806719462399999</v>
      </c>
      <c r="L439" s="1699">
        <v>0.33066383489279999</v>
      </c>
      <c r="M439" s="1699">
        <v>0.317437281497088</v>
      </c>
      <c r="N439" s="1699">
        <v>0.29521667179229183</v>
      </c>
      <c r="O439" s="1699">
        <v>0.28931233835644599</v>
      </c>
      <c r="P439" s="1699">
        <v>0.28352609158931708</v>
      </c>
      <c r="Q439" s="1699">
        <v>0.27785556975753073</v>
      </c>
      <c r="R439" s="1699">
        <v>0.27507701405995544</v>
      </c>
      <c r="S439" s="1699">
        <v>0.27232624391935589</v>
      </c>
      <c r="T439" s="1699">
        <v>0.26960298148016232</v>
      </c>
      <c r="U439" s="1694">
        <v>0.26690695166536071</v>
      </c>
      <c r="V439" s="1685">
        <v>0.26423788214870708</v>
      </c>
    </row>
    <row r="440" spans="1:22">
      <c r="A440" s="1532"/>
      <c r="B440" s="1689"/>
      <c r="C440" s="1531"/>
      <c r="D440" s="527" t="s">
        <v>877</v>
      </c>
      <c r="E440" s="1691"/>
      <c r="F440" s="1700"/>
      <c r="G440" s="1700"/>
      <c r="H440" s="1700"/>
      <c r="I440" s="1700"/>
      <c r="J440" s="1700"/>
      <c r="K440" s="1700"/>
      <c r="L440" s="1700"/>
      <c r="M440" s="1700"/>
      <c r="N440" s="1700"/>
      <c r="O440" s="1700"/>
      <c r="P440" s="1700"/>
      <c r="Q440" s="1700"/>
      <c r="R440" s="1700"/>
      <c r="S440" s="1700"/>
      <c r="T440" s="1700"/>
      <c r="U440" s="1695"/>
      <c r="V440" s="1686"/>
    </row>
    <row r="441" spans="1:22">
      <c r="A441" s="1532"/>
      <c r="B441" s="1689"/>
      <c r="C441" s="1674" t="s">
        <v>878</v>
      </c>
      <c r="D441" s="527" t="s">
        <v>879</v>
      </c>
      <c r="E441" s="1691"/>
      <c r="F441" s="1700"/>
      <c r="G441" s="1700"/>
      <c r="H441" s="1700"/>
      <c r="I441" s="1700"/>
      <c r="J441" s="1700"/>
      <c r="K441" s="1700"/>
      <c r="L441" s="1700"/>
      <c r="M441" s="1700"/>
      <c r="N441" s="1700"/>
      <c r="O441" s="1700"/>
      <c r="P441" s="1700"/>
      <c r="Q441" s="1700"/>
      <c r="R441" s="1700"/>
      <c r="S441" s="1700"/>
      <c r="T441" s="1700"/>
      <c r="U441" s="1695"/>
      <c r="V441" s="1686"/>
    </row>
    <row r="442" spans="1:22">
      <c r="A442" s="1532"/>
      <c r="B442" s="1689"/>
      <c r="C442" s="1675"/>
      <c r="D442" s="528" t="s">
        <v>880</v>
      </c>
      <c r="E442" s="1692"/>
      <c r="F442" s="1701"/>
      <c r="G442" s="1701"/>
      <c r="H442" s="1701"/>
      <c r="I442" s="1701"/>
      <c r="J442" s="1701"/>
      <c r="K442" s="1701"/>
      <c r="L442" s="1701"/>
      <c r="M442" s="1701"/>
      <c r="N442" s="1701"/>
      <c r="O442" s="1701"/>
      <c r="P442" s="1701"/>
      <c r="Q442" s="1701"/>
      <c r="R442" s="1701"/>
      <c r="S442" s="1701"/>
      <c r="T442" s="1701"/>
      <c r="U442" s="1696"/>
      <c r="V442" s="1687"/>
    </row>
    <row r="443" spans="1:22">
      <c r="A443" s="1532"/>
      <c r="B443" s="1688" t="s">
        <v>857</v>
      </c>
      <c r="C443" s="1530" t="s">
        <v>875</v>
      </c>
      <c r="D443" s="526" t="s">
        <v>876</v>
      </c>
      <c r="E443" s="1698"/>
      <c r="F443" s="1693"/>
      <c r="G443" s="1699">
        <v>0.79</v>
      </c>
      <c r="H443" s="1699">
        <v>0.68730000000000002</v>
      </c>
      <c r="I443" s="1699">
        <v>0.65980799999999995</v>
      </c>
      <c r="J443" s="1699">
        <v>0.60702336000000001</v>
      </c>
      <c r="K443" s="1699">
        <v>0.57060195839999994</v>
      </c>
      <c r="L443" s="1699">
        <v>0.54207186047999989</v>
      </c>
      <c r="M443" s="1699">
        <v>0.52038898606079986</v>
      </c>
      <c r="N443" s="1699">
        <v>0.48396175703654387</v>
      </c>
      <c r="O443" s="1699">
        <v>0.47428252189581299</v>
      </c>
      <c r="P443" s="1699">
        <v>0.46479687145789672</v>
      </c>
      <c r="Q443" s="1699">
        <v>0.45550093402873876</v>
      </c>
      <c r="R443" s="1699">
        <v>0.45094592468845135</v>
      </c>
      <c r="S443" s="1699">
        <v>0.44643646544156684</v>
      </c>
      <c r="T443" s="1699">
        <v>0.44197210078715116</v>
      </c>
      <c r="U443" s="1694">
        <v>0.43755237977927963</v>
      </c>
      <c r="V443" s="1685">
        <v>0.43317685598148681</v>
      </c>
    </row>
    <row r="444" spans="1:22">
      <c r="A444" s="1532"/>
      <c r="B444" s="1689"/>
      <c r="C444" s="1531"/>
      <c r="D444" s="527" t="s">
        <v>877</v>
      </c>
      <c r="E444" s="1698"/>
      <c r="F444" s="1693"/>
      <c r="G444" s="1700"/>
      <c r="H444" s="1700"/>
      <c r="I444" s="1700"/>
      <c r="J444" s="1700"/>
      <c r="K444" s="1700"/>
      <c r="L444" s="1700"/>
      <c r="M444" s="1700"/>
      <c r="N444" s="1700"/>
      <c r="O444" s="1700"/>
      <c r="P444" s="1700"/>
      <c r="Q444" s="1700"/>
      <c r="R444" s="1700"/>
      <c r="S444" s="1700"/>
      <c r="T444" s="1700"/>
      <c r="U444" s="1695"/>
      <c r="V444" s="1686"/>
    </row>
    <row r="445" spans="1:22">
      <c r="A445" s="1532"/>
      <c r="B445" s="1689"/>
      <c r="C445" s="1674" t="s">
        <v>878</v>
      </c>
      <c r="D445" s="527" t="s">
        <v>879</v>
      </c>
      <c r="E445" s="1698"/>
      <c r="F445" s="1693"/>
      <c r="G445" s="1700"/>
      <c r="H445" s="1700"/>
      <c r="I445" s="1700"/>
      <c r="J445" s="1700"/>
      <c r="K445" s="1700"/>
      <c r="L445" s="1700"/>
      <c r="M445" s="1700"/>
      <c r="N445" s="1700"/>
      <c r="O445" s="1700"/>
      <c r="P445" s="1700"/>
      <c r="Q445" s="1700"/>
      <c r="R445" s="1700"/>
      <c r="S445" s="1700"/>
      <c r="T445" s="1700"/>
      <c r="U445" s="1695"/>
      <c r="V445" s="1686"/>
    </row>
    <row r="446" spans="1:22">
      <c r="A446" s="1532"/>
      <c r="B446" s="1689"/>
      <c r="C446" s="1675"/>
      <c r="D446" s="528" t="s">
        <v>880</v>
      </c>
      <c r="E446" s="1698"/>
      <c r="F446" s="1693"/>
      <c r="G446" s="1701"/>
      <c r="H446" s="1701"/>
      <c r="I446" s="1701"/>
      <c r="J446" s="1701"/>
      <c r="K446" s="1701"/>
      <c r="L446" s="1701"/>
      <c r="M446" s="1701"/>
      <c r="N446" s="1701"/>
      <c r="O446" s="1701"/>
      <c r="P446" s="1701"/>
      <c r="Q446" s="1701"/>
      <c r="R446" s="1701"/>
      <c r="S446" s="1701"/>
      <c r="T446" s="1701"/>
      <c r="U446" s="1696"/>
      <c r="V446" s="1687"/>
    </row>
    <row r="447" spans="1:22">
      <c r="A447" s="1532"/>
      <c r="B447" s="1688" t="s">
        <v>858</v>
      </c>
      <c r="C447" s="1530" t="s">
        <v>875</v>
      </c>
      <c r="D447" s="526" t="s">
        <v>876</v>
      </c>
      <c r="E447" s="1698"/>
      <c r="F447" s="1693"/>
      <c r="G447" s="1693"/>
      <c r="H447" s="1699">
        <v>0.87</v>
      </c>
      <c r="I447" s="1699">
        <v>0.83519999999999994</v>
      </c>
      <c r="J447" s="1699">
        <v>0.76838399999999996</v>
      </c>
      <c r="K447" s="1699">
        <v>0.72228095999999997</v>
      </c>
      <c r="L447" s="1699">
        <v>0.68616691199999991</v>
      </c>
      <c r="M447" s="1699">
        <v>0.65872023551999992</v>
      </c>
      <c r="N447" s="1699">
        <v>0.61260981903360001</v>
      </c>
      <c r="O447" s="1699">
        <v>0.60035762265292802</v>
      </c>
      <c r="P447" s="1699">
        <v>0.58835047019986941</v>
      </c>
      <c r="Q447" s="1699">
        <v>0.57658346079587197</v>
      </c>
      <c r="R447" s="1699">
        <v>0.57081762618791321</v>
      </c>
      <c r="S447" s="1699">
        <v>0.56510944992603407</v>
      </c>
      <c r="T447" s="1699">
        <v>0.55945835542677369</v>
      </c>
      <c r="U447" s="1694">
        <v>0.55386377187250591</v>
      </c>
      <c r="V447" s="1685">
        <v>0.54832513415378081</v>
      </c>
    </row>
    <row r="448" spans="1:22">
      <c r="A448" s="1532"/>
      <c r="B448" s="1689"/>
      <c r="C448" s="1531"/>
      <c r="D448" s="527" t="s">
        <v>877</v>
      </c>
      <c r="E448" s="1698"/>
      <c r="F448" s="1693"/>
      <c r="G448" s="1693"/>
      <c r="H448" s="1700"/>
      <c r="I448" s="1700"/>
      <c r="J448" s="1700"/>
      <c r="K448" s="1700"/>
      <c r="L448" s="1700"/>
      <c r="M448" s="1700"/>
      <c r="N448" s="1700"/>
      <c r="O448" s="1700"/>
      <c r="P448" s="1700"/>
      <c r="Q448" s="1700"/>
      <c r="R448" s="1700"/>
      <c r="S448" s="1700"/>
      <c r="T448" s="1700"/>
      <c r="U448" s="1695"/>
      <c r="V448" s="1686"/>
    </row>
    <row r="449" spans="1:22">
      <c r="A449" s="1532"/>
      <c r="B449" s="1689"/>
      <c r="C449" s="1674" t="s">
        <v>878</v>
      </c>
      <c r="D449" s="527" t="s">
        <v>879</v>
      </c>
      <c r="E449" s="1698"/>
      <c r="F449" s="1693"/>
      <c r="G449" s="1693"/>
      <c r="H449" s="1700"/>
      <c r="I449" s="1700"/>
      <c r="J449" s="1700"/>
      <c r="K449" s="1700"/>
      <c r="L449" s="1700"/>
      <c r="M449" s="1700"/>
      <c r="N449" s="1700"/>
      <c r="O449" s="1700"/>
      <c r="P449" s="1700"/>
      <c r="Q449" s="1700"/>
      <c r="R449" s="1700"/>
      <c r="S449" s="1700"/>
      <c r="T449" s="1700"/>
      <c r="U449" s="1695"/>
      <c r="V449" s="1686"/>
    </row>
    <row r="450" spans="1:22">
      <c r="A450" s="1532"/>
      <c r="B450" s="1689"/>
      <c r="C450" s="1675"/>
      <c r="D450" s="528" t="s">
        <v>880</v>
      </c>
      <c r="E450" s="1698"/>
      <c r="F450" s="1693"/>
      <c r="G450" s="1693"/>
      <c r="H450" s="1701"/>
      <c r="I450" s="1701"/>
      <c r="J450" s="1701"/>
      <c r="K450" s="1701"/>
      <c r="L450" s="1701"/>
      <c r="M450" s="1701"/>
      <c r="N450" s="1701"/>
      <c r="O450" s="1701"/>
      <c r="P450" s="1701"/>
      <c r="Q450" s="1701"/>
      <c r="R450" s="1701"/>
      <c r="S450" s="1701"/>
      <c r="T450" s="1701"/>
      <c r="U450" s="1696"/>
      <c r="V450" s="1687"/>
    </row>
    <row r="451" spans="1:22">
      <c r="A451" s="1532"/>
      <c r="B451" s="1688" t="s">
        <v>859</v>
      </c>
      <c r="C451" s="1530" t="s">
        <v>875</v>
      </c>
      <c r="D451" s="526" t="s">
        <v>876</v>
      </c>
      <c r="E451" s="1698"/>
      <c r="F451" s="1693"/>
      <c r="G451" s="1693"/>
      <c r="H451" s="1693"/>
      <c r="I451" s="1699">
        <v>0.96</v>
      </c>
      <c r="J451" s="1699">
        <v>0.88319999999999999</v>
      </c>
      <c r="K451" s="1699">
        <v>0.83020799999999995</v>
      </c>
      <c r="L451" s="1699">
        <v>0.78869759999999989</v>
      </c>
      <c r="M451" s="1699">
        <v>0.75714969599999982</v>
      </c>
      <c r="N451" s="1699">
        <v>0.70414921727999991</v>
      </c>
      <c r="O451" s="1699">
        <v>0.69006623293439995</v>
      </c>
      <c r="P451" s="1699">
        <v>0.67626490827571195</v>
      </c>
      <c r="Q451" s="1699">
        <v>0.66273961011019766</v>
      </c>
      <c r="R451" s="1699">
        <v>0.6561122140090957</v>
      </c>
      <c r="S451" s="1699">
        <v>0.64955109186900473</v>
      </c>
      <c r="T451" s="1699">
        <v>0.64305558095031468</v>
      </c>
      <c r="U451" s="1694">
        <v>0.63662502514081154</v>
      </c>
      <c r="V451" s="1685">
        <v>0.63025877488940341</v>
      </c>
    </row>
    <row r="452" spans="1:22">
      <c r="A452" s="1532"/>
      <c r="B452" s="1689"/>
      <c r="C452" s="1531"/>
      <c r="D452" s="527" t="s">
        <v>877</v>
      </c>
      <c r="E452" s="1698"/>
      <c r="F452" s="1693"/>
      <c r="G452" s="1693"/>
      <c r="H452" s="1693"/>
      <c r="I452" s="1700"/>
      <c r="J452" s="1700"/>
      <c r="K452" s="1700"/>
      <c r="L452" s="1700"/>
      <c r="M452" s="1700"/>
      <c r="N452" s="1700"/>
      <c r="O452" s="1700"/>
      <c r="P452" s="1700"/>
      <c r="Q452" s="1700"/>
      <c r="R452" s="1700"/>
      <c r="S452" s="1700"/>
      <c r="T452" s="1700"/>
      <c r="U452" s="1695"/>
      <c r="V452" s="1686"/>
    </row>
    <row r="453" spans="1:22">
      <c r="A453" s="1532"/>
      <c r="B453" s="1689"/>
      <c r="C453" s="1674" t="s">
        <v>878</v>
      </c>
      <c r="D453" s="527" t="s">
        <v>879</v>
      </c>
      <c r="E453" s="1698"/>
      <c r="F453" s="1693"/>
      <c r="G453" s="1693"/>
      <c r="H453" s="1693"/>
      <c r="I453" s="1700"/>
      <c r="J453" s="1700"/>
      <c r="K453" s="1700"/>
      <c r="L453" s="1700"/>
      <c r="M453" s="1700"/>
      <c r="N453" s="1700"/>
      <c r="O453" s="1700"/>
      <c r="P453" s="1700"/>
      <c r="Q453" s="1700"/>
      <c r="R453" s="1700"/>
      <c r="S453" s="1700"/>
      <c r="T453" s="1700"/>
      <c r="U453" s="1695"/>
      <c r="V453" s="1686"/>
    </row>
    <row r="454" spans="1:22">
      <c r="A454" s="1532"/>
      <c r="B454" s="1689"/>
      <c r="C454" s="1675"/>
      <c r="D454" s="528" t="s">
        <v>880</v>
      </c>
      <c r="E454" s="1698"/>
      <c r="F454" s="1693"/>
      <c r="G454" s="1693"/>
      <c r="H454" s="1693"/>
      <c r="I454" s="1701"/>
      <c r="J454" s="1701"/>
      <c r="K454" s="1701"/>
      <c r="L454" s="1701"/>
      <c r="M454" s="1701"/>
      <c r="N454" s="1701"/>
      <c r="O454" s="1701"/>
      <c r="P454" s="1701"/>
      <c r="Q454" s="1701"/>
      <c r="R454" s="1701"/>
      <c r="S454" s="1701"/>
      <c r="T454" s="1701"/>
      <c r="U454" s="1696"/>
      <c r="V454" s="1687"/>
    </row>
    <row r="455" spans="1:22">
      <c r="A455" s="1532"/>
      <c r="B455" s="1697" t="s">
        <v>860</v>
      </c>
      <c r="C455" s="1530" t="s">
        <v>875</v>
      </c>
      <c r="D455" s="526" t="s">
        <v>876</v>
      </c>
      <c r="E455" s="1698"/>
      <c r="F455" s="1693"/>
      <c r="G455" s="1693"/>
      <c r="H455" s="1693"/>
      <c r="I455" s="1693"/>
      <c r="J455" s="1699">
        <v>0.92</v>
      </c>
      <c r="K455" s="1699">
        <v>0.86480000000000001</v>
      </c>
      <c r="L455" s="1699">
        <v>0.82155999999999996</v>
      </c>
      <c r="M455" s="1699">
        <v>0.78869759999999989</v>
      </c>
      <c r="N455" s="1699">
        <v>0.73348876799999996</v>
      </c>
      <c r="O455" s="1699">
        <v>0.71881899263999993</v>
      </c>
      <c r="P455" s="1699">
        <v>0.70444261278719988</v>
      </c>
      <c r="Q455" s="1699">
        <v>0.69035376053145592</v>
      </c>
      <c r="R455" s="1699">
        <v>0.68345022292614133</v>
      </c>
      <c r="S455" s="1699">
        <v>0.67661572069687992</v>
      </c>
      <c r="T455" s="1699">
        <v>0.66984956348991109</v>
      </c>
      <c r="U455" s="1694">
        <v>0.66315106785501199</v>
      </c>
      <c r="V455" s="1685">
        <v>0.65651955717646182</v>
      </c>
    </row>
    <row r="456" spans="1:22">
      <c r="A456" s="1532"/>
      <c r="B456" s="1689"/>
      <c r="C456" s="1531"/>
      <c r="D456" s="527" t="s">
        <v>877</v>
      </c>
      <c r="E456" s="1698"/>
      <c r="F456" s="1693"/>
      <c r="G456" s="1693"/>
      <c r="H456" s="1693"/>
      <c r="I456" s="1693"/>
      <c r="J456" s="1700"/>
      <c r="K456" s="1700"/>
      <c r="L456" s="1700"/>
      <c r="M456" s="1700"/>
      <c r="N456" s="1700"/>
      <c r="O456" s="1700"/>
      <c r="P456" s="1700"/>
      <c r="Q456" s="1700"/>
      <c r="R456" s="1700"/>
      <c r="S456" s="1700"/>
      <c r="T456" s="1700"/>
      <c r="U456" s="1695"/>
      <c r="V456" s="1686"/>
    </row>
    <row r="457" spans="1:22">
      <c r="A457" s="1532"/>
      <c r="B457" s="1689"/>
      <c r="C457" s="1674" t="s">
        <v>878</v>
      </c>
      <c r="D457" s="527" t="s">
        <v>879</v>
      </c>
      <c r="E457" s="1698"/>
      <c r="F457" s="1693"/>
      <c r="G457" s="1693"/>
      <c r="H457" s="1693"/>
      <c r="I457" s="1693"/>
      <c r="J457" s="1700"/>
      <c r="K457" s="1700"/>
      <c r="L457" s="1700"/>
      <c r="M457" s="1700"/>
      <c r="N457" s="1700"/>
      <c r="O457" s="1700"/>
      <c r="P457" s="1700"/>
      <c r="Q457" s="1700"/>
      <c r="R457" s="1700"/>
      <c r="S457" s="1700"/>
      <c r="T457" s="1700"/>
      <c r="U457" s="1695"/>
      <c r="V457" s="1686"/>
    </row>
    <row r="458" spans="1:22">
      <c r="A458" s="1532"/>
      <c r="B458" s="1689"/>
      <c r="C458" s="1675"/>
      <c r="D458" s="528" t="s">
        <v>880</v>
      </c>
      <c r="E458" s="1698"/>
      <c r="F458" s="1693"/>
      <c r="G458" s="1693"/>
      <c r="H458" s="1693"/>
      <c r="I458" s="1693"/>
      <c r="J458" s="1701"/>
      <c r="K458" s="1701"/>
      <c r="L458" s="1701"/>
      <c r="M458" s="1701"/>
      <c r="N458" s="1701"/>
      <c r="O458" s="1701"/>
      <c r="P458" s="1701"/>
      <c r="Q458" s="1701"/>
      <c r="R458" s="1701"/>
      <c r="S458" s="1701"/>
      <c r="T458" s="1701"/>
      <c r="U458" s="1696"/>
      <c r="V458" s="1687"/>
    </row>
    <row r="459" spans="1:22">
      <c r="A459" s="1532"/>
      <c r="B459" s="1697" t="s">
        <v>861</v>
      </c>
      <c r="C459" s="1530" t="s">
        <v>875</v>
      </c>
      <c r="D459" s="526" t="s">
        <v>876</v>
      </c>
      <c r="E459" s="1698"/>
      <c r="F459" s="1693"/>
      <c r="G459" s="1693"/>
      <c r="H459" s="1693"/>
      <c r="I459" s="1693"/>
      <c r="J459" s="1693"/>
      <c r="K459" s="1699">
        <v>0.94</v>
      </c>
      <c r="L459" s="1699">
        <v>0.8929999999999999</v>
      </c>
      <c r="M459" s="1699">
        <v>0.85727999999999993</v>
      </c>
      <c r="N459" s="1699">
        <v>0.79727039999999993</v>
      </c>
      <c r="O459" s="1699">
        <v>0.78132499199999994</v>
      </c>
      <c r="P459" s="1699">
        <v>0.76569849215999997</v>
      </c>
      <c r="Q459" s="1699">
        <v>0.75038452231679997</v>
      </c>
      <c r="R459" s="1699">
        <v>0.74288067709363192</v>
      </c>
      <c r="S459" s="1699">
        <v>0.73545187032269554</v>
      </c>
      <c r="T459" s="1699">
        <v>0.72809735161946854</v>
      </c>
      <c r="U459" s="1694">
        <v>0.72081637810327381</v>
      </c>
      <c r="V459" s="1685">
        <v>0.71360821432224109</v>
      </c>
    </row>
    <row r="460" spans="1:22">
      <c r="A460" s="1532"/>
      <c r="B460" s="1689"/>
      <c r="C460" s="1531"/>
      <c r="D460" s="527" t="s">
        <v>877</v>
      </c>
      <c r="E460" s="1698"/>
      <c r="F460" s="1693"/>
      <c r="G460" s="1693"/>
      <c r="H460" s="1693"/>
      <c r="I460" s="1693"/>
      <c r="J460" s="1693"/>
      <c r="K460" s="1700"/>
      <c r="L460" s="1700"/>
      <c r="M460" s="1700"/>
      <c r="N460" s="1700"/>
      <c r="O460" s="1700"/>
      <c r="P460" s="1700"/>
      <c r="Q460" s="1700"/>
      <c r="R460" s="1700"/>
      <c r="S460" s="1700"/>
      <c r="T460" s="1700"/>
      <c r="U460" s="1695"/>
      <c r="V460" s="1686"/>
    </row>
    <row r="461" spans="1:22">
      <c r="A461" s="1532"/>
      <c r="B461" s="1689"/>
      <c r="C461" s="1674" t="s">
        <v>878</v>
      </c>
      <c r="D461" s="527" t="s">
        <v>879</v>
      </c>
      <c r="E461" s="1698"/>
      <c r="F461" s="1693"/>
      <c r="G461" s="1693"/>
      <c r="H461" s="1693"/>
      <c r="I461" s="1693"/>
      <c r="J461" s="1693"/>
      <c r="K461" s="1700"/>
      <c r="L461" s="1700"/>
      <c r="M461" s="1700"/>
      <c r="N461" s="1700"/>
      <c r="O461" s="1700"/>
      <c r="P461" s="1700"/>
      <c r="Q461" s="1700"/>
      <c r="R461" s="1700"/>
      <c r="S461" s="1700"/>
      <c r="T461" s="1700"/>
      <c r="U461" s="1695"/>
      <c r="V461" s="1686"/>
    </row>
    <row r="462" spans="1:22">
      <c r="A462" s="1532"/>
      <c r="B462" s="1689"/>
      <c r="C462" s="1675"/>
      <c r="D462" s="528" t="s">
        <v>880</v>
      </c>
      <c r="E462" s="1698"/>
      <c r="F462" s="1693"/>
      <c r="G462" s="1693"/>
      <c r="H462" s="1693"/>
      <c r="I462" s="1693"/>
      <c r="J462" s="1693"/>
      <c r="K462" s="1701"/>
      <c r="L462" s="1701"/>
      <c r="M462" s="1701"/>
      <c r="N462" s="1701"/>
      <c r="O462" s="1701"/>
      <c r="P462" s="1701"/>
      <c r="Q462" s="1701"/>
      <c r="R462" s="1701"/>
      <c r="S462" s="1701"/>
      <c r="T462" s="1701"/>
      <c r="U462" s="1696"/>
      <c r="V462" s="1687"/>
    </row>
    <row r="463" spans="1:22">
      <c r="A463" s="1532"/>
      <c r="B463" s="1697" t="s">
        <v>862</v>
      </c>
      <c r="C463" s="1530" t="s">
        <v>875</v>
      </c>
      <c r="D463" s="526" t="s">
        <v>876</v>
      </c>
      <c r="E463" s="1698"/>
      <c r="F463" s="1693"/>
      <c r="G463" s="1693"/>
      <c r="H463" s="1693"/>
      <c r="I463" s="1693"/>
      <c r="J463" s="1693"/>
      <c r="K463" s="1693"/>
      <c r="L463" s="1699">
        <v>0.95</v>
      </c>
      <c r="M463" s="1699">
        <v>0.91199999999999992</v>
      </c>
      <c r="N463" s="1699">
        <v>0.84816000000000003</v>
      </c>
      <c r="O463" s="1699">
        <v>0.83119679999999996</v>
      </c>
      <c r="P463" s="1699">
        <v>0.81457286399999995</v>
      </c>
      <c r="Q463" s="1699">
        <v>0.79828140671999992</v>
      </c>
      <c r="R463" s="1699">
        <v>0.79029859265279989</v>
      </c>
      <c r="S463" s="1699">
        <v>0.78239560672627184</v>
      </c>
      <c r="T463" s="1699">
        <v>0.77457165065900913</v>
      </c>
      <c r="U463" s="1694">
        <v>0.76682593415241906</v>
      </c>
      <c r="V463" s="1685">
        <v>0.75915767481089491</v>
      </c>
    </row>
    <row r="464" spans="1:22">
      <c r="A464" s="1532"/>
      <c r="B464" s="1689"/>
      <c r="C464" s="1531"/>
      <c r="D464" s="527" t="s">
        <v>877</v>
      </c>
      <c r="E464" s="1698"/>
      <c r="F464" s="1693"/>
      <c r="G464" s="1693"/>
      <c r="H464" s="1693"/>
      <c r="I464" s="1693"/>
      <c r="J464" s="1693"/>
      <c r="K464" s="1693"/>
      <c r="L464" s="1700"/>
      <c r="M464" s="1700"/>
      <c r="N464" s="1700"/>
      <c r="O464" s="1700"/>
      <c r="P464" s="1700"/>
      <c r="Q464" s="1700"/>
      <c r="R464" s="1700"/>
      <c r="S464" s="1700"/>
      <c r="T464" s="1700"/>
      <c r="U464" s="1695"/>
      <c r="V464" s="1686"/>
    </row>
    <row r="465" spans="1:22">
      <c r="A465" s="1532"/>
      <c r="B465" s="1689"/>
      <c r="C465" s="1674" t="s">
        <v>878</v>
      </c>
      <c r="D465" s="527" t="s">
        <v>879</v>
      </c>
      <c r="E465" s="1698"/>
      <c r="F465" s="1693"/>
      <c r="G465" s="1693"/>
      <c r="H465" s="1693"/>
      <c r="I465" s="1693"/>
      <c r="J465" s="1693"/>
      <c r="K465" s="1693"/>
      <c r="L465" s="1700"/>
      <c r="M465" s="1700"/>
      <c r="N465" s="1700"/>
      <c r="O465" s="1700"/>
      <c r="P465" s="1700"/>
      <c r="Q465" s="1700"/>
      <c r="R465" s="1700"/>
      <c r="S465" s="1700"/>
      <c r="T465" s="1700"/>
      <c r="U465" s="1695"/>
      <c r="V465" s="1686"/>
    </row>
    <row r="466" spans="1:22">
      <c r="A466" s="1532"/>
      <c r="B466" s="1689"/>
      <c r="C466" s="1675"/>
      <c r="D466" s="528" t="s">
        <v>880</v>
      </c>
      <c r="E466" s="1698"/>
      <c r="F466" s="1693"/>
      <c r="G466" s="1693"/>
      <c r="H466" s="1693"/>
      <c r="I466" s="1693"/>
      <c r="J466" s="1693"/>
      <c r="K466" s="1693"/>
      <c r="L466" s="1701"/>
      <c r="M466" s="1701"/>
      <c r="N466" s="1701"/>
      <c r="O466" s="1701"/>
      <c r="P466" s="1701"/>
      <c r="Q466" s="1701"/>
      <c r="R466" s="1701"/>
      <c r="S466" s="1701"/>
      <c r="T466" s="1701"/>
      <c r="U466" s="1696"/>
      <c r="V466" s="1687"/>
    </row>
    <row r="467" spans="1:22">
      <c r="A467" s="1532"/>
      <c r="B467" s="1697" t="s">
        <v>863</v>
      </c>
      <c r="C467" s="1530" t="s">
        <v>875</v>
      </c>
      <c r="D467" s="526" t="s">
        <v>876</v>
      </c>
      <c r="E467" s="1698"/>
      <c r="F467" s="1693"/>
      <c r="G467" s="1693"/>
      <c r="H467" s="1693"/>
      <c r="I467" s="1693"/>
      <c r="J467" s="1693"/>
      <c r="K467" s="1693"/>
      <c r="L467" s="1693"/>
      <c r="M467" s="1699">
        <v>0.96</v>
      </c>
      <c r="N467" s="1699">
        <v>0.89280000000000004</v>
      </c>
      <c r="O467" s="1699">
        <v>0.87494400000000006</v>
      </c>
      <c r="P467" s="1699">
        <v>0.85744512000000006</v>
      </c>
      <c r="Q467" s="1699">
        <v>0.84029621760000006</v>
      </c>
      <c r="R467" s="1699">
        <v>0.83189325542400006</v>
      </c>
      <c r="S467" s="1699">
        <v>0.82357432286976007</v>
      </c>
      <c r="T467" s="1699">
        <v>0.81533857964106249</v>
      </c>
      <c r="U467" s="1694">
        <v>0.80718519384465182</v>
      </c>
      <c r="V467" s="1685">
        <v>0.79911334190620531</v>
      </c>
    </row>
    <row r="468" spans="1:22">
      <c r="A468" s="1532"/>
      <c r="B468" s="1689"/>
      <c r="C468" s="1531"/>
      <c r="D468" s="527" t="s">
        <v>877</v>
      </c>
      <c r="E468" s="1698"/>
      <c r="F468" s="1693"/>
      <c r="G468" s="1693"/>
      <c r="H468" s="1693"/>
      <c r="I468" s="1693"/>
      <c r="J468" s="1693"/>
      <c r="K468" s="1693"/>
      <c r="L468" s="1693"/>
      <c r="M468" s="1700"/>
      <c r="N468" s="1700"/>
      <c r="O468" s="1700"/>
      <c r="P468" s="1700"/>
      <c r="Q468" s="1700"/>
      <c r="R468" s="1700"/>
      <c r="S468" s="1700"/>
      <c r="T468" s="1700"/>
      <c r="U468" s="1695"/>
      <c r="V468" s="1686"/>
    </row>
    <row r="469" spans="1:22">
      <c r="A469" s="1532"/>
      <c r="B469" s="1689"/>
      <c r="C469" s="1674" t="s">
        <v>878</v>
      </c>
      <c r="D469" s="527" t="s">
        <v>879</v>
      </c>
      <c r="E469" s="1698"/>
      <c r="F469" s="1693"/>
      <c r="G469" s="1693"/>
      <c r="H469" s="1693"/>
      <c r="I469" s="1693"/>
      <c r="J469" s="1693"/>
      <c r="K469" s="1693"/>
      <c r="L469" s="1693"/>
      <c r="M469" s="1700"/>
      <c r="N469" s="1700"/>
      <c r="O469" s="1700"/>
      <c r="P469" s="1700"/>
      <c r="Q469" s="1700"/>
      <c r="R469" s="1700"/>
      <c r="S469" s="1700"/>
      <c r="T469" s="1700"/>
      <c r="U469" s="1695"/>
      <c r="V469" s="1686"/>
    </row>
    <row r="470" spans="1:22">
      <c r="A470" s="1532"/>
      <c r="B470" s="1689"/>
      <c r="C470" s="1675"/>
      <c r="D470" s="528" t="s">
        <v>880</v>
      </c>
      <c r="E470" s="1698"/>
      <c r="F470" s="1693"/>
      <c r="G470" s="1693"/>
      <c r="H470" s="1693"/>
      <c r="I470" s="1693"/>
      <c r="J470" s="1693"/>
      <c r="K470" s="1693"/>
      <c r="L470" s="1693"/>
      <c r="M470" s="1701"/>
      <c r="N470" s="1701"/>
      <c r="O470" s="1701"/>
      <c r="P470" s="1701"/>
      <c r="Q470" s="1701"/>
      <c r="R470" s="1701"/>
      <c r="S470" s="1701"/>
      <c r="T470" s="1701"/>
      <c r="U470" s="1696"/>
      <c r="V470" s="1687"/>
    </row>
    <row r="471" spans="1:22">
      <c r="A471" s="1532"/>
      <c r="B471" s="1697" t="s">
        <v>864</v>
      </c>
      <c r="C471" s="1530" t="s">
        <v>875</v>
      </c>
      <c r="D471" s="526" t="s">
        <v>876</v>
      </c>
      <c r="E471" s="1698"/>
      <c r="F471" s="1693"/>
      <c r="G471" s="1693"/>
      <c r="H471" s="1693"/>
      <c r="I471" s="1693"/>
      <c r="J471" s="1693"/>
      <c r="K471" s="1693"/>
      <c r="L471" s="1693"/>
      <c r="M471" s="1693"/>
      <c r="N471" s="1699">
        <v>0.93</v>
      </c>
      <c r="O471" s="1699">
        <v>0.91139999999999999</v>
      </c>
      <c r="P471" s="1699">
        <v>0.89317199999999997</v>
      </c>
      <c r="Q471" s="1699">
        <v>0.8753085599999999</v>
      </c>
      <c r="R471" s="1699">
        <v>0.86655547439999991</v>
      </c>
      <c r="S471" s="1699">
        <v>0.85788991965599992</v>
      </c>
      <c r="T471" s="1699">
        <v>0.84931102045943996</v>
      </c>
      <c r="U471" s="1694">
        <v>0.84081791025484554</v>
      </c>
      <c r="V471" s="1685">
        <v>0.83240973115229711</v>
      </c>
    </row>
    <row r="472" spans="1:22">
      <c r="A472" s="1532"/>
      <c r="B472" s="1689"/>
      <c r="C472" s="1531"/>
      <c r="D472" s="527" t="s">
        <v>877</v>
      </c>
      <c r="E472" s="1698"/>
      <c r="F472" s="1693"/>
      <c r="G472" s="1693"/>
      <c r="H472" s="1693"/>
      <c r="I472" s="1693"/>
      <c r="J472" s="1693"/>
      <c r="K472" s="1693"/>
      <c r="L472" s="1693"/>
      <c r="M472" s="1693"/>
      <c r="N472" s="1700"/>
      <c r="O472" s="1700"/>
      <c r="P472" s="1700"/>
      <c r="Q472" s="1700"/>
      <c r="R472" s="1700"/>
      <c r="S472" s="1700"/>
      <c r="T472" s="1700"/>
      <c r="U472" s="1695"/>
      <c r="V472" s="1686"/>
    </row>
    <row r="473" spans="1:22">
      <c r="A473" s="1532"/>
      <c r="B473" s="1689"/>
      <c r="C473" s="1674" t="s">
        <v>878</v>
      </c>
      <c r="D473" s="527" t="s">
        <v>879</v>
      </c>
      <c r="E473" s="1698"/>
      <c r="F473" s="1693"/>
      <c r="G473" s="1693"/>
      <c r="H473" s="1693"/>
      <c r="I473" s="1693"/>
      <c r="J473" s="1693"/>
      <c r="K473" s="1693"/>
      <c r="L473" s="1693"/>
      <c r="M473" s="1693"/>
      <c r="N473" s="1700"/>
      <c r="O473" s="1700"/>
      <c r="P473" s="1700"/>
      <c r="Q473" s="1700"/>
      <c r="R473" s="1700"/>
      <c r="S473" s="1700"/>
      <c r="T473" s="1700"/>
      <c r="U473" s="1695"/>
      <c r="V473" s="1686"/>
    </row>
    <row r="474" spans="1:22">
      <c r="A474" s="1532"/>
      <c r="B474" s="1689"/>
      <c r="C474" s="1675"/>
      <c r="D474" s="528" t="s">
        <v>880</v>
      </c>
      <c r="E474" s="1698"/>
      <c r="F474" s="1693"/>
      <c r="G474" s="1693"/>
      <c r="H474" s="1693"/>
      <c r="I474" s="1693"/>
      <c r="J474" s="1693"/>
      <c r="K474" s="1693"/>
      <c r="L474" s="1693"/>
      <c r="M474" s="1693"/>
      <c r="N474" s="1701"/>
      <c r="O474" s="1701"/>
      <c r="P474" s="1701"/>
      <c r="Q474" s="1701"/>
      <c r="R474" s="1701"/>
      <c r="S474" s="1701"/>
      <c r="T474" s="1701"/>
      <c r="U474" s="1696"/>
      <c r="V474" s="1687"/>
    </row>
    <row r="475" spans="1:22">
      <c r="A475" s="1532"/>
      <c r="B475" s="1697" t="s">
        <v>865</v>
      </c>
      <c r="C475" s="1530" t="s">
        <v>875</v>
      </c>
      <c r="D475" s="526" t="s">
        <v>876</v>
      </c>
      <c r="E475" s="1698"/>
      <c r="F475" s="1693"/>
      <c r="G475" s="1693"/>
      <c r="H475" s="1693"/>
      <c r="I475" s="1693"/>
      <c r="J475" s="1693"/>
      <c r="K475" s="1693"/>
      <c r="L475" s="1693"/>
      <c r="M475" s="1693"/>
      <c r="N475" s="1693"/>
      <c r="O475" s="1699">
        <v>0.98</v>
      </c>
      <c r="P475" s="1699">
        <v>0.96039999999999992</v>
      </c>
      <c r="Q475" s="1699">
        <v>0.94119199999999992</v>
      </c>
      <c r="R475" s="1699">
        <v>0.9317800799999999</v>
      </c>
      <c r="S475" s="1699">
        <v>0.9224622791999999</v>
      </c>
      <c r="T475" s="1699">
        <v>0.91323765640799992</v>
      </c>
      <c r="U475" s="1694">
        <v>0.90410527984391986</v>
      </c>
      <c r="V475" s="1685">
        <v>0.89506422704548061</v>
      </c>
    </row>
    <row r="476" spans="1:22">
      <c r="A476" s="1532"/>
      <c r="B476" s="1689"/>
      <c r="C476" s="1531"/>
      <c r="D476" s="527" t="s">
        <v>877</v>
      </c>
      <c r="E476" s="1698"/>
      <c r="F476" s="1693"/>
      <c r="G476" s="1693"/>
      <c r="H476" s="1693"/>
      <c r="I476" s="1693"/>
      <c r="J476" s="1693"/>
      <c r="K476" s="1693"/>
      <c r="L476" s="1693"/>
      <c r="M476" s="1693"/>
      <c r="N476" s="1693"/>
      <c r="O476" s="1700"/>
      <c r="P476" s="1700"/>
      <c r="Q476" s="1700"/>
      <c r="R476" s="1700"/>
      <c r="S476" s="1700"/>
      <c r="T476" s="1700"/>
      <c r="U476" s="1695"/>
      <c r="V476" s="1686"/>
    </row>
    <row r="477" spans="1:22">
      <c r="A477" s="1532"/>
      <c r="B477" s="1689"/>
      <c r="C477" s="1674" t="s">
        <v>878</v>
      </c>
      <c r="D477" s="527" t="s">
        <v>879</v>
      </c>
      <c r="E477" s="1698"/>
      <c r="F477" s="1693"/>
      <c r="G477" s="1693"/>
      <c r="H477" s="1693"/>
      <c r="I477" s="1693"/>
      <c r="J477" s="1693"/>
      <c r="K477" s="1693"/>
      <c r="L477" s="1693"/>
      <c r="M477" s="1693"/>
      <c r="N477" s="1693"/>
      <c r="O477" s="1700"/>
      <c r="P477" s="1700"/>
      <c r="Q477" s="1700"/>
      <c r="R477" s="1700"/>
      <c r="S477" s="1700"/>
      <c r="T477" s="1700"/>
      <c r="U477" s="1695"/>
      <c r="V477" s="1686"/>
    </row>
    <row r="478" spans="1:22">
      <c r="A478" s="1532"/>
      <c r="B478" s="1689"/>
      <c r="C478" s="1675"/>
      <c r="D478" s="528" t="s">
        <v>880</v>
      </c>
      <c r="E478" s="1698"/>
      <c r="F478" s="1693"/>
      <c r="G478" s="1693"/>
      <c r="H478" s="1693"/>
      <c r="I478" s="1693"/>
      <c r="J478" s="1693"/>
      <c r="K478" s="1693"/>
      <c r="L478" s="1693"/>
      <c r="M478" s="1693"/>
      <c r="N478" s="1693"/>
      <c r="O478" s="1701"/>
      <c r="P478" s="1701"/>
      <c r="Q478" s="1701"/>
      <c r="R478" s="1701"/>
      <c r="S478" s="1701"/>
      <c r="T478" s="1701"/>
      <c r="U478" s="1696"/>
      <c r="V478" s="1687"/>
    </row>
    <row r="479" spans="1:22">
      <c r="A479" s="1532"/>
      <c r="B479" s="1697" t="s">
        <v>866</v>
      </c>
      <c r="C479" s="1530" t="s">
        <v>875</v>
      </c>
      <c r="D479" s="526" t="s">
        <v>876</v>
      </c>
      <c r="E479" s="1698"/>
      <c r="F479" s="1693"/>
      <c r="G479" s="1693"/>
      <c r="H479" s="1693"/>
      <c r="I479" s="1693"/>
      <c r="J479" s="1693"/>
      <c r="K479" s="1693"/>
      <c r="L479" s="1693"/>
      <c r="M479" s="1693"/>
      <c r="N479" s="1693"/>
      <c r="O479" s="1693"/>
      <c r="P479" s="1699">
        <v>0.98</v>
      </c>
      <c r="Q479" s="1699">
        <v>0.96039999999999992</v>
      </c>
      <c r="R479" s="1699">
        <v>0.95079599999999986</v>
      </c>
      <c r="S479" s="1699">
        <v>0.94128803999999988</v>
      </c>
      <c r="T479" s="1699">
        <v>0.93187515959999989</v>
      </c>
      <c r="U479" s="1694">
        <v>0.92255640800399985</v>
      </c>
      <c r="V479" s="1685">
        <v>0.9133308439239598</v>
      </c>
    </row>
    <row r="480" spans="1:22">
      <c r="A480" s="1532"/>
      <c r="B480" s="1689"/>
      <c r="C480" s="1531"/>
      <c r="D480" s="527" t="s">
        <v>877</v>
      </c>
      <c r="E480" s="1698"/>
      <c r="F480" s="1693"/>
      <c r="G480" s="1693"/>
      <c r="H480" s="1693"/>
      <c r="I480" s="1693"/>
      <c r="J480" s="1693"/>
      <c r="K480" s="1693"/>
      <c r="L480" s="1693"/>
      <c r="M480" s="1693"/>
      <c r="N480" s="1693"/>
      <c r="O480" s="1693"/>
      <c r="P480" s="1700"/>
      <c r="Q480" s="1700"/>
      <c r="R480" s="1700"/>
      <c r="S480" s="1700"/>
      <c r="T480" s="1700"/>
      <c r="U480" s="1695"/>
      <c r="V480" s="1686"/>
    </row>
    <row r="481" spans="1:22">
      <c r="A481" s="1532"/>
      <c r="B481" s="1689"/>
      <c r="C481" s="1674" t="s">
        <v>878</v>
      </c>
      <c r="D481" s="527" t="s">
        <v>879</v>
      </c>
      <c r="E481" s="1698"/>
      <c r="F481" s="1693"/>
      <c r="G481" s="1693"/>
      <c r="H481" s="1693"/>
      <c r="I481" s="1693"/>
      <c r="J481" s="1693"/>
      <c r="K481" s="1693"/>
      <c r="L481" s="1693"/>
      <c r="M481" s="1693"/>
      <c r="N481" s="1693"/>
      <c r="O481" s="1693"/>
      <c r="P481" s="1700"/>
      <c r="Q481" s="1700"/>
      <c r="R481" s="1700"/>
      <c r="S481" s="1700"/>
      <c r="T481" s="1700"/>
      <c r="U481" s="1695"/>
      <c r="V481" s="1686"/>
    </row>
    <row r="482" spans="1:22">
      <c r="A482" s="1532"/>
      <c r="B482" s="1689"/>
      <c r="C482" s="1675"/>
      <c r="D482" s="528" t="s">
        <v>880</v>
      </c>
      <c r="E482" s="1698"/>
      <c r="F482" s="1693"/>
      <c r="G482" s="1693"/>
      <c r="H482" s="1693"/>
      <c r="I482" s="1693"/>
      <c r="J482" s="1693"/>
      <c r="K482" s="1693"/>
      <c r="L482" s="1693"/>
      <c r="M482" s="1693"/>
      <c r="N482" s="1693"/>
      <c r="O482" s="1693"/>
      <c r="P482" s="1701"/>
      <c r="Q482" s="1701"/>
      <c r="R482" s="1701"/>
      <c r="S482" s="1701"/>
      <c r="T482" s="1701"/>
      <c r="U482" s="1696"/>
      <c r="V482" s="1687"/>
    </row>
    <row r="483" spans="1:22">
      <c r="A483" s="1532"/>
      <c r="B483" s="1697" t="s">
        <v>867</v>
      </c>
      <c r="C483" s="1530" t="s">
        <v>875</v>
      </c>
      <c r="D483" s="526" t="s">
        <v>876</v>
      </c>
      <c r="E483" s="1698"/>
      <c r="F483" s="1693"/>
      <c r="G483" s="1693"/>
      <c r="H483" s="1693"/>
      <c r="I483" s="1693"/>
      <c r="J483" s="1693"/>
      <c r="K483" s="1693"/>
      <c r="L483" s="1693"/>
      <c r="M483" s="1693"/>
      <c r="N483" s="1693"/>
      <c r="O483" s="1693"/>
      <c r="P483" s="1693"/>
      <c r="Q483" s="1699">
        <v>0.98</v>
      </c>
      <c r="R483" s="1699">
        <v>0.97019999999999995</v>
      </c>
      <c r="S483" s="1699">
        <v>0.96049799999999996</v>
      </c>
      <c r="T483" s="1699">
        <v>0.95089301999999998</v>
      </c>
      <c r="U483" s="1694">
        <v>0.94138408979999999</v>
      </c>
      <c r="V483" s="1685">
        <v>0.93197024890199998</v>
      </c>
    </row>
    <row r="484" spans="1:22">
      <c r="A484" s="1532"/>
      <c r="B484" s="1689"/>
      <c r="C484" s="1531"/>
      <c r="D484" s="527" t="s">
        <v>877</v>
      </c>
      <c r="E484" s="1698"/>
      <c r="F484" s="1693"/>
      <c r="G484" s="1693"/>
      <c r="H484" s="1693"/>
      <c r="I484" s="1693"/>
      <c r="J484" s="1693"/>
      <c r="K484" s="1693"/>
      <c r="L484" s="1693"/>
      <c r="M484" s="1693"/>
      <c r="N484" s="1693"/>
      <c r="O484" s="1693"/>
      <c r="P484" s="1693"/>
      <c r="Q484" s="1700"/>
      <c r="R484" s="1700"/>
      <c r="S484" s="1700"/>
      <c r="T484" s="1700"/>
      <c r="U484" s="1695"/>
      <c r="V484" s="1686"/>
    </row>
    <row r="485" spans="1:22">
      <c r="A485" s="1532"/>
      <c r="B485" s="1689"/>
      <c r="C485" s="1674" t="s">
        <v>878</v>
      </c>
      <c r="D485" s="527" t="s">
        <v>879</v>
      </c>
      <c r="E485" s="1698"/>
      <c r="F485" s="1693"/>
      <c r="G485" s="1693"/>
      <c r="H485" s="1693"/>
      <c r="I485" s="1693"/>
      <c r="J485" s="1693"/>
      <c r="K485" s="1693"/>
      <c r="L485" s="1693"/>
      <c r="M485" s="1693"/>
      <c r="N485" s="1693"/>
      <c r="O485" s="1693"/>
      <c r="P485" s="1693"/>
      <c r="Q485" s="1700"/>
      <c r="R485" s="1700"/>
      <c r="S485" s="1700"/>
      <c r="T485" s="1700"/>
      <c r="U485" s="1695"/>
      <c r="V485" s="1686"/>
    </row>
    <row r="486" spans="1:22">
      <c r="A486" s="1532"/>
      <c r="B486" s="1689"/>
      <c r="C486" s="1675"/>
      <c r="D486" s="528" t="s">
        <v>880</v>
      </c>
      <c r="E486" s="1698"/>
      <c r="F486" s="1693"/>
      <c r="G486" s="1693"/>
      <c r="H486" s="1693"/>
      <c r="I486" s="1693"/>
      <c r="J486" s="1693"/>
      <c r="K486" s="1693"/>
      <c r="L486" s="1693"/>
      <c r="M486" s="1693"/>
      <c r="N486" s="1693"/>
      <c r="O486" s="1693"/>
      <c r="P486" s="1693"/>
      <c r="Q486" s="1701"/>
      <c r="R486" s="1701"/>
      <c r="S486" s="1701"/>
      <c r="T486" s="1701"/>
      <c r="U486" s="1696"/>
      <c r="V486" s="1687"/>
    </row>
    <row r="487" spans="1:22">
      <c r="A487" s="1532"/>
      <c r="B487" s="1697" t="s">
        <v>868</v>
      </c>
      <c r="C487" s="1530" t="s">
        <v>875</v>
      </c>
      <c r="D487" s="526" t="s">
        <v>876</v>
      </c>
      <c r="E487" s="1698"/>
      <c r="F487" s="1693"/>
      <c r="G487" s="1693"/>
      <c r="H487" s="1693"/>
      <c r="I487" s="1693"/>
      <c r="J487" s="1693"/>
      <c r="K487" s="1693"/>
      <c r="L487" s="1693"/>
      <c r="M487" s="1693"/>
      <c r="N487" s="1693"/>
      <c r="O487" s="1693"/>
      <c r="P487" s="1693"/>
      <c r="Q487" s="1693"/>
      <c r="R487" s="1699">
        <v>0.99</v>
      </c>
      <c r="S487" s="1699">
        <v>0.98009999999999997</v>
      </c>
      <c r="T487" s="1699">
        <v>0.97029899999999991</v>
      </c>
      <c r="U487" s="1694">
        <v>0.96059600999999994</v>
      </c>
      <c r="V487" s="1685">
        <v>0.95099004989999991</v>
      </c>
    </row>
    <row r="488" spans="1:22">
      <c r="A488" s="1532"/>
      <c r="B488" s="1689"/>
      <c r="C488" s="1531"/>
      <c r="D488" s="527" t="s">
        <v>877</v>
      </c>
      <c r="E488" s="1698"/>
      <c r="F488" s="1693"/>
      <c r="G488" s="1693"/>
      <c r="H488" s="1693"/>
      <c r="I488" s="1693"/>
      <c r="J488" s="1693"/>
      <c r="K488" s="1693"/>
      <c r="L488" s="1693"/>
      <c r="M488" s="1693"/>
      <c r="N488" s="1693"/>
      <c r="O488" s="1693"/>
      <c r="P488" s="1693"/>
      <c r="Q488" s="1693"/>
      <c r="R488" s="1700"/>
      <c r="S488" s="1700"/>
      <c r="T488" s="1700"/>
      <c r="U488" s="1695"/>
      <c r="V488" s="1686"/>
    </row>
    <row r="489" spans="1:22">
      <c r="A489" s="1532"/>
      <c r="B489" s="1689"/>
      <c r="C489" s="1674" t="s">
        <v>878</v>
      </c>
      <c r="D489" s="527" t="s">
        <v>879</v>
      </c>
      <c r="E489" s="1698"/>
      <c r="F489" s="1693"/>
      <c r="G489" s="1693"/>
      <c r="H489" s="1693"/>
      <c r="I489" s="1693"/>
      <c r="J489" s="1693"/>
      <c r="K489" s="1693"/>
      <c r="L489" s="1693"/>
      <c r="M489" s="1693"/>
      <c r="N489" s="1693"/>
      <c r="O489" s="1693"/>
      <c r="P489" s="1693"/>
      <c r="Q489" s="1693"/>
      <c r="R489" s="1700"/>
      <c r="S489" s="1700"/>
      <c r="T489" s="1700"/>
      <c r="U489" s="1695"/>
      <c r="V489" s="1686"/>
    </row>
    <row r="490" spans="1:22">
      <c r="A490" s="1532"/>
      <c r="B490" s="1689"/>
      <c r="C490" s="1675"/>
      <c r="D490" s="528" t="s">
        <v>880</v>
      </c>
      <c r="E490" s="1698"/>
      <c r="F490" s="1693"/>
      <c r="G490" s="1693"/>
      <c r="H490" s="1693"/>
      <c r="I490" s="1693"/>
      <c r="J490" s="1693"/>
      <c r="K490" s="1693"/>
      <c r="L490" s="1693"/>
      <c r="M490" s="1693"/>
      <c r="N490" s="1693"/>
      <c r="O490" s="1693"/>
      <c r="P490" s="1693"/>
      <c r="Q490" s="1693"/>
      <c r="R490" s="1701"/>
      <c r="S490" s="1701"/>
      <c r="T490" s="1701"/>
      <c r="U490" s="1696"/>
      <c r="V490" s="1687"/>
    </row>
    <row r="491" spans="1:22">
      <c r="A491" s="1532"/>
      <c r="B491" s="1697" t="s">
        <v>869</v>
      </c>
      <c r="C491" s="1530" t="s">
        <v>875</v>
      </c>
      <c r="D491" s="526" t="s">
        <v>876</v>
      </c>
      <c r="E491" s="1698"/>
      <c r="F491" s="1693"/>
      <c r="G491" s="1693"/>
      <c r="H491" s="1693"/>
      <c r="I491" s="1693"/>
      <c r="J491" s="1693"/>
      <c r="K491" s="1693"/>
      <c r="L491" s="1693"/>
      <c r="M491" s="1693"/>
      <c r="N491" s="1693"/>
      <c r="O491" s="1693"/>
      <c r="P491" s="1693"/>
      <c r="Q491" s="1693"/>
      <c r="R491" s="1693"/>
      <c r="S491" s="1699">
        <v>0.99</v>
      </c>
      <c r="T491" s="1699">
        <v>0.98009999999999997</v>
      </c>
      <c r="U491" s="1694">
        <v>0.97029899999999991</v>
      </c>
      <c r="V491" s="1685">
        <v>0.96059600999999994</v>
      </c>
    </row>
    <row r="492" spans="1:22">
      <c r="A492" s="1532"/>
      <c r="B492" s="1689"/>
      <c r="C492" s="1531"/>
      <c r="D492" s="527" t="s">
        <v>877</v>
      </c>
      <c r="E492" s="1698"/>
      <c r="F492" s="1693"/>
      <c r="G492" s="1693"/>
      <c r="H492" s="1693"/>
      <c r="I492" s="1693"/>
      <c r="J492" s="1693"/>
      <c r="K492" s="1693"/>
      <c r="L492" s="1693"/>
      <c r="M492" s="1693"/>
      <c r="N492" s="1693"/>
      <c r="O492" s="1693"/>
      <c r="P492" s="1693"/>
      <c r="Q492" s="1693"/>
      <c r="R492" s="1693"/>
      <c r="S492" s="1700"/>
      <c r="T492" s="1700"/>
      <c r="U492" s="1695"/>
      <c r="V492" s="1686"/>
    </row>
    <row r="493" spans="1:22">
      <c r="A493" s="1532"/>
      <c r="B493" s="1689"/>
      <c r="C493" s="1674" t="s">
        <v>878</v>
      </c>
      <c r="D493" s="527" t="s">
        <v>879</v>
      </c>
      <c r="E493" s="1698"/>
      <c r="F493" s="1693"/>
      <c r="G493" s="1693"/>
      <c r="H493" s="1693"/>
      <c r="I493" s="1693"/>
      <c r="J493" s="1693"/>
      <c r="K493" s="1693"/>
      <c r="L493" s="1693"/>
      <c r="M493" s="1693"/>
      <c r="N493" s="1693"/>
      <c r="O493" s="1693"/>
      <c r="P493" s="1693"/>
      <c r="Q493" s="1693"/>
      <c r="R493" s="1693"/>
      <c r="S493" s="1700"/>
      <c r="T493" s="1700"/>
      <c r="U493" s="1695"/>
      <c r="V493" s="1686"/>
    </row>
    <row r="494" spans="1:22">
      <c r="A494" s="1532"/>
      <c r="B494" s="1689"/>
      <c r="C494" s="1675"/>
      <c r="D494" s="528" t="s">
        <v>880</v>
      </c>
      <c r="E494" s="1698"/>
      <c r="F494" s="1693"/>
      <c r="G494" s="1693"/>
      <c r="H494" s="1693"/>
      <c r="I494" s="1693"/>
      <c r="J494" s="1693"/>
      <c r="K494" s="1693"/>
      <c r="L494" s="1693"/>
      <c r="M494" s="1693"/>
      <c r="N494" s="1693"/>
      <c r="O494" s="1693"/>
      <c r="P494" s="1693"/>
      <c r="Q494" s="1693"/>
      <c r="R494" s="1693"/>
      <c r="S494" s="1701"/>
      <c r="T494" s="1701"/>
      <c r="U494" s="1696"/>
      <c r="V494" s="1687"/>
    </row>
    <row r="495" spans="1:22">
      <c r="A495" s="1532"/>
      <c r="B495" s="1697" t="s">
        <v>870</v>
      </c>
      <c r="C495" s="1530" t="s">
        <v>875</v>
      </c>
      <c r="D495" s="526" t="s">
        <v>876</v>
      </c>
      <c r="E495" s="1698"/>
      <c r="F495" s="1693"/>
      <c r="G495" s="1693"/>
      <c r="H495" s="1693"/>
      <c r="I495" s="1693"/>
      <c r="J495" s="1693"/>
      <c r="K495" s="1693"/>
      <c r="L495" s="1693"/>
      <c r="M495" s="1693"/>
      <c r="N495" s="1693"/>
      <c r="O495" s="1693"/>
      <c r="P495" s="1693"/>
      <c r="Q495" s="1693"/>
      <c r="R495" s="1693"/>
      <c r="S495" s="1693"/>
      <c r="T495" s="1699">
        <v>0.99</v>
      </c>
      <c r="U495" s="1694">
        <v>0.98009999999999997</v>
      </c>
      <c r="V495" s="1685">
        <v>0.97029899999999991</v>
      </c>
    </row>
    <row r="496" spans="1:22">
      <c r="A496" s="1532"/>
      <c r="B496" s="1689"/>
      <c r="C496" s="1531"/>
      <c r="D496" s="527" t="s">
        <v>877</v>
      </c>
      <c r="E496" s="1698"/>
      <c r="F496" s="1693"/>
      <c r="G496" s="1693"/>
      <c r="H496" s="1693"/>
      <c r="I496" s="1693"/>
      <c r="J496" s="1693"/>
      <c r="K496" s="1693"/>
      <c r="L496" s="1693"/>
      <c r="M496" s="1693"/>
      <c r="N496" s="1693"/>
      <c r="O496" s="1693"/>
      <c r="P496" s="1693"/>
      <c r="Q496" s="1693"/>
      <c r="R496" s="1693"/>
      <c r="S496" s="1693"/>
      <c r="T496" s="1700"/>
      <c r="U496" s="1695"/>
      <c r="V496" s="1686"/>
    </row>
    <row r="497" spans="1:22">
      <c r="A497" s="1532"/>
      <c r="B497" s="1689"/>
      <c r="C497" s="1674" t="s">
        <v>878</v>
      </c>
      <c r="D497" s="527" t="s">
        <v>879</v>
      </c>
      <c r="E497" s="1698"/>
      <c r="F497" s="1693"/>
      <c r="G497" s="1693"/>
      <c r="H497" s="1693"/>
      <c r="I497" s="1693"/>
      <c r="J497" s="1693"/>
      <c r="K497" s="1693"/>
      <c r="L497" s="1693"/>
      <c r="M497" s="1693"/>
      <c r="N497" s="1693"/>
      <c r="O497" s="1693"/>
      <c r="P497" s="1693"/>
      <c r="Q497" s="1693"/>
      <c r="R497" s="1693"/>
      <c r="S497" s="1693"/>
      <c r="T497" s="1700"/>
      <c r="U497" s="1695"/>
      <c r="V497" s="1686"/>
    </row>
    <row r="498" spans="1:22">
      <c r="A498" s="1532"/>
      <c r="B498" s="1689"/>
      <c r="C498" s="1675"/>
      <c r="D498" s="528" t="s">
        <v>880</v>
      </c>
      <c r="E498" s="1698"/>
      <c r="F498" s="1693"/>
      <c r="G498" s="1693"/>
      <c r="H498" s="1693"/>
      <c r="I498" s="1693"/>
      <c r="J498" s="1693"/>
      <c r="K498" s="1693"/>
      <c r="L498" s="1693"/>
      <c r="M498" s="1693"/>
      <c r="N498" s="1693"/>
      <c r="O498" s="1693"/>
      <c r="P498" s="1693"/>
      <c r="Q498" s="1693"/>
      <c r="R498" s="1693"/>
      <c r="S498" s="1693"/>
      <c r="T498" s="1701"/>
      <c r="U498" s="1696"/>
      <c r="V498" s="1687"/>
    </row>
    <row r="499" spans="1:22">
      <c r="A499" s="1532"/>
      <c r="B499" s="1697" t="s">
        <v>871</v>
      </c>
      <c r="C499" s="1530" t="s">
        <v>875</v>
      </c>
      <c r="D499" s="526" t="s">
        <v>876</v>
      </c>
      <c r="E499" s="1698"/>
      <c r="F499" s="1693"/>
      <c r="G499" s="1693"/>
      <c r="H499" s="1693"/>
      <c r="I499" s="1693"/>
      <c r="J499" s="1693"/>
      <c r="K499" s="1693"/>
      <c r="L499" s="1693"/>
      <c r="M499" s="1693"/>
      <c r="N499" s="1693"/>
      <c r="O499" s="1693"/>
      <c r="P499" s="1693"/>
      <c r="Q499" s="1693"/>
      <c r="R499" s="1693"/>
      <c r="S499" s="1693"/>
      <c r="T499" s="1693"/>
      <c r="U499" s="1694">
        <v>0.99</v>
      </c>
      <c r="V499" s="1685">
        <v>0.98009999999999997</v>
      </c>
    </row>
    <row r="500" spans="1:22">
      <c r="A500" s="1532"/>
      <c r="B500" s="1689"/>
      <c r="C500" s="1531"/>
      <c r="D500" s="527" t="s">
        <v>877</v>
      </c>
      <c r="E500" s="1698"/>
      <c r="F500" s="1693"/>
      <c r="G500" s="1693"/>
      <c r="H500" s="1693"/>
      <c r="I500" s="1693"/>
      <c r="J500" s="1693"/>
      <c r="K500" s="1693"/>
      <c r="L500" s="1693"/>
      <c r="M500" s="1693"/>
      <c r="N500" s="1693"/>
      <c r="O500" s="1693"/>
      <c r="P500" s="1693"/>
      <c r="Q500" s="1693"/>
      <c r="R500" s="1693"/>
      <c r="S500" s="1693"/>
      <c r="T500" s="1693"/>
      <c r="U500" s="1695"/>
      <c r="V500" s="1686"/>
    </row>
    <row r="501" spans="1:22">
      <c r="A501" s="1532"/>
      <c r="B501" s="1689"/>
      <c r="C501" s="1674" t="s">
        <v>878</v>
      </c>
      <c r="D501" s="527" t="s">
        <v>879</v>
      </c>
      <c r="E501" s="1698"/>
      <c r="F501" s="1693"/>
      <c r="G501" s="1693"/>
      <c r="H501" s="1693"/>
      <c r="I501" s="1693"/>
      <c r="J501" s="1693"/>
      <c r="K501" s="1693"/>
      <c r="L501" s="1693"/>
      <c r="M501" s="1693"/>
      <c r="N501" s="1693"/>
      <c r="O501" s="1693"/>
      <c r="P501" s="1693"/>
      <c r="Q501" s="1693"/>
      <c r="R501" s="1693"/>
      <c r="S501" s="1693"/>
      <c r="T501" s="1693"/>
      <c r="U501" s="1695"/>
      <c r="V501" s="1686"/>
    </row>
    <row r="502" spans="1:22">
      <c r="A502" s="1532"/>
      <c r="B502" s="1689"/>
      <c r="C502" s="1675"/>
      <c r="D502" s="528" t="s">
        <v>880</v>
      </c>
      <c r="E502" s="1698"/>
      <c r="F502" s="1693"/>
      <c r="G502" s="1693"/>
      <c r="H502" s="1693"/>
      <c r="I502" s="1693"/>
      <c r="J502" s="1693"/>
      <c r="K502" s="1693"/>
      <c r="L502" s="1693"/>
      <c r="M502" s="1693"/>
      <c r="N502" s="1693"/>
      <c r="O502" s="1693"/>
      <c r="P502" s="1693"/>
      <c r="Q502" s="1693"/>
      <c r="R502" s="1693"/>
      <c r="S502" s="1693"/>
      <c r="T502" s="1693"/>
      <c r="U502" s="1696"/>
      <c r="V502" s="1687"/>
    </row>
    <row r="503" spans="1:22">
      <c r="A503" s="1532"/>
      <c r="B503" s="1697" t="s">
        <v>872</v>
      </c>
      <c r="C503" s="1530" t="s">
        <v>875</v>
      </c>
      <c r="D503" s="526" t="s">
        <v>876</v>
      </c>
      <c r="E503" s="1690"/>
      <c r="F503" s="1676"/>
      <c r="G503" s="1676"/>
      <c r="H503" s="1676"/>
      <c r="I503" s="1676"/>
      <c r="J503" s="1676"/>
      <c r="K503" s="1676"/>
      <c r="L503" s="1676"/>
      <c r="M503" s="1676"/>
      <c r="N503" s="1676"/>
      <c r="O503" s="1676"/>
      <c r="P503" s="1676"/>
      <c r="Q503" s="1676"/>
      <c r="R503" s="1676"/>
      <c r="S503" s="1676"/>
      <c r="T503" s="1676"/>
      <c r="U503" s="1693"/>
      <c r="V503" s="1685">
        <v>0.99</v>
      </c>
    </row>
    <row r="504" spans="1:22">
      <c r="A504" s="1532"/>
      <c r="B504" s="1689"/>
      <c r="C504" s="1531"/>
      <c r="D504" s="527" t="s">
        <v>877</v>
      </c>
      <c r="E504" s="1691"/>
      <c r="F504" s="1677"/>
      <c r="G504" s="1677"/>
      <c r="H504" s="1677"/>
      <c r="I504" s="1677"/>
      <c r="J504" s="1677"/>
      <c r="K504" s="1677"/>
      <c r="L504" s="1677"/>
      <c r="M504" s="1677"/>
      <c r="N504" s="1677"/>
      <c r="O504" s="1677"/>
      <c r="P504" s="1677"/>
      <c r="Q504" s="1677"/>
      <c r="R504" s="1677"/>
      <c r="S504" s="1677"/>
      <c r="T504" s="1677"/>
      <c r="U504" s="1693"/>
      <c r="V504" s="1686"/>
    </row>
    <row r="505" spans="1:22">
      <c r="A505" s="1532"/>
      <c r="B505" s="1689"/>
      <c r="C505" s="1674" t="s">
        <v>878</v>
      </c>
      <c r="D505" s="527" t="s">
        <v>879</v>
      </c>
      <c r="E505" s="1691"/>
      <c r="F505" s="1677"/>
      <c r="G505" s="1677"/>
      <c r="H505" s="1677"/>
      <c r="I505" s="1677"/>
      <c r="J505" s="1677"/>
      <c r="K505" s="1677"/>
      <c r="L505" s="1677"/>
      <c r="M505" s="1677"/>
      <c r="N505" s="1677"/>
      <c r="O505" s="1677"/>
      <c r="P505" s="1677"/>
      <c r="Q505" s="1677"/>
      <c r="R505" s="1677"/>
      <c r="S505" s="1677"/>
      <c r="T505" s="1677"/>
      <c r="U505" s="1693"/>
      <c r="V505" s="1686"/>
    </row>
    <row r="506" spans="1:22">
      <c r="A506" s="1532"/>
      <c r="B506" s="1689"/>
      <c r="C506" s="1675"/>
      <c r="D506" s="528" t="s">
        <v>880</v>
      </c>
      <c r="E506" s="1692"/>
      <c r="F506" s="1678"/>
      <c r="G506" s="1678"/>
      <c r="H506" s="1678"/>
      <c r="I506" s="1678"/>
      <c r="J506" s="1678"/>
      <c r="K506" s="1678"/>
      <c r="L506" s="1678"/>
      <c r="M506" s="1678"/>
      <c r="N506" s="1678"/>
      <c r="O506" s="1678"/>
      <c r="P506" s="1678"/>
      <c r="Q506" s="1678"/>
      <c r="R506" s="1678"/>
      <c r="S506" s="1678"/>
      <c r="T506" s="1678"/>
      <c r="U506" s="1693"/>
      <c r="V506" s="1687"/>
    </row>
    <row r="507" spans="1:22">
      <c r="A507" s="1532"/>
      <c r="B507" s="1688" t="s">
        <v>873</v>
      </c>
      <c r="C507" s="1530" t="s">
        <v>875</v>
      </c>
      <c r="D507" s="526" t="s">
        <v>876</v>
      </c>
      <c r="E507" s="1690"/>
      <c r="F507" s="1676"/>
      <c r="G507" s="1676"/>
      <c r="H507" s="1676"/>
      <c r="I507" s="1676"/>
      <c r="J507" s="1676"/>
      <c r="K507" s="1676"/>
      <c r="L507" s="1676"/>
      <c r="M507" s="1676"/>
      <c r="N507" s="1676"/>
      <c r="O507" s="1676"/>
      <c r="P507" s="1676"/>
      <c r="Q507" s="1676"/>
      <c r="R507" s="1676"/>
      <c r="S507" s="1676"/>
      <c r="T507" s="1676"/>
      <c r="U507" s="1679"/>
      <c r="V507" s="1682"/>
    </row>
    <row r="508" spans="1:22">
      <c r="A508" s="1532"/>
      <c r="B508" s="1689"/>
      <c r="C508" s="1531"/>
      <c r="D508" s="527" t="s">
        <v>877</v>
      </c>
      <c r="E508" s="1691"/>
      <c r="F508" s="1677"/>
      <c r="G508" s="1677"/>
      <c r="H508" s="1677"/>
      <c r="I508" s="1677"/>
      <c r="J508" s="1677"/>
      <c r="K508" s="1677"/>
      <c r="L508" s="1677"/>
      <c r="M508" s="1677"/>
      <c r="N508" s="1677"/>
      <c r="O508" s="1677"/>
      <c r="P508" s="1677"/>
      <c r="Q508" s="1677"/>
      <c r="R508" s="1677"/>
      <c r="S508" s="1677"/>
      <c r="T508" s="1677"/>
      <c r="U508" s="1680"/>
      <c r="V508" s="1683"/>
    </row>
    <row r="509" spans="1:22">
      <c r="A509" s="1532"/>
      <c r="B509" s="1689"/>
      <c r="C509" s="1674" t="s">
        <v>878</v>
      </c>
      <c r="D509" s="527" t="s">
        <v>879</v>
      </c>
      <c r="E509" s="1691"/>
      <c r="F509" s="1677"/>
      <c r="G509" s="1677"/>
      <c r="H509" s="1677"/>
      <c r="I509" s="1677"/>
      <c r="J509" s="1677"/>
      <c r="K509" s="1677"/>
      <c r="L509" s="1677"/>
      <c r="M509" s="1677"/>
      <c r="N509" s="1677"/>
      <c r="O509" s="1677"/>
      <c r="P509" s="1677"/>
      <c r="Q509" s="1677"/>
      <c r="R509" s="1677"/>
      <c r="S509" s="1677"/>
      <c r="T509" s="1677"/>
      <c r="U509" s="1680"/>
      <c r="V509" s="1683"/>
    </row>
    <row r="510" spans="1:22">
      <c r="A510" s="1525"/>
      <c r="B510" s="1689"/>
      <c r="C510" s="1675"/>
      <c r="D510" s="528" t="s">
        <v>880</v>
      </c>
      <c r="E510" s="1692"/>
      <c r="F510" s="1678"/>
      <c r="G510" s="1678"/>
      <c r="H510" s="1678"/>
      <c r="I510" s="1678"/>
      <c r="J510" s="1678"/>
      <c r="K510" s="1678"/>
      <c r="L510" s="1678"/>
      <c r="M510" s="1678"/>
      <c r="N510" s="1678"/>
      <c r="O510" s="1678"/>
      <c r="P510" s="1678"/>
      <c r="Q510" s="1678"/>
      <c r="R510" s="1678"/>
      <c r="S510" s="1678"/>
      <c r="T510" s="1678"/>
      <c r="U510" s="1681"/>
      <c r="V510" s="1684"/>
    </row>
    <row r="511" spans="1:22">
      <c r="A511" s="1524" t="s">
        <v>883</v>
      </c>
      <c r="B511" s="1688" t="s">
        <v>881</v>
      </c>
      <c r="C511" s="1530" t="s">
        <v>875</v>
      </c>
      <c r="D511" s="526" t="s">
        <v>876</v>
      </c>
      <c r="E511" s="1690"/>
      <c r="F511" s="1699">
        <v>0.61</v>
      </c>
      <c r="G511" s="1699">
        <v>0.4819</v>
      </c>
      <c r="H511" s="1699">
        <v>0.41925299999999999</v>
      </c>
      <c r="I511" s="1699">
        <v>0.40248287999999999</v>
      </c>
      <c r="J511" s="1699">
        <v>0.3702842496</v>
      </c>
      <c r="K511" s="1699">
        <v>0.34806719462399999</v>
      </c>
      <c r="L511" s="1699">
        <v>0.33066383489279999</v>
      </c>
      <c r="M511" s="1699">
        <v>0.317437281497088</v>
      </c>
      <c r="N511" s="1699">
        <v>0.29521667179229183</v>
      </c>
      <c r="O511" s="1699">
        <v>0.28931233835644599</v>
      </c>
      <c r="P511" s="1699">
        <v>0.28352609158931708</v>
      </c>
      <c r="Q511" s="1699">
        <v>0.27785556975753073</v>
      </c>
      <c r="R511" s="1699">
        <v>0.27229845836238009</v>
      </c>
      <c r="S511" s="1699">
        <v>0.26957547377875629</v>
      </c>
      <c r="T511" s="1699">
        <v>0.26687971904096874</v>
      </c>
      <c r="U511" s="1694">
        <v>0.26421092185055906</v>
      </c>
      <c r="V511" s="1685">
        <v>0.26156881263205345</v>
      </c>
    </row>
    <row r="512" spans="1:22">
      <c r="A512" s="1532"/>
      <c r="B512" s="1689"/>
      <c r="C512" s="1531"/>
      <c r="D512" s="527" t="s">
        <v>877</v>
      </c>
      <c r="E512" s="1691"/>
      <c r="F512" s="1700"/>
      <c r="G512" s="1700"/>
      <c r="H512" s="1700"/>
      <c r="I512" s="1700"/>
      <c r="J512" s="1700"/>
      <c r="K512" s="1700"/>
      <c r="L512" s="1700"/>
      <c r="M512" s="1700"/>
      <c r="N512" s="1700"/>
      <c r="O512" s="1700"/>
      <c r="P512" s="1700"/>
      <c r="Q512" s="1700"/>
      <c r="R512" s="1700"/>
      <c r="S512" s="1700"/>
      <c r="T512" s="1700"/>
      <c r="U512" s="1695"/>
      <c r="V512" s="1686"/>
    </row>
    <row r="513" spans="1:22">
      <c r="A513" s="1532"/>
      <c r="B513" s="1689"/>
      <c r="C513" s="1674" t="s">
        <v>878</v>
      </c>
      <c r="D513" s="527" t="s">
        <v>879</v>
      </c>
      <c r="E513" s="1691"/>
      <c r="F513" s="1700"/>
      <c r="G513" s="1700"/>
      <c r="H513" s="1700"/>
      <c r="I513" s="1700"/>
      <c r="J513" s="1700"/>
      <c r="K513" s="1700"/>
      <c r="L513" s="1700"/>
      <c r="M513" s="1700"/>
      <c r="N513" s="1700"/>
      <c r="O513" s="1700"/>
      <c r="P513" s="1700"/>
      <c r="Q513" s="1700"/>
      <c r="R513" s="1700"/>
      <c r="S513" s="1700"/>
      <c r="T513" s="1700"/>
      <c r="U513" s="1695"/>
      <c r="V513" s="1686"/>
    </row>
    <row r="514" spans="1:22">
      <c r="A514" s="1532"/>
      <c r="B514" s="1689"/>
      <c r="C514" s="1675"/>
      <c r="D514" s="528" t="s">
        <v>880</v>
      </c>
      <c r="E514" s="1692"/>
      <c r="F514" s="1701"/>
      <c r="G514" s="1701"/>
      <c r="H514" s="1701"/>
      <c r="I514" s="1701"/>
      <c r="J514" s="1701"/>
      <c r="K514" s="1701"/>
      <c r="L514" s="1701"/>
      <c r="M514" s="1701"/>
      <c r="N514" s="1701"/>
      <c r="O514" s="1701"/>
      <c r="P514" s="1701"/>
      <c r="Q514" s="1701"/>
      <c r="R514" s="1701"/>
      <c r="S514" s="1701"/>
      <c r="T514" s="1701"/>
      <c r="U514" s="1696"/>
      <c r="V514" s="1687"/>
    </row>
    <row r="515" spans="1:22">
      <c r="A515" s="1532"/>
      <c r="B515" s="1688" t="s">
        <v>857</v>
      </c>
      <c r="C515" s="1530" t="s">
        <v>875</v>
      </c>
      <c r="D515" s="526" t="s">
        <v>876</v>
      </c>
      <c r="E515" s="1698"/>
      <c r="F515" s="1693"/>
      <c r="G515" s="1699">
        <v>0.79</v>
      </c>
      <c r="H515" s="1699">
        <v>0.68730000000000002</v>
      </c>
      <c r="I515" s="1699">
        <v>0.65980799999999995</v>
      </c>
      <c r="J515" s="1699">
        <v>0.60702336000000001</v>
      </c>
      <c r="K515" s="1699">
        <v>0.57060195839999994</v>
      </c>
      <c r="L515" s="1699">
        <v>0.54207186047999989</v>
      </c>
      <c r="M515" s="1699">
        <v>0.52038898606079986</v>
      </c>
      <c r="N515" s="1699">
        <v>0.48396175703654387</v>
      </c>
      <c r="O515" s="1699">
        <v>0.47428252189581299</v>
      </c>
      <c r="P515" s="1699">
        <v>0.46479687145789672</v>
      </c>
      <c r="Q515" s="1699">
        <v>0.45550093402873876</v>
      </c>
      <c r="R515" s="1699">
        <v>0.446390915348164</v>
      </c>
      <c r="S515" s="1699">
        <v>0.44192700619468234</v>
      </c>
      <c r="T515" s="1699">
        <v>0.43750773613273553</v>
      </c>
      <c r="U515" s="1694">
        <v>0.43313265877140816</v>
      </c>
      <c r="V515" s="1685">
        <v>0.42880133218369409</v>
      </c>
    </row>
    <row r="516" spans="1:22">
      <c r="A516" s="1532"/>
      <c r="B516" s="1689"/>
      <c r="C516" s="1531"/>
      <c r="D516" s="527" t="s">
        <v>877</v>
      </c>
      <c r="E516" s="1698"/>
      <c r="F516" s="1693"/>
      <c r="G516" s="1700"/>
      <c r="H516" s="1700"/>
      <c r="I516" s="1700"/>
      <c r="J516" s="1700"/>
      <c r="K516" s="1700"/>
      <c r="L516" s="1700"/>
      <c r="M516" s="1700"/>
      <c r="N516" s="1700"/>
      <c r="O516" s="1700"/>
      <c r="P516" s="1700"/>
      <c r="Q516" s="1700"/>
      <c r="R516" s="1700"/>
      <c r="S516" s="1700"/>
      <c r="T516" s="1700"/>
      <c r="U516" s="1695"/>
      <c r="V516" s="1686"/>
    </row>
    <row r="517" spans="1:22">
      <c r="A517" s="1532"/>
      <c r="B517" s="1689"/>
      <c r="C517" s="1674" t="s">
        <v>878</v>
      </c>
      <c r="D517" s="527" t="s">
        <v>879</v>
      </c>
      <c r="E517" s="1698"/>
      <c r="F517" s="1693"/>
      <c r="G517" s="1700"/>
      <c r="H517" s="1700"/>
      <c r="I517" s="1700"/>
      <c r="J517" s="1700"/>
      <c r="K517" s="1700"/>
      <c r="L517" s="1700"/>
      <c r="M517" s="1700"/>
      <c r="N517" s="1700"/>
      <c r="O517" s="1700"/>
      <c r="P517" s="1700"/>
      <c r="Q517" s="1700"/>
      <c r="R517" s="1700"/>
      <c r="S517" s="1700"/>
      <c r="T517" s="1700"/>
      <c r="U517" s="1695"/>
      <c r="V517" s="1686"/>
    </row>
    <row r="518" spans="1:22">
      <c r="A518" s="1532"/>
      <c r="B518" s="1689"/>
      <c r="C518" s="1675"/>
      <c r="D518" s="528" t="s">
        <v>880</v>
      </c>
      <c r="E518" s="1698"/>
      <c r="F518" s="1693"/>
      <c r="G518" s="1701"/>
      <c r="H518" s="1701"/>
      <c r="I518" s="1701"/>
      <c r="J518" s="1701"/>
      <c r="K518" s="1701"/>
      <c r="L518" s="1701"/>
      <c r="M518" s="1701"/>
      <c r="N518" s="1701"/>
      <c r="O518" s="1701"/>
      <c r="P518" s="1701"/>
      <c r="Q518" s="1701"/>
      <c r="R518" s="1701"/>
      <c r="S518" s="1701"/>
      <c r="T518" s="1701"/>
      <c r="U518" s="1696"/>
      <c r="V518" s="1687"/>
    </row>
    <row r="519" spans="1:22">
      <c r="A519" s="1532"/>
      <c r="B519" s="1688" t="s">
        <v>858</v>
      </c>
      <c r="C519" s="1530" t="s">
        <v>875</v>
      </c>
      <c r="D519" s="526" t="s">
        <v>876</v>
      </c>
      <c r="E519" s="1698"/>
      <c r="F519" s="1693"/>
      <c r="G519" s="1693"/>
      <c r="H519" s="1699">
        <v>0.87</v>
      </c>
      <c r="I519" s="1699">
        <v>0.83519999999999994</v>
      </c>
      <c r="J519" s="1699">
        <v>0.76838399999999996</v>
      </c>
      <c r="K519" s="1699">
        <v>0.72228095999999997</v>
      </c>
      <c r="L519" s="1699">
        <v>0.68616691199999991</v>
      </c>
      <c r="M519" s="1699">
        <v>0.65872023551999992</v>
      </c>
      <c r="N519" s="1699">
        <v>0.61260981903360001</v>
      </c>
      <c r="O519" s="1699">
        <v>0.60035762265292802</v>
      </c>
      <c r="P519" s="1699">
        <v>0.58835047019986941</v>
      </c>
      <c r="Q519" s="1699">
        <v>0.57658346079587197</v>
      </c>
      <c r="R519" s="1699">
        <v>0.56505179157995455</v>
      </c>
      <c r="S519" s="1699">
        <v>0.55940127366415504</v>
      </c>
      <c r="T519" s="1699">
        <v>0.55380726092751353</v>
      </c>
      <c r="U519" s="1694">
        <v>0.54826918831823834</v>
      </c>
      <c r="V519" s="1685">
        <v>0.54278649643505594</v>
      </c>
    </row>
    <row r="520" spans="1:22">
      <c r="A520" s="1532"/>
      <c r="B520" s="1689"/>
      <c r="C520" s="1531"/>
      <c r="D520" s="527" t="s">
        <v>877</v>
      </c>
      <c r="E520" s="1698"/>
      <c r="F520" s="1693"/>
      <c r="G520" s="1693"/>
      <c r="H520" s="1700"/>
      <c r="I520" s="1700"/>
      <c r="J520" s="1700"/>
      <c r="K520" s="1700"/>
      <c r="L520" s="1700"/>
      <c r="M520" s="1700"/>
      <c r="N520" s="1700"/>
      <c r="O520" s="1700"/>
      <c r="P520" s="1700"/>
      <c r="Q520" s="1700"/>
      <c r="R520" s="1700"/>
      <c r="S520" s="1700"/>
      <c r="T520" s="1700"/>
      <c r="U520" s="1695"/>
      <c r="V520" s="1686"/>
    </row>
    <row r="521" spans="1:22">
      <c r="A521" s="1532"/>
      <c r="B521" s="1689"/>
      <c r="C521" s="1674" t="s">
        <v>878</v>
      </c>
      <c r="D521" s="527" t="s">
        <v>879</v>
      </c>
      <c r="E521" s="1698"/>
      <c r="F521" s="1693"/>
      <c r="G521" s="1693"/>
      <c r="H521" s="1700"/>
      <c r="I521" s="1700"/>
      <c r="J521" s="1700"/>
      <c r="K521" s="1700"/>
      <c r="L521" s="1700"/>
      <c r="M521" s="1700"/>
      <c r="N521" s="1700"/>
      <c r="O521" s="1700"/>
      <c r="P521" s="1700"/>
      <c r="Q521" s="1700"/>
      <c r="R521" s="1700"/>
      <c r="S521" s="1700"/>
      <c r="T521" s="1700"/>
      <c r="U521" s="1695"/>
      <c r="V521" s="1686"/>
    </row>
    <row r="522" spans="1:22">
      <c r="A522" s="1532"/>
      <c r="B522" s="1689"/>
      <c r="C522" s="1675"/>
      <c r="D522" s="528" t="s">
        <v>880</v>
      </c>
      <c r="E522" s="1698"/>
      <c r="F522" s="1693"/>
      <c r="G522" s="1693"/>
      <c r="H522" s="1701"/>
      <c r="I522" s="1701"/>
      <c r="J522" s="1701"/>
      <c r="K522" s="1701"/>
      <c r="L522" s="1701"/>
      <c r="M522" s="1701"/>
      <c r="N522" s="1701"/>
      <c r="O522" s="1701"/>
      <c r="P522" s="1701"/>
      <c r="Q522" s="1701"/>
      <c r="R522" s="1701"/>
      <c r="S522" s="1701"/>
      <c r="T522" s="1701"/>
      <c r="U522" s="1696"/>
      <c r="V522" s="1687"/>
    </row>
    <row r="523" spans="1:22">
      <c r="A523" s="1532"/>
      <c r="B523" s="1688" t="s">
        <v>859</v>
      </c>
      <c r="C523" s="1530" t="s">
        <v>875</v>
      </c>
      <c r="D523" s="526" t="s">
        <v>876</v>
      </c>
      <c r="E523" s="1698"/>
      <c r="F523" s="1693"/>
      <c r="G523" s="1693"/>
      <c r="H523" s="1693"/>
      <c r="I523" s="1699">
        <v>0.96</v>
      </c>
      <c r="J523" s="1699">
        <v>0.88319999999999999</v>
      </c>
      <c r="K523" s="1699">
        <v>0.83020799999999995</v>
      </c>
      <c r="L523" s="1699">
        <v>0.78869759999999989</v>
      </c>
      <c r="M523" s="1699">
        <v>0.75714969599999982</v>
      </c>
      <c r="N523" s="1699">
        <v>0.70414921727999991</v>
      </c>
      <c r="O523" s="1699">
        <v>0.69006623293439995</v>
      </c>
      <c r="P523" s="1699">
        <v>0.67626490827571195</v>
      </c>
      <c r="Q523" s="1699">
        <v>0.66273961011019766</v>
      </c>
      <c r="R523" s="1699">
        <v>0.64948481790799373</v>
      </c>
      <c r="S523" s="1699">
        <v>0.64298996972891376</v>
      </c>
      <c r="T523" s="1699">
        <v>0.63656007003162463</v>
      </c>
      <c r="U523" s="1694">
        <v>0.6301944693313084</v>
      </c>
      <c r="V523" s="1685">
        <v>0.62389252463799527</v>
      </c>
    </row>
    <row r="524" spans="1:22">
      <c r="A524" s="1532"/>
      <c r="B524" s="1689"/>
      <c r="C524" s="1531"/>
      <c r="D524" s="527" t="s">
        <v>877</v>
      </c>
      <c r="E524" s="1698"/>
      <c r="F524" s="1693"/>
      <c r="G524" s="1693"/>
      <c r="H524" s="1693"/>
      <c r="I524" s="1700"/>
      <c r="J524" s="1700"/>
      <c r="K524" s="1700"/>
      <c r="L524" s="1700"/>
      <c r="M524" s="1700"/>
      <c r="N524" s="1700"/>
      <c r="O524" s="1700"/>
      <c r="P524" s="1700"/>
      <c r="Q524" s="1700"/>
      <c r="R524" s="1700"/>
      <c r="S524" s="1700"/>
      <c r="T524" s="1700"/>
      <c r="U524" s="1695"/>
      <c r="V524" s="1686"/>
    </row>
    <row r="525" spans="1:22">
      <c r="A525" s="1532"/>
      <c r="B525" s="1689"/>
      <c r="C525" s="1674" t="s">
        <v>878</v>
      </c>
      <c r="D525" s="527" t="s">
        <v>879</v>
      </c>
      <c r="E525" s="1698"/>
      <c r="F525" s="1693"/>
      <c r="G525" s="1693"/>
      <c r="H525" s="1693"/>
      <c r="I525" s="1700"/>
      <c r="J525" s="1700"/>
      <c r="K525" s="1700"/>
      <c r="L525" s="1700"/>
      <c r="M525" s="1700"/>
      <c r="N525" s="1700"/>
      <c r="O525" s="1700"/>
      <c r="P525" s="1700"/>
      <c r="Q525" s="1700"/>
      <c r="R525" s="1700"/>
      <c r="S525" s="1700"/>
      <c r="T525" s="1700"/>
      <c r="U525" s="1695"/>
      <c r="V525" s="1686"/>
    </row>
    <row r="526" spans="1:22">
      <c r="A526" s="1532"/>
      <c r="B526" s="1689"/>
      <c r="C526" s="1675"/>
      <c r="D526" s="528" t="s">
        <v>880</v>
      </c>
      <c r="E526" s="1698"/>
      <c r="F526" s="1693"/>
      <c r="G526" s="1693"/>
      <c r="H526" s="1693"/>
      <c r="I526" s="1701"/>
      <c r="J526" s="1701"/>
      <c r="K526" s="1701"/>
      <c r="L526" s="1701"/>
      <c r="M526" s="1701"/>
      <c r="N526" s="1701"/>
      <c r="O526" s="1701"/>
      <c r="P526" s="1701"/>
      <c r="Q526" s="1701"/>
      <c r="R526" s="1701"/>
      <c r="S526" s="1701"/>
      <c r="T526" s="1701"/>
      <c r="U526" s="1696"/>
      <c r="V526" s="1687"/>
    </row>
    <row r="527" spans="1:22">
      <c r="A527" s="1532"/>
      <c r="B527" s="1697" t="s">
        <v>860</v>
      </c>
      <c r="C527" s="1530" t="s">
        <v>875</v>
      </c>
      <c r="D527" s="526" t="s">
        <v>876</v>
      </c>
      <c r="E527" s="1698"/>
      <c r="F527" s="1693"/>
      <c r="G527" s="1693"/>
      <c r="H527" s="1693"/>
      <c r="I527" s="1693"/>
      <c r="J527" s="1699">
        <v>0.92</v>
      </c>
      <c r="K527" s="1699">
        <v>0.86480000000000001</v>
      </c>
      <c r="L527" s="1699">
        <v>0.82155999999999996</v>
      </c>
      <c r="M527" s="1699">
        <v>0.78869759999999989</v>
      </c>
      <c r="N527" s="1699">
        <v>0.73348876799999996</v>
      </c>
      <c r="O527" s="1699">
        <v>0.71881899263999993</v>
      </c>
      <c r="P527" s="1699">
        <v>0.70444261278719988</v>
      </c>
      <c r="Q527" s="1699">
        <v>0.69035376053145592</v>
      </c>
      <c r="R527" s="1699">
        <v>0.67654668532082674</v>
      </c>
      <c r="S527" s="1699">
        <v>0.66978121846761851</v>
      </c>
      <c r="T527" s="1699">
        <v>0.66308340628294227</v>
      </c>
      <c r="U527" s="1694">
        <v>0.65645257222011288</v>
      </c>
      <c r="V527" s="1685">
        <v>0.64988804649791176</v>
      </c>
    </row>
    <row r="528" spans="1:22">
      <c r="A528" s="1532"/>
      <c r="B528" s="1689"/>
      <c r="C528" s="1531"/>
      <c r="D528" s="527" t="s">
        <v>877</v>
      </c>
      <c r="E528" s="1698"/>
      <c r="F528" s="1693"/>
      <c r="G528" s="1693"/>
      <c r="H528" s="1693"/>
      <c r="I528" s="1693"/>
      <c r="J528" s="1700"/>
      <c r="K528" s="1700"/>
      <c r="L528" s="1700"/>
      <c r="M528" s="1700"/>
      <c r="N528" s="1700"/>
      <c r="O528" s="1700"/>
      <c r="P528" s="1700"/>
      <c r="Q528" s="1700"/>
      <c r="R528" s="1700"/>
      <c r="S528" s="1700"/>
      <c r="T528" s="1700"/>
      <c r="U528" s="1695"/>
      <c r="V528" s="1686"/>
    </row>
    <row r="529" spans="1:22">
      <c r="A529" s="1532"/>
      <c r="B529" s="1689"/>
      <c r="C529" s="1674" t="s">
        <v>878</v>
      </c>
      <c r="D529" s="527" t="s">
        <v>879</v>
      </c>
      <c r="E529" s="1698"/>
      <c r="F529" s="1693"/>
      <c r="G529" s="1693"/>
      <c r="H529" s="1693"/>
      <c r="I529" s="1693"/>
      <c r="J529" s="1700"/>
      <c r="K529" s="1700"/>
      <c r="L529" s="1700"/>
      <c r="M529" s="1700"/>
      <c r="N529" s="1700"/>
      <c r="O529" s="1700"/>
      <c r="P529" s="1700"/>
      <c r="Q529" s="1700"/>
      <c r="R529" s="1700"/>
      <c r="S529" s="1700"/>
      <c r="T529" s="1700"/>
      <c r="U529" s="1695"/>
      <c r="V529" s="1686"/>
    </row>
    <row r="530" spans="1:22">
      <c r="A530" s="1532"/>
      <c r="B530" s="1689"/>
      <c r="C530" s="1675"/>
      <c r="D530" s="528" t="s">
        <v>880</v>
      </c>
      <c r="E530" s="1698"/>
      <c r="F530" s="1693"/>
      <c r="G530" s="1693"/>
      <c r="H530" s="1693"/>
      <c r="I530" s="1693"/>
      <c r="J530" s="1701"/>
      <c r="K530" s="1701"/>
      <c r="L530" s="1701"/>
      <c r="M530" s="1701"/>
      <c r="N530" s="1701"/>
      <c r="O530" s="1701"/>
      <c r="P530" s="1701"/>
      <c r="Q530" s="1701"/>
      <c r="R530" s="1701"/>
      <c r="S530" s="1701"/>
      <c r="T530" s="1701"/>
      <c r="U530" s="1696"/>
      <c r="V530" s="1687"/>
    </row>
    <row r="531" spans="1:22">
      <c r="A531" s="1532"/>
      <c r="B531" s="1697" t="s">
        <v>861</v>
      </c>
      <c r="C531" s="1530" t="s">
        <v>875</v>
      </c>
      <c r="D531" s="526" t="s">
        <v>876</v>
      </c>
      <c r="E531" s="1698"/>
      <c r="F531" s="1693"/>
      <c r="G531" s="1693"/>
      <c r="H531" s="1693"/>
      <c r="I531" s="1693"/>
      <c r="J531" s="1693"/>
      <c r="K531" s="1699">
        <v>0.94</v>
      </c>
      <c r="L531" s="1699">
        <v>0.8929999999999999</v>
      </c>
      <c r="M531" s="1699">
        <v>0.85727999999999993</v>
      </c>
      <c r="N531" s="1699">
        <v>0.79727039999999993</v>
      </c>
      <c r="O531" s="1699">
        <v>0.78132499199999994</v>
      </c>
      <c r="P531" s="1699">
        <v>0.76569849215999997</v>
      </c>
      <c r="Q531" s="1699">
        <v>0.75038452231679997</v>
      </c>
      <c r="R531" s="1699">
        <v>0.73537683187046399</v>
      </c>
      <c r="S531" s="1699">
        <v>0.72802306355175939</v>
      </c>
      <c r="T531" s="1699">
        <v>0.72074283291624175</v>
      </c>
      <c r="U531" s="1694">
        <v>0.71353540458707931</v>
      </c>
      <c r="V531" s="1685">
        <v>0.70640005054120847</v>
      </c>
    </row>
    <row r="532" spans="1:22">
      <c r="A532" s="1532"/>
      <c r="B532" s="1689"/>
      <c r="C532" s="1531"/>
      <c r="D532" s="527" t="s">
        <v>877</v>
      </c>
      <c r="E532" s="1698"/>
      <c r="F532" s="1693"/>
      <c r="G532" s="1693"/>
      <c r="H532" s="1693"/>
      <c r="I532" s="1693"/>
      <c r="J532" s="1693"/>
      <c r="K532" s="1700"/>
      <c r="L532" s="1700"/>
      <c r="M532" s="1700"/>
      <c r="N532" s="1700"/>
      <c r="O532" s="1700"/>
      <c r="P532" s="1700"/>
      <c r="Q532" s="1700"/>
      <c r="R532" s="1700"/>
      <c r="S532" s="1700"/>
      <c r="T532" s="1700"/>
      <c r="U532" s="1695"/>
      <c r="V532" s="1686"/>
    </row>
    <row r="533" spans="1:22">
      <c r="A533" s="1532"/>
      <c r="B533" s="1689"/>
      <c r="C533" s="1674" t="s">
        <v>878</v>
      </c>
      <c r="D533" s="527" t="s">
        <v>879</v>
      </c>
      <c r="E533" s="1698"/>
      <c r="F533" s="1693"/>
      <c r="G533" s="1693"/>
      <c r="H533" s="1693"/>
      <c r="I533" s="1693"/>
      <c r="J533" s="1693"/>
      <c r="K533" s="1700"/>
      <c r="L533" s="1700"/>
      <c r="M533" s="1700"/>
      <c r="N533" s="1700"/>
      <c r="O533" s="1700"/>
      <c r="P533" s="1700"/>
      <c r="Q533" s="1700"/>
      <c r="R533" s="1700"/>
      <c r="S533" s="1700"/>
      <c r="T533" s="1700"/>
      <c r="U533" s="1695"/>
      <c r="V533" s="1686"/>
    </row>
    <row r="534" spans="1:22">
      <c r="A534" s="1532"/>
      <c r="B534" s="1689"/>
      <c r="C534" s="1675"/>
      <c r="D534" s="528" t="s">
        <v>880</v>
      </c>
      <c r="E534" s="1698"/>
      <c r="F534" s="1693"/>
      <c r="G534" s="1693"/>
      <c r="H534" s="1693"/>
      <c r="I534" s="1693"/>
      <c r="J534" s="1693"/>
      <c r="K534" s="1701"/>
      <c r="L534" s="1701"/>
      <c r="M534" s="1701"/>
      <c r="N534" s="1701"/>
      <c r="O534" s="1701"/>
      <c r="P534" s="1701"/>
      <c r="Q534" s="1701"/>
      <c r="R534" s="1701"/>
      <c r="S534" s="1701"/>
      <c r="T534" s="1701"/>
      <c r="U534" s="1696"/>
      <c r="V534" s="1687"/>
    </row>
    <row r="535" spans="1:22">
      <c r="A535" s="1532"/>
      <c r="B535" s="1697" t="s">
        <v>862</v>
      </c>
      <c r="C535" s="1530" t="s">
        <v>875</v>
      </c>
      <c r="D535" s="526" t="s">
        <v>876</v>
      </c>
      <c r="E535" s="1698"/>
      <c r="F535" s="1693"/>
      <c r="G535" s="1693"/>
      <c r="H535" s="1693"/>
      <c r="I535" s="1693"/>
      <c r="J535" s="1693"/>
      <c r="K535" s="1693"/>
      <c r="L535" s="1699">
        <v>0.95</v>
      </c>
      <c r="M535" s="1699">
        <v>0.91199999999999992</v>
      </c>
      <c r="N535" s="1699">
        <v>0.84816000000000003</v>
      </c>
      <c r="O535" s="1699">
        <v>0.83119679999999996</v>
      </c>
      <c r="P535" s="1699">
        <v>0.81457286399999995</v>
      </c>
      <c r="Q535" s="1699">
        <v>0.79828140671999992</v>
      </c>
      <c r="R535" s="1699">
        <v>0.78231577858559986</v>
      </c>
      <c r="S535" s="1699">
        <v>0.7744926207997439</v>
      </c>
      <c r="T535" s="1699">
        <v>0.76674769459174641</v>
      </c>
      <c r="U535" s="1694">
        <v>0.75908021764582889</v>
      </c>
      <c r="V535" s="1685">
        <v>0.75148941546937065</v>
      </c>
    </row>
    <row r="536" spans="1:22">
      <c r="A536" s="1532"/>
      <c r="B536" s="1689"/>
      <c r="C536" s="1531"/>
      <c r="D536" s="527" t="s">
        <v>877</v>
      </c>
      <c r="E536" s="1698"/>
      <c r="F536" s="1693"/>
      <c r="G536" s="1693"/>
      <c r="H536" s="1693"/>
      <c r="I536" s="1693"/>
      <c r="J536" s="1693"/>
      <c r="K536" s="1693"/>
      <c r="L536" s="1700"/>
      <c r="M536" s="1700"/>
      <c r="N536" s="1700"/>
      <c r="O536" s="1700"/>
      <c r="P536" s="1700"/>
      <c r="Q536" s="1700"/>
      <c r="R536" s="1700"/>
      <c r="S536" s="1700"/>
      <c r="T536" s="1700"/>
      <c r="U536" s="1695"/>
      <c r="V536" s="1686"/>
    </row>
    <row r="537" spans="1:22">
      <c r="A537" s="1532"/>
      <c r="B537" s="1689"/>
      <c r="C537" s="1674" t="s">
        <v>878</v>
      </c>
      <c r="D537" s="527" t="s">
        <v>879</v>
      </c>
      <c r="E537" s="1698"/>
      <c r="F537" s="1693"/>
      <c r="G537" s="1693"/>
      <c r="H537" s="1693"/>
      <c r="I537" s="1693"/>
      <c r="J537" s="1693"/>
      <c r="K537" s="1693"/>
      <c r="L537" s="1700"/>
      <c r="M537" s="1700"/>
      <c r="N537" s="1700"/>
      <c r="O537" s="1700"/>
      <c r="P537" s="1700"/>
      <c r="Q537" s="1700"/>
      <c r="R537" s="1700"/>
      <c r="S537" s="1700"/>
      <c r="T537" s="1700"/>
      <c r="U537" s="1695"/>
      <c r="V537" s="1686"/>
    </row>
    <row r="538" spans="1:22">
      <c r="A538" s="1532"/>
      <c r="B538" s="1689"/>
      <c r="C538" s="1675"/>
      <c r="D538" s="528" t="s">
        <v>880</v>
      </c>
      <c r="E538" s="1698"/>
      <c r="F538" s="1693"/>
      <c r="G538" s="1693"/>
      <c r="H538" s="1693"/>
      <c r="I538" s="1693"/>
      <c r="J538" s="1693"/>
      <c r="K538" s="1693"/>
      <c r="L538" s="1701"/>
      <c r="M538" s="1701"/>
      <c r="N538" s="1701"/>
      <c r="O538" s="1701"/>
      <c r="P538" s="1701"/>
      <c r="Q538" s="1701"/>
      <c r="R538" s="1701"/>
      <c r="S538" s="1701"/>
      <c r="T538" s="1701"/>
      <c r="U538" s="1696"/>
      <c r="V538" s="1687"/>
    </row>
    <row r="539" spans="1:22">
      <c r="A539" s="1532"/>
      <c r="B539" s="1697" t="s">
        <v>863</v>
      </c>
      <c r="C539" s="1530" t="s">
        <v>875</v>
      </c>
      <c r="D539" s="526" t="s">
        <v>876</v>
      </c>
      <c r="E539" s="1698"/>
      <c r="F539" s="1693"/>
      <c r="G539" s="1693"/>
      <c r="H539" s="1693"/>
      <c r="I539" s="1693"/>
      <c r="J539" s="1693"/>
      <c r="K539" s="1693"/>
      <c r="L539" s="1693"/>
      <c r="M539" s="1699">
        <v>0.96</v>
      </c>
      <c r="N539" s="1699">
        <v>0.89280000000000004</v>
      </c>
      <c r="O539" s="1699">
        <v>0.87494400000000006</v>
      </c>
      <c r="P539" s="1699">
        <v>0.85744512000000006</v>
      </c>
      <c r="Q539" s="1699">
        <v>0.84029621760000006</v>
      </c>
      <c r="R539" s="1699">
        <v>0.82349029324800005</v>
      </c>
      <c r="S539" s="1699">
        <v>0.81525539031552008</v>
      </c>
      <c r="T539" s="1699">
        <v>0.80710283641236491</v>
      </c>
      <c r="U539" s="1694">
        <v>0.79903180804824125</v>
      </c>
      <c r="V539" s="1685">
        <v>0.7910414899677588</v>
      </c>
    </row>
    <row r="540" spans="1:22">
      <c r="A540" s="1532"/>
      <c r="B540" s="1689"/>
      <c r="C540" s="1531"/>
      <c r="D540" s="527" t="s">
        <v>877</v>
      </c>
      <c r="E540" s="1698"/>
      <c r="F540" s="1693"/>
      <c r="G540" s="1693"/>
      <c r="H540" s="1693"/>
      <c r="I540" s="1693"/>
      <c r="J540" s="1693"/>
      <c r="K540" s="1693"/>
      <c r="L540" s="1693"/>
      <c r="M540" s="1700"/>
      <c r="N540" s="1700"/>
      <c r="O540" s="1700"/>
      <c r="P540" s="1700"/>
      <c r="Q540" s="1700"/>
      <c r="R540" s="1700"/>
      <c r="S540" s="1700"/>
      <c r="T540" s="1700"/>
      <c r="U540" s="1695"/>
      <c r="V540" s="1686"/>
    </row>
    <row r="541" spans="1:22">
      <c r="A541" s="1532"/>
      <c r="B541" s="1689"/>
      <c r="C541" s="1674" t="s">
        <v>878</v>
      </c>
      <c r="D541" s="527" t="s">
        <v>879</v>
      </c>
      <c r="E541" s="1698"/>
      <c r="F541" s="1693"/>
      <c r="G541" s="1693"/>
      <c r="H541" s="1693"/>
      <c r="I541" s="1693"/>
      <c r="J541" s="1693"/>
      <c r="K541" s="1693"/>
      <c r="L541" s="1693"/>
      <c r="M541" s="1700"/>
      <c r="N541" s="1700"/>
      <c r="O541" s="1700"/>
      <c r="P541" s="1700"/>
      <c r="Q541" s="1700"/>
      <c r="R541" s="1700"/>
      <c r="S541" s="1700"/>
      <c r="T541" s="1700"/>
      <c r="U541" s="1695"/>
      <c r="V541" s="1686"/>
    </row>
    <row r="542" spans="1:22">
      <c r="A542" s="1532"/>
      <c r="B542" s="1689"/>
      <c r="C542" s="1675"/>
      <c r="D542" s="528" t="s">
        <v>880</v>
      </c>
      <c r="E542" s="1698"/>
      <c r="F542" s="1693"/>
      <c r="G542" s="1693"/>
      <c r="H542" s="1693"/>
      <c r="I542" s="1693"/>
      <c r="J542" s="1693"/>
      <c r="K542" s="1693"/>
      <c r="L542" s="1693"/>
      <c r="M542" s="1701"/>
      <c r="N542" s="1701"/>
      <c r="O542" s="1701"/>
      <c r="P542" s="1701"/>
      <c r="Q542" s="1701"/>
      <c r="R542" s="1701"/>
      <c r="S542" s="1701"/>
      <c r="T542" s="1701"/>
      <c r="U542" s="1696"/>
      <c r="V542" s="1687"/>
    </row>
    <row r="543" spans="1:22">
      <c r="A543" s="1532"/>
      <c r="B543" s="1697" t="s">
        <v>864</v>
      </c>
      <c r="C543" s="1530" t="s">
        <v>875</v>
      </c>
      <c r="D543" s="526" t="s">
        <v>876</v>
      </c>
      <c r="E543" s="1698"/>
      <c r="F543" s="1693"/>
      <c r="G543" s="1693"/>
      <c r="H543" s="1693"/>
      <c r="I543" s="1693"/>
      <c r="J543" s="1693"/>
      <c r="K543" s="1693"/>
      <c r="L543" s="1693"/>
      <c r="M543" s="1693"/>
      <c r="N543" s="1699">
        <v>0.93</v>
      </c>
      <c r="O543" s="1699">
        <v>0.91139999999999999</v>
      </c>
      <c r="P543" s="1699">
        <v>0.89317199999999997</v>
      </c>
      <c r="Q543" s="1699">
        <v>0.8753085599999999</v>
      </c>
      <c r="R543" s="1699">
        <v>0.85780238879999993</v>
      </c>
      <c r="S543" s="1699">
        <v>0.84922436491199993</v>
      </c>
      <c r="T543" s="1699">
        <v>0.84073212126287988</v>
      </c>
      <c r="U543" s="1694">
        <v>0.83232480005025111</v>
      </c>
      <c r="V543" s="1685">
        <v>0.82400155204974856</v>
      </c>
    </row>
    <row r="544" spans="1:22">
      <c r="A544" s="1532"/>
      <c r="B544" s="1689"/>
      <c r="C544" s="1531"/>
      <c r="D544" s="527" t="s">
        <v>877</v>
      </c>
      <c r="E544" s="1698"/>
      <c r="F544" s="1693"/>
      <c r="G544" s="1693"/>
      <c r="H544" s="1693"/>
      <c r="I544" s="1693"/>
      <c r="J544" s="1693"/>
      <c r="K544" s="1693"/>
      <c r="L544" s="1693"/>
      <c r="M544" s="1693"/>
      <c r="N544" s="1700"/>
      <c r="O544" s="1700"/>
      <c r="P544" s="1700"/>
      <c r="Q544" s="1700"/>
      <c r="R544" s="1700"/>
      <c r="S544" s="1700"/>
      <c r="T544" s="1700"/>
      <c r="U544" s="1695"/>
      <c r="V544" s="1686"/>
    </row>
    <row r="545" spans="1:22">
      <c r="A545" s="1532"/>
      <c r="B545" s="1689"/>
      <c r="C545" s="1674" t="s">
        <v>878</v>
      </c>
      <c r="D545" s="527" t="s">
        <v>879</v>
      </c>
      <c r="E545" s="1698"/>
      <c r="F545" s="1693"/>
      <c r="G545" s="1693"/>
      <c r="H545" s="1693"/>
      <c r="I545" s="1693"/>
      <c r="J545" s="1693"/>
      <c r="K545" s="1693"/>
      <c r="L545" s="1693"/>
      <c r="M545" s="1693"/>
      <c r="N545" s="1700"/>
      <c r="O545" s="1700"/>
      <c r="P545" s="1700"/>
      <c r="Q545" s="1700"/>
      <c r="R545" s="1700"/>
      <c r="S545" s="1700"/>
      <c r="T545" s="1700"/>
      <c r="U545" s="1695"/>
      <c r="V545" s="1686"/>
    </row>
    <row r="546" spans="1:22">
      <c r="A546" s="1532"/>
      <c r="B546" s="1689"/>
      <c r="C546" s="1675"/>
      <c r="D546" s="528" t="s">
        <v>880</v>
      </c>
      <c r="E546" s="1698"/>
      <c r="F546" s="1693"/>
      <c r="G546" s="1693"/>
      <c r="H546" s="1693"/>
      <c r="I546" s="1693"/>
      <c r="J546" s="1693"/>
      <c r="K546" s="1693"/>
      <c r="L546" s="1693"/>
      <c r="M546" s="1693"/>
      <c r="N546" s="1701"/>
      <c r="O546" s="1701"/>
      <c r="P546" s="1701"/>
      <c r="Q546" s="1701"/>
      <c r="R546" s="1701"/>
      <c r="S546" s="1701"/>
      <c r="T546" s="1701"/>
      <c r="U546" s="1696"/>
      <c r="V546" s="1687"/>
    </row>
    <row r="547" spans="1:22">
      <c r="A547" s="1532"/>
      <c r="B547" s="1697" t="s">
        <v>865</v>
      </c>
      <c r="C547" s="1530" t="s">
        <v>875</v>
      </c>
      <c r="D547" s="526" t="s">
        <v>876</v>
      </c>
      <c r="E547" s="1698"/>
      <c r="F547" s="1693"/>
      <c r="G547" s="1693"/>
      <c r="H547" s="1693"/>
      <c r="I547" s="1693"/>
      <c r="J547" s="1693"/>
      <c r="K547" s="1693"/>
      <c r="L547" s="1693"/>
      <c r="M547" s="1693"/>
      <c r="N547" s="1693"/>
      <c r="O547" s="1699">
        <v>0.98</v>
      </c>
      <c r="P547" s="1699">
        <v>0.96039999999999992</v>
      </c>
      <c r="Q547" s="1699">
        <v>0.94119199999999992</v>
      </c>
      <c r="R547" s="1699">
        <v>0.92236815999999988</v>
      </c>
      <c r="S547" s="1699">
        <v>0.9131444783999999</v>
      </c>
      <c r="T547" s="1699">
        <v>0.90401303361599994</v>
      </c>
      <c r="U547" s="1694">
        <v>0.89497290327983992</v>
      </c>
      <c r="V547" s="1685">
        <v>0.88602317424704147</v>
      </c>
    </row>
    <row r="548" spans="1:22">
      <c r="A548" s="1532"/>
      <c r="B548" s="1689"/>
      <c r="C548" s="1531"/>
      <c r="D548" s="527" t="s">
        <v>877</v>
      </c>
      <c r="E548" s="1698"/>
      <c r="F548" s="1693"/>
      <c r="G548" s="1693"/>
      <c r="H548" s="1693"/>
      <c r="I548" s="1693"/>
      <c r="J548" s="1693"/>
      <c r="K548" s="1693"/>
      <c r="L548" s="1693"/>
      <c r="M548" s="1693"/>
      <c r="N548" s="1693"/>
      <c r="O548" s="1700"/>
      <c r="P548" s="1700"/>
      <c r="Q548" s="1700"/>
      <c r="R548" s="1700"/>
      <c r="S548" s="1700"/>
      <c r="T548" s="1700"/>
      <c r="U548" s="1695"/>
      <c r="V548" s="1686"/>
    </row>
    <row r="549" spans="1:22">
      <c r="A549" s="1532"/>
      <c r="B549" s="1689"/>
      <c r="C549" s="1674" t="s">
        <v>878</v>
      </c>
      <c r="D549" s="527" t="s">
        <v>879</v>
      </c>
      <c r="E549" s="1698"/>
      <c r="F549" s="1693"/>
      <c r="G549" s="1693"/>
      <c r="H549" s="1693"/>
      <c r="I549" s="1693"/>
      <c r="J549" s="1693"/>
      <c r="K549" s="1693"/>
      <c r="L549" s="1693"/>
      <c r="M549" s="1693"/>
      <c r="N549" s="1693"/>
      <c r="O549" s="1700"/>
      <c r="P549" s="1700"/>
      <c r="Q549" s="1700"/>
      <c r="R549" s="1700"/>
      <c r="S549" s="1700"/>
      <c r="T549" s="1700"/>
      <c r="U549" s="1695"/>
      <c r="V549" s="1686"/>
    </row>
    <row r="550" spans="1:22">
      <c r="A550" s="1532"/>
      <c r="B550" s="1689"/>
      <c r="C550" s="1675"/>
      <c r="D550" s="528" t="s">
        <v>880</v>
      </c>
      <c r="E550" s="1698"/>
      <c r="F550" s="1693"/>
      <c r="G550" s="1693"/>
      <c r="H550" s="1693"/>
      <c r="I550" s="1693"/>
      <c r="J550" s="1693"/>
      <c r="K550" s="1693"/>
      <c r="L550" s="1693"/>
      <c r="M550" s="1693"/>
      <c r="N550" s="1693"/>
      <c r="O550" s="1701"/>
      <c r="P550" s="1701"/>
      <c r="Q550" s="1701"/>
      <c r="R550" s="1701"/>
      <c r="S550" s="1701"/>
      <c r="T550" s="1701"/>
      <c r="U550" s="1696"/>
      <c r="V550" s="1687"/>
    </row>
    <row r="551" spans="1:22">
      <c r="A551" s="1532"/>
      <c r="B551" s="1697" t="s">
        <v>866</v>
      </c>
      <c r="C551" s="1530" t="s">
        <v>875</v>
      </c>
      <c r="D551" s="526" t="s">
        <v>876</v>
      </c>
      <c r="E551" s="1698"/>
      <c r="F551" s="1693"/>
      <c r="G551" s="1693"/>
      <c r="H551" s="1693"/>
      <c r="I551" s="1693"/>
      <c r="J551" s="1693"/>
      <c r="K551" s="1693"/>
      <c r="L551" s="1693"/>
      <c r="M551" s="1693"/>
      <c r="N551" s="1693"/>
      <c r="O551" s="1693"/>
      <c r="P551" s="1699">
        <v>0.98</v>
      </c>
      <c r="Q551" s="1699">
        <v>0.96039999999999992</v>
      </c>
      <c r="R551" s="1699">
        <v>0.94119199999999992</v>
      </c>
      <c r="S551" s="1699">
        <v>0.9317800799999999</v>
      </c>
      <c r="T551" s="1699">
        <v>0.9224622791999999</v>
      </c>
      <c r="U551" s="1694">
        <v>0.91323765640799992</v>
      </c>
      <c r="V551" s="1685">
        <v>0.90410527984391986</v>
      </c>
    </row>
    <row r="552" spans="1:22">
      <c r="A552" s="1532"/>
      <c r="B552" s="1689"/>
      <c r="C552" s="1531"/>
      <c r="D552" s="527" t="s">
        <v>877</v>
      </c>
      <c r="E552" s="1698"/>
      <c r="F552" s="1693"/>
      <c r="G552" s="1693"/>
      <c r="H552" s="1693"/>
      <c r="I552" s="1693"/>
      <c r="J552" s="1693"/>
      <c r="K552" s="1693"/>
      <c r="L552" s="1693"/>
      <c r="M552" s="1693"/>
      <c r="N552" s="1693"/>
      <c r="O552" s="1693"/>
      <c r="P552" s="1700"/>
      <c r="Q552" s="1700"/>
      <c r="R552" s="1700"/>
      <c r="S552" s="1700"/>
      <c r="T552" s="1700"/>
      <c r="U552" s="1695"/>
      <c r="V552" s="1686"/>
    </row>
    <row r="553" spans="1:22">
      <c r="A553" s="1532"/>
      <c r="B553" s="1689"/>
      <c r="C553" s="1674" t="s">
        <v>878</v>
      </c>
      <c r="D553" s="527" t="s">
        <v>879</v>
      </c>
      <c r="E553" s="1698"/>
      <c r="F553" s="1693"/>
      <c r="G553" s="1693"/>
      <c r="H553" s="1693"/>
      <c r="I553" s="1693"/>
      <c r="J553" s="1693"/>
      <c r="K553" s="1693"/>
      <c r="L553" s="1693"/>
      <c r="M553" s="1693"/>
      <c r="N553" s="1693"/>
      <c r="O553" s="1693"/>
      <c r="P553" s="1700"/>
      <c r="Q553" s="1700"/>
      <c r="R553" s="1700"/>
      <c r="S553" s="1700"/>
      <c r="T553" s="1700"/>
      <c r="U553" s="1695"/>
      <c r="V553" s="1686"/>
    </row>
    <row r="554" spans="1:22">
      <c r="A554" s="1532"/>
      <c r="B554" s="1689"/>
      <c r="C554" s="1675"/>
      <c r="D554" s="528" t="s">
        <v>880</v>
      </c>
      <c r="E554" s="1698"/>
      <c r="F554" s="1693"/>
      <c r="G554" s="1693"/>
      <c r="H554" s="1693"/>
      <c r="I554" s="1693"/>
      <c r="J554" s="1693"/>
      <c r="K554" s="1693"/>
      <c r="L554" s="1693"/>
      <c r="M554" s="1693"/>
      <c r="N554" s="1693"/>
      <c r="O554" s="1693"/>
      <c r="P554" s="1701"/>
      <c r="Q554" s="1701"/>
      <c r="R554" s="1701"/>
      <c r="S554" s="1701"/>
      <c r="T554" s="1701"/>
      <c r="U554" s="1696"/>
      <c r="V554" s="1687"/>
    </row>
    <row r="555" spans="1:22">
      <c r="A555" s="1532"/>
      <c r="B555" s="1697" t="s">
        <v>867</v>
      </c>
      <c r="C555" s="1530" t="s">
        <v>875</v>
      </c>
      <c r="D555" s="526" t="s">
        <v>876</v>
      </c>
      <c r="E555" s="1698"/>
      <c r="F555" s="1693"/>
      <c r="G555" s="1693"/>
      <c r="H555" s="1693"/>
      <c r="I555" s="1693"/>
      <c r="J555" s="1693"/>
      <c r="K555" s="1693"/>
      <c r="L555" s="1693"/>
      <c r="M555" s="1693"/>
      <c r="N555" s="1693"/>
      <c r="O555" s="1693"/>
      <c r="P555" s="1693"/>
      <c r="Q555" s="1699">
        <v>0.98</v>
      </c>
      <c r="R555" s="1699">
        <v>0.96039999999999992</v>
      </c>
      <c r="S555" s="1699">
        <v>0.95079599999999986</v>
      </c>
      <c r="T555" s="1699">
        <v>0.94128803999999988</v>
      </c>
      <c r="U555" s="1694">
        <v>0.93187515959999989</v>
      </c>
      <c r="V555" s="1685">
        <v>0.92255640800399985</v>
      </c>
    </row>
    <row r="556" spans="1:22">
      <c r="A556" s="1532"/>
      <c r="B556" s="1689"/>
      <c r="C556" s="1531"/>
      <c r="D556" s="527" t="s">
        <v>877</v>
      </c>
      <c r="E556" s="1698"/>
      <c r="F556" s="1693"/>
      <c r="G556" s="1693"/>
      <c r="H556" s="1693"/>
      <c r="I556" s="1693"/>
      <c r="J556" s="1693"/>
      <c r="K556" s="1693"/>
      <c r="L556" s="1693"/>
      <c r="M556" s="1693"/>
      <c r="N556" s="1693"/>
      <c r="O556" s="1693"/>
      <c r="P556" s="1693"/>
      <c r="Q556" s="1700"/>
      <c r="R556" s="1700"/>
      <c r="S556" s="1700"/>
      <c r="T556" s="1700"/>
      <c r="U556" s="1695"/>
      <c r="V556" s="1686"/>
    </row>
    <row r="557" spans="1:22">
      <c r="A557" s="1532"/>
      <c r="B557" s="1689"/>
      <c r="C557" s="1674" t="s">
        <v>878</v>
      </c>
      <c r="D557" s="527" t="s">
        <v>879</v>
      </c>
      <c r="E557" s="1698"/>
      <c r="F557" s="1693"/>
      <c r="G557" s="1693"/>
      <c r="H557" s="1693"/>
      <c r="I557" s="1693"/>
      <c r="J557" s="1693"/>
      <c r="K557" s="1693"/>
      <c r="L557" s="1693"/>
      <c r="M557" s="1693"/>
      <c r="N557" s="1693"/>
      <c r="O557" s="1693"/>
      <c r="P557" s="1693"/>
      <c r="Q557" s="1700"/>
      <c r="R557" s="1700"/>
      <c r="S557" s="1700"/>
      <c r="T557" s="1700"/>
      <c r="U557" s="1695"/>
      <c r="V557" s="1686"/>
    </row>
    <row r="558" spans="1:22">
      <c r="A558" s="1532"/>
      <c r="B558" s="1689"/>
      <c r="C558" s="1675"/>
      <c r="D558" s="528" t="s">
        <v>880</v>
      </c>
      <c r="E558" s="1698"/>
      <c r="F558" s="1693"/>
      <c r="G558" s="1693"/>
      <c r="H558" s="1693"/>
      <c r="I558" s="1693"/>
      <c r="J558" s="1693"/>
      <c r="K558" s="1693"/>
      <c r="L558" s="1693"/>
      <c r="M558" s="1693"/>
      <c r="N558" s="1693"/>
      <c r="O558" s="1693"/>
      <c r="P558" s="1693"/>
      <c r="Q558" s="1701"/>
      <c r="R558" s="1701"/>
      <c r="S558" s="1701"/>
      <c r="T558" s="1701"/>
      <c r="U558" s="1696"/>
      <c r="V558" s="1687"/>
    </row>
    <row r="559" spans="1:22">
      <c r="A559" s="1532"/>
      <c r="B559" s="1697" t="s">
        <v>868</v>
      </c>
      <c r="C559" s="1530" t="s">
        <v>875</v>
      </c>
      <c r="D559" s="526" t="s">
        <v>876</v>
      </c>
      <c r="E559" s="1698"/>
      <c r="F559" s="1693"/>
      <c r="G559" s="1693"/>
      <c r="H559" s="1693"/>
      <c r="I559" s="1693"/>
      <c r="J559" s="1693"/>
      <c r="K559" s="1693"/>
      <c r="L559" s="1693"/>
      <c r="M559" s="1693"/>
      <c r="N559" s="1693"/>
      <c r="O559" s="1693"/>
      <c r="P559" s="1693"/>
      <c r="Q559" s="1693"/>
      <c r="R559" s="1699">
        <v>0.98</v>
      </c>
      <c r="S559" s="1699">
        <v>0.97019999999999995</v>
      </c>
      <c r="T559" s="1699">
        <v>0.96049799999999996</v>
      </c>
      <c r="U559" s="1694">
        <v>0.95089301999999998</v>
      </c>
      <c r="V559" s="1685">
        <v>0.94138408979999999</v>
      </c>
    </row>
    <row r="560" spans="1:22">
      <c r="A560" s="1532"/>
      <c r="B560" s="1689"/>
      <c r="C560" s="1531"/>
      <c r="D560" s="527" t="s">
        <v>877</v>
      </c>
      <c r="E560" s="1698"/>
      <c r="F560" s="1693"/>
      <c r="G560" s="1693"/>
      <c r="H560" s="1693"/>
      <c r="I560" s="1693"/>
      <c r="J560" s="1693"/>
      <c r="K560" s="1693"/>
      <c r="L560" s="1693"/>
      <c r="M560" s="1693"/>
      <c r="N560" s="1693"/>
      <c r="O560" s="1693"/>
      <c r="P560" s="1693"/>
      <c r="Q560" s="1693"/>
      <c r="R560" s="1700"/>
      <c r="S560" s="1700"/>
      <c r="T560" s="1700"/>
      <c r="U560" s="1695"/>
      <c r="V560" s="1686"/>
    </row>
    <row r="561" spans="1:22">
      <c r="A561" s="1532"/>
      <c r="B561" s="1689"/>
      <c r="C561" s="1674" t="s">
        <v>878</v>
      </c>
      <c r="D561" s="527" t="s">
        <v>879</v>
      </c>
      <c r="E561" s="1698"/>
      <c r="F561" s="1693"/>
      <c r="G561" s="1693"/>
      <c r="H561" s="1693"/>
      <c r="I561" s="1693"/>
      <c r="J561" s="1693"/>
      <c r="K561" s="1693"/>
      <c r="L561" s="1693"/>
      <c r="M561" s="1693"/>
      <c r="N561" s="1693"/>
      <c r="O561" s="1693"/>
      <c r="P561" s="1693"/>
      <c r="Q561" s="1693"/>
      <c r="R561" s="1700"/>
      <c r="S561" s="1700"/>
      <c r="T561" s="1700"/>
      <c r="U561" s="1695"/>
      <c r="V561" s="1686"/>
    </row>
    <row r="562" spans="1:22">
      <c r="A562" s="1532"/>
      <c r="B562" s="1689"/>
      <c r="C562" s="1675"/>
      <c r="D562" s="528" t="s">
        <v>880</v>
      </c>
      <c r="E562" s="1698"/>
      <c r="F562" s="1693"/>
      <c r="G562" s="1693"/>
      <c r="H562" s="1693"/>
      <c r="I562" s="1693"/>
      <c r="J562" s="1693"/>
      <c r="K562" s="1693"/>
      <c r="L562" s="1693"/>
      <c r="M562" s="1693"/>
      <c r="N562" s="1693"/>
      <c r="O562" s="1693"/>
      <c r="P562" s="1693"/>
      <c r="Q562" s="1693"/>
      <c r="R562" s="1701"/>
      <c r="S562" s="1701"/>
      <c r="T562" s="1701"/>
      <c r="U562" s="1696"/>
      <c r="V562" s="1687"/>
    </row>
    <row r="563" spans="1:22">
      <c r="A563" s="1532"/>
      <c r="B563" s="1697" t="s">
        <v>869</v>
      </c>
      <c r="C563" s="1530" t="s">
        <v>875</v>
      </c>
      <c r="D563" s="526" t="s">
        <v>876</v>
      </c>
      <c r="E563" s="1698"/>
      <c r="F563" s="1693"/>
      <c r="G563" s="1693"/>
      <c r="H563" s="1693"/>
      <c r="I563" s="1693"/>
      <c r="J563" s="1693"/>
      <c r="K563" s="1693"/>
      <c r="L563" s="1693"/>
      <c r="M563" s="1693"/>
      <c r="N563" s="1693"/>
      <c r="O563" s="1693"/>
      <c r="P563" s="1693"/>
      <c r="Q563" s="1693"/>
      <c r="R563" s="1693"/>
      <c r="S563" s="1699">
        <v>0.99</v>
      </c>
      <c r="T563" s="1699">
        <v>0.98009999999999997</v>
      </c>
      <c r="U563" s="1694">
        <v>0.97029899999999991</v>
      </c>
      <c r="V563" s="1685">
        <v>0.96059600999999994</v>
      </c>
    </row>
    <row r="564" spans="1:22">
      <c r="A564" s="1532"/>
      <c r="B564" s="1689"/>
      <c r="C564" s="1531"/>
      <c r="D564" s="527" t="s">
        <v>877</v>
      </c>
      <c r="E564" s="1698"/>
      <c r="F564" s="1693"/>
      <c r="G564" s="1693"/>
      <c r="H564" s="1693"/>
      <c r="I564" s="1693"/>
      <c r="J564" s="1693"/>
      <c r="K564" s="1693"/>
      <c r="L564" s="1693"/>
      <c r="M564" s="1693"/>
      <c r="N564" s="1693"/>
      <c r="O564" s="1693"/>
      <c r="P564" s="1693"/>
      <c r="Q564" s="1693"/>
      <c r="R564" s="1693"/>
      <c r="S564" s="1700"/>
      <c r="T564" s="1700"/>
      <c r="U564" s="1695"/>
      <c r="V564" s="1686"/>
    </row>
    <row r="565" spans="1:22">
      <c r="A565" s="1532"/>
      <c r="B565" s="1689"/>
      <c r="C565" s="1674" t="s">
        <v>878</v>
      </c>
      <c r="D565" s="527" t="s">
        <v>879</v>
      </c>
      <c r="E565" s="1698"/>
      <c r="F565" s="1693"/>
      <c r="G565" s="1693"/>
      <c r="H565" s="1693"/>
      <c r="I565" s="1693"/>
      <c r="J565" s="1693"/>
      <c r="K565" s="1693"/>
      <c r="L565" s="1693"/>
      <c r="M565" s="1693"/>
      <c r="N565" s="1693"/>
      <c r="O565" s="1693"/>
      <c r="P565" s="1693"/>
      <c r="Q565" s="1693"/>
      <c r="R565" s="1693"/>
      <c r="S565" s="1700"/>
      <c r="T565" s="1700"/>
      <c r="U565" s="1695"/>
      <c r="V565" s="1686"/>
    </row>
    <row r="566" spans="1:22">
      <c r="A566" s="1532"/>
      <c r="B566" s="1689"/>
      <c r="C566" s="1675"/>
      <c r="D566" s="528" t="s">
        <v>880</v>
      </c>
      <c r="E566" s="1698"/>
      <c r="F566" s="1693"/>
      <c r="G566" s="1693"/>
      <c r="H566" s="1693"/>
      <c r="I566" s="1693"/>
      <c r="J566" s="1693"/>
      <c r="K566" s="1693"/>
      <c r="L566" s="1693"/>
      <c r="M566" s="1693"/>
      <c r="N566" s="1693"/>
      <c r="O566" s="1693"/>
      <c r="P566" s="1693"/>
      <c r="Q566" s="1693"/>
      <c r="R566" s="1693"/>
      <c r="S566" s="1701"/>
      <c r="T566" s="1701"/>
      <c r="U566" s="1696"/>
      <c r="V566" s="1687"/>
    </row>
    <row r="567" spans="1:22">
      <c r="A567" s="1532"/>
      <c r="B567" s="1697" t="s">
        <v>870</v>
      </c>
      <c r="C567" s="1530" t="s">
        <v>875</v>
      </c>
      <c r="D567" s="526" t="s">
        <v>876</v>
      </c>
      <c r="E567" s="1698"/>
      <c r="F567" s="1693"/>
      <c r="G567" s="1693"/>
      <c r="H567" s="1693"/>
      <c r="I567" s="1693"/>
      <c r="J567" s="1693"/>
      <c r="K567" s="1693"/>
      <c r="L567" s="1693"/>
      <c r="M567" s="1693"/>
      <c r="N567" s="1693"/>
      <c r="O567" s="1693"/>
      <c r="P567" s="1693"/>
      <c r="Q567" s="1693"/>
      <c r="R567" s="1693"/>
      <c r="S567" s="1693"/>
      <c r="T567" s="1699">
        <v>0.99</v>
      </c>
      <c r="U567" s="1694">
        <v>0.98009999999999997</v>
      </c>
      <c r="V567" s="1685">
        <v>0.97029899999999991</v>
      </c>
    </row>
    <row r="568" spans="1:22">
      <c r="A568" s="1532"/>
      <c r="B568" s="1689"/>
      <c r="C568" s="1531"/>
      <c r="D568" s="527" t="s">
        <v>877</v>
      </c>
      <c r="E568" s="1698"/>
      <c r="F568" s="1693"/>
      <c r="G568" s="1693"/>
      <c r="H568" s="1693"/>
      <c r="I568" s="1693"/>
      <c r="J568" s="1693"/>
      <c r="K568" s="1693"/>
      <c r="L568" s="1693"/>
      <c r="M568" s="1693"/>
      <c r="N568" s="1693"/>
      <c r="O568" s="1693"/>
      <c r="P568" s="1693"/>
      <c r="Q568" s="1693"/>
      <c r="R568" s="1693"/>
      <c r="S568" s="1693"/>
      <c r="T568" s="1700"/>
      <c r="U568" s="1695"/>
      <c r="V568" s="1686"/>
    </row>
    <row r="569" spans="1:22">
      <c r="A569" s="1532"/>
      <c r="B569" s="1689"/>
      <c r="C569" s="1674" t="s">
        <v>878</v>
      </c>
      <c r="D569" s="527" t="s">
        <v>879</v>
      </c>
      <c r="E569" s="1698"/>
      <c r="F569" s="1693"/>
      <c r="G569" s="1693"/>
      <c r="H569" s="1693"/>
      <c r="I569" s="1693"/>
      <c r="J569" s="1693"/>
      <c r="K569" s="1693"/>
      <c r="L569" s="1693"/>
      <c r="M569" s="1693"/>
      <c r="N569" s="1693"/>
      <c r="O569" s="1693"/>
      <c r="P569" s="1693"/>
      <c r="Q569" s="1693"/>
      <c r="R569" s="1693"/>
      <c r="S569" s="1693"/>
      <c r="T569" s="1700"/>
      <c r="U569" s="1695"/>
      <c r="V569" s="1686"/>
    </row>
    <row r="570" spans="1:22">
      <c r="A570" s="1532"/>
      <c r="B570" s="1689"/>
      <c r="C570" s="1675"/>
      <c r="D570" s="528" t="s">
        <v>880</v>
      </c>
      <c r="E570" s="1698"/>
      <c r="F570" s="1693"/>
      <c r="G570" s="1693"/>
      <c r="H570" s="1693"/>
      <c r="I570" s="1693"/>
      <c r="J570" s="1693"/>
      <c r="K570" s="1693"/>
      <c r="L570" s="1693"/>
      <c r="M570" s="1693"/>
      <c r="N570" s="1693"/>
      <c r="O570" s="1693"/>
      <c r="P570" s="1693"/>
      <c r="Q570" s="1693"/>
      <c r="R570" s="1693"/>
      <c r="S570" s="1693"/>
      <c r="T570" s="1701"/>
      <c r="U570" s="1696"/>
      <c r="V570" s="1687"/>
    </row>
    <row r="571" spans="1:22">
      <c r="A571" s="1532"/>
      <c r="B571" s="1697" t="s">
        <v>871</v>
      </c>
      <c r="C571" s="1530" t="s">
        <v>875</v>
      </c>
      <c r="D571" s="526" t="s">
        <v>876</v>
      </c>
      <c r="E571" s="1698"/>
      <c r="F571" s="1693"/>
      <c r="G571" s="1693"/>
      <c r="H571" s="1693"/>
      <c r="I571" s="1693"/>
      <c r="J571" s="1693"/>
      <c r="K571" s="1693"/>
      <c r="L571" s="1693"/>
      <c r="M571" s="1693"/>
      <c r="N571" s="1693"/>
      <c r="O571" s="1693"/>
      <c r="P571" s="1693"/>
      <c r="Q571" s="1693"/>
      <c r="R571" s="1693"/>
      <c r="S571" s="1693"/>
      <c r="T571" s="1693"/>
      <c r="U571" s="1694">
        <v>0.99</v>
      </c>
      <c r="V571" s="1685">
        <v>0.98009999999999997</v>
      </c>
    </row>
    <row r="572" spans="1:22">
      <c r="A572" s="1532"/>
      <c r="B572" s="1689"/>
      <c r="C572" s="1531"/>
      <c r="D572" s="527" t="s">
        <v>877</v>
      </c>
      <c r="E572" s="1698"/>
      <c r="F572" s="1693"/>
      <c r="G572" s="1693"/>
      <c r="H572" s="1693"/>
      <c r="I572" s="1693"/>
      <c r="J572" s="1693"/>
      <c r="K572" s="1693"/>
      <c r="L572" s="1693"/>
      <c r="M572" s="1693"/>
      <c r="N572" s="1693"/>
      <c r="O572" s="1693"/>
      <c r="P572" s="1693"/>
      <c r="Q572" s="1693"/>
      <c r="R572" s="1693"/>
      <c r="S572" s="1693"/>
      <c r="T572" s="1693"/>
      <c r="U572" s="1695"/>
      <c r="V572" s="1686"/>
    </row>
    <row r="573" spans="1:22">
      <c r="A573" s="1532"/>
      <c r="B573" s="1689"/>
      <c r="C573" s="1674" t="s">
        <v>878</v>
      </c>
      <c r="D573" s="527" t="s">
        <v>879</v>
      </c>
      <c r="E573" s="1698"/>
      <c r="F573" s="1693"/>
      <c r="G573" s="1693"/>
      <c r="H573" s="1693"/>
      <c r="I573" s="1693"/>
      <c r="J573" s="1693"/>
      <c r="K573" s="1693"/>
      <c r="L573" s="1693"/>
      <c r="M573" s="1693"/>
      <c r="N573" s="1693"/>
      <c r="O573" s="1693"/>
      <c r="P573" s="1693"/>
      <c r="Q573" s="1693"/>
      <c r="R573" s="1693"/>
      <c r="S573" s="1693"/>
      <c r="T573" s="1693"/>
      <c r="U573" s="1695"/>
      <c r="V573" s="1686"/>
    </row>
    <row r="574" spans="1:22">
      <c r="A574" s="1532"/>
      <c r="B574" s="1689"/>
      <c r="C574" s="1675"/>
      <c r="D574" s="528" t="s">
        <v>880</v>
      </c>
      <c r="E574" s="1698"/>
      <c r="F574" s="1693"/>
      <c r="G574" s="1693"/>
      <c r="H574" s="1693"/>
      <c r="I574" s="1693"/>
      <c r="J574" s="1693"/>
      <c r="K574" s="1693"/>
      <c r="L574" s="1693"/>
      <c r="M574" s="1693"/>
      <c r="N574" s="1693"/>
      <c r="O574" s="1693"/>
      <c r="P574" s="1693"/>
      <c r="Q574" s="1693"/>
      <c r="R574" s="1693"/>
      <c r="S574" s="1693"/>
      <c r="T574" s="1693"/>
      <c r="U574" s="1696"/>
      <c r="V574" s="1687"/>
    </row>
    <row r="575" spans="1:22">
      <c r="A575" s="1532"/>
      <c r="B575" s="1697" t="s">
        <v>872</v>
      </c>
      <c r="C575" s="1530" t="s">
        <v>875</v>
      </c>
      <c r="D575" s="526" t="s">
        <v>876</v>
      </c>
      <c r="E575" s="1690"/>
      <c r="F575" s="1676"/>
      <c r="G575" s="1676"/>
      <c r="H575" s="1676"/>
      <c r="I575" s="1676"/>
      <c r="J575" s="1676"/>
      <c r="K575" s="1676"/>
      <c r="L575" s="1676"/>
      <c r="M575" s="1676"/>
      <c r="N575" s="1676"/>
      <c r="O575" s="1676"/>
      <c r="P575" s="1676"/>
      <c r="Q575" s="1676"/>
      <c r="R575" s="1676"/>
      <c r="S575" s="1676"/>
      <c r="T575" s="1676"/>
      <c r="U575" s="1693"/>
      <c r="V575" s="1685">
        <v>0.99</v>
      </c>
    </row>
    <row r="576" spans="1:22">
      <c r="A576" s="1532"/>
      <c r="B576" s="1689"/>
      <c r="C576" s="1531"/>
      <c r="D576" s="527" t="s">
        <v>877</v>
      </c>
      <c r="E576" s="1691"/>
      <c r="F576" s="1677"/>
      <c r="G576" s="1677"/>
      <c r="H576" s="1677"/>
      <c r="I576" s="1677"/>
      <c r="J576" s="1677"/>
      <c r="K576" s="1677"/>
      <c r="L576" s="1677"/>
      <c r="M576" s="1677"/>
      <c r="N576" s="1677"/>
      <c r="O576" s="1677"/>
      <c r="P576" s="1677"/>
      <c r="Q576" s="1677"/>
      <c r="R576" s="1677"/>
      <c r="S576" s="1677"/>
      <c r="T576" s="1677"/>
      <c r="U576" s="1693"/>
      <c r="V576" s="1686"/>
    </row>
    <row r="577" spans="1:22">
      <c r="A577" s="1532"/>
      <c r="B577" s="1689"/>
      <c r="C577" s="1674" t="s">
        <v>878</v>
      </c>
      <c r="D577" s="527" t="s">
        <v>879</v>
      </c>
      <c r="E577" s="1691"/>
      <c r="F577" s="1677"/>
      <c r="G577" s="1677"/>
      <c r="H577" s="1677"/>
      <c r="I577" s="1677"/>
      <c r="J577" s="1677"/>
      <c r="K577" s="1677"/>
      <c r="L577" s="1677"/>
      <c r="M577" s="1677"/>
      <c r="N577" s="1677"/>
      <c r="O577" s="1677"/>
      <c r="P577" s="1677"/>
      <c r="Q577" s="1677"/>
      <c r="R577" s="1677"/>
      <c r="S577" s="1677"/>
      <c r="T577" s="1677"/>
      <c r="U577" s="1693"/>
      <c r="V577" s="1686"/>
    </row>
    <row r="578" spans="1:22">
      <c r="A578" s="1532"/>
      <c r="B578" s="1689"/>
      <c r="C578" s="1675"/>
      <c r="D578" s="528" t="s">
        <v>880</v>
      </c>
      <c r="E578" s="1692"/>
      <c r="F578" s="1678"/>
      <c r="G578" s="1678"/>
      <c r="H578" s="1678"/>
      <c r="I578" s="1678"/>
      <c r="J578" s="1678"/>
      <c r="K578" s="1678"/>
      <c r="L578" s="1678"/>
      <c r="M578" s="1678"/>
      <c r="N578" s="1678"/>
      <c r="O578" s="1678"/>
      <c r="P578" s="1678"/>
      <c r="Q578" s="1678"/>
      <c r="R578" s="1678"/>
      <c r="S578" s="1678"/>
      <c r="T578" s="1678"/>
      <c r="U578" s="1693"/>
      <c r="V578" s="1687"/>
    </row>
    <row r="579" spans="1:22">
      <c r="A579" s="1532"/>
      <c r="B579" s="1688" t="s">
        <v>873</v>
      </c>
      <c r="C579" s="1530" t="s">
        <v>875</v>
      </c>
      <c r="D579" s="526" t="s">
        <v>876</v>
      </c>
      <c r="E579" s="1690"/>
      <c r="F579" s="1676"/>
      <c r="G579" s="1676"/>
      <c r="H579" s="1676"/>
      <c r="I579" s="1676"/>
      <c r="J579" s="1676"/>
      <c r="K579" s="1676"/>
      <c r="L579" s="1676"/>
      <c r="M579" s="1676"/>
      <c r="N579" s="1676"/>
      <c r="O579" s="1676"/>
      <c r="P579" s="1676"/>
      <c r="Q579" s="1676"/>
      <c r="R579" s="1676"/>
      <c r="S579" s="1676"/>
      <c r="T579" s="1676"/>
      <c r="U579" s="1679"/>
      <c r="V579" s="1682"/>
    </row>
    <row r="580" spans="1:22">
      <c r="A580" s="1532"/>
      <c r="B580" s="1689"/>
      <c r="C580" s="1531"/>
      <c r="D580" s="527" t="s">
        <v>877</v>
      </c>
      <c r="E580" s="1691"/>
      <c r="F580" s="1677"/>
      <c r="G580" s="1677"/>
      <c r="H580" s="1677"/>
      <c r="I580" s="1677"/>
      <c r="J580" s="1677"/>
      <c r="K580" s="1677"/>
      <c r="L580" s="1677"/>
      <c r="M580" s="1677"/>
      <c r="N580" s="1677"/>
      <c r="O580" s="1677"/>
      <c r="P580" s="1677"/>
      <c r="Q580" s="1677"/>
      <c r="R580" s="1677"/>
      <c r="S580" s="1677"/>
      <c r="T580" s="1677"/>
      <c r="U580" s="1680"/>
      <c r="V580" s="1683"/>
    </row>
    <row r="581" spans="1:22">
      <c r="A581" s="1532"/>
      <c r="B581" s="1689"/>
      <c r="C581" s="1674" t="s">
        <v>878</v>
      </c>
      <c r="D581" s="527" t="s">
        <v>879</v>
      </c>
      <c r="E581" s="1691"/>
      <c r="F581" s="1677"/>
      <c r="G581" s="1677"/>
      <c r="H581" s="1677"/>
      <c r="I581" s="1677"/>
      <c r="J581" s="1677"/>
      <c r="K581" s="1677"/>
      <c r="L581" s="1677"/>
      <c r="M581" s="1677"/>
      <c r="N581" s="1677"/>
      <c r="O581" s="1677"/>
      <c r="P581" s="1677"/>
      <c r="Q581" s="1677"/>
      <c r="R581" s="1677"/>
      <c r="S581" s="1677"/>
      <c r="T581" s="1677"/>
      <c r="U581" s="1680"/>
      <c r="V581" s="1683"/>
    </row>
    <row r="582" spans="1:22">
      <c r="A582" s="1525"/>
      <c r="B582" s="1689"/>
      <c r="C582" s="1675"/>
      <c r="D582" s="528" t="s">
        <v>880</v>
      </c>
      <c r="E582" s="1692"/>
      <c r="F582" s="1678"/>
      <c r="G582" s="1678"/>
      <c r="H582" s="1678"/>
      <c r="I582" s="1678"/>
      <c r="J582" s="1678"/>
      <c r="K582" s="1678"/>
      <c r="L582" s="1678"/>
      <c r="M582" s="1678"/>
      <c r="N582" s="1678"/>
      <c r="O582" s="1678"/>
      <c r="P582" s="1678"/>
      <c r="Q582" s="1678"/>
      <c r="R582" s="1678"/>
      <c r="S582" s="1678"/>
      <c r="T582" s="1678"/>
      <c r="U582" s="1681"/>
      <c r="V582" s="1684"/>
    </row>
  </sheetData>
  <mergeCells count="3055">
    <mergeCell ref="V3:V5"/>
    <mergeCell ref="A7:A78"/>
    <mergeCell ref="B7:B10"/>
    <mergeCell ref="C7:C8"/>
    <mergeCell ref="E7:E10"/>
    <mergeCell ref="F7:F10"/>
    <mergeCell ref="G7:G10"/>
    <mergeCell ref="H7:H10"/>
    <mergeCell ref="I7:I10"/>
    <mergeCell ref="J7:J10"/>
    <mergeCell ref="P3:P5"/>
    <mergeCell ref="Q3:Q5"/>
    <mergeCell ref="R3:R5"/>
    <mergeCell ref="S3:S5"/>
    <mergeCell ref="T3:T5"/>
    <mergeCell ref="U3:U5"/>
    <mergeCell ref="J3:J5"/>
    <mergeCell ref="K3:K5"/>
    <mergeCell ref="L3:L5"/>
    <mergeCell ref="M3:M5"/>
    <mergeCell ref="N3:N5"/>
    <mergeCell ref="O3:O5"/>
    <mergeCell ref="A2:A5"/>
    <mergeCell ref="B2:B5"/>
    <mergeCell ref="C2:C5"/>
    <mergeCell ref="D2:D5"/>
    <mergeCell ref="E2:V2"/>
    <mergeCell ref="E3:E5"/>
    <mergeCell ref="F3:F5"/>
    <mergeCell ref="G3:G5"/>
    <mergeCell ref="H3:H5"/>
    <mergeCell ref="I3:I5"/>
    <mergeCell ref="C9:C10"/>
    <mergeCell ref="B11:B14"/>
    <mergeCell ref="C11:C12"/>
    <mergeCell ref="E11:E14"/>
    <mergeCell ref="F11:F14"/>
    <mergeCell ref="G11:G14"/>
    <mergeCell ref="Q7:Q10"/>
    <mergeCell ref="R7:R10"/>
    <mergeCell ref="S7:S10"/>
    <mergeCell ref="T7:T10"/>
    <mergeCell ref="U7:U10"/>
    <mergeCell ref="V7:V10"/>
    <mergeCell ref="K7:K10"/>
    <mergeCell ref="L7:L10"/>
    <mergeCell ref="M7:M10"/>
    <mergeCell ref="N7:N10"/>
    <mergeCell ref="O7:O10"/>
    <mergeCell ref="P7:P10"/>
    <mergeCell ref="T11:T14"/>
    <mergeCell ref="U11:U14"/>
    <mergeCell ref="V11:V14"/>
    <mergeCell ref="C13:C14"/>
    <mergeCell ref="L15:L18"/>
    <mergeCell ref="M15:M18"/>
    <mergeCell ref="N15:N18"/>
    <mergeCell ref="V19:V22"/>
    <mergeCell ref="C21:C22"/>
    <mergeCell ref="B15:B18"/>
    <mergeCell ref="C15:C16"/>
    <mergeCell ref="E15:E18"/>
    <mergeCell ref="F15:F18"/>
    <mergeCell ref="G15:G18"/>
    <mergeCell ref="H15:H18"/>
    <mergeCell ref="N11:N14"/>
    <mergeCell ref="O11:O14"/>
    <mergeCell ref="P11:P14"/>
    <mergeCell ref="Q11:Q14"/>
    <mergeCell ref="R11:R14"/>
    <mergeCell ref="S11:S14"/>
    <mergeCell ref="H11:H14"/>
    <mergeCell ref="I11:I14"/>
    <mergeCell ref="J11:J14"/>
    <mergeCell ref="K11:K14"/>
    <mergeCell ref="L11:L14"/>
    <mergeCell ref="M11:M14"/>
    <mergeCell ref="P19:P22"/>
    <mergeCell ref="Q19:Q22"/>
    <mergeCell ref="R19:R22"/>
    <mergeCell ref="S19:S22"/>
    <mergeCell ref="T19:T22"/>
    <mergeCell ref="U19:U22"/>
    <mergeCell ref="J19:J22"/>
    <mergeCell ref="K19:K22"/>
    <mergeCell ref="L19:L22"/>
    <mergeCell ref="M19:M22"/>
    <mergeCell ref="N19:N22"/>
    <mergeCell ref="O19:O22"/>
    <mergeCell ref="C25:C26"/>
    <mergeCell ref="U15:U18"/>
    <mergeCell ref="V15:V18"/>
    <mergeCell ref="C17:C18"/>
    <mergeCell ref="B19:B22"/>
    <mergeCell ref="C19:C20"/>
    <mergeCell ref="E19:E22"/>
    <mergeCell ref="F19:F22"/>
    <mergeCell ref="G19:G22"/>
    <mergeCell ref="H19:H22"/>
    <mergeCell ref="I19:I22"/>
    <mergeCell ref="O15:O18"/>
    <mergeCell ref="P15:P18"/>
    <mergeCell ref="Q15:Q18"/>
    <mergeCell ref="R15:R18"/>
    <mergeCell ref="S15:S18"/>
    <mergeCell ref="T15:T18"/>
    <mergeCell ref="I15:I18"/>
    <mergeCell ref="J15:J18"/>
    <mergeCell ref="K15:K18"/>
    <mergeCell ref="Q23:Q26"/>
    <mergeCell ref="R23:R26"/>
    <mergeCell ref="S23:S26"/>
    <mergeCell ref="T23:T26"/>
    <mergeCell ref="U23:U26"/>
    <mergeCell ref="V23:V26"/>
    <mergeCell ref="K23:K26"/>
    <mergeCell ref="L23:L26"/>
    <mergeCell ref="M23:M26"/>
    <mergeCell ref="N23:N26"/>
    <mergeCell ref="O23:O26"/>
    <mergeCell ref="P23:P26"/>
    <mergeCell ref="T27:T30"/>
    <mergeCell ref="U27:U30"/>
    <mergeCell ref="V27:V30"/>
    <mergeCell ref="C29:C30"/>
    <mergeCell ref="B23:B26"/>
    <mergeCell ref="C23:C24"/>
    <mergeCell ref="E23:E26"/>
    <mergeCell ref="F23:F26"/>
    <mergeCell ref="G23:G26"/>
    <mergeCell ref="H23:H26"/>
    <mergeCell ref="I23:I26"/>
    <mergeCell ref="J23:J26"/>
    <mergeCell ref="L31:L34"/>
    <mergeCell ref="M31:M34"/>
    <mergeCell ref="N31:N34"/>
    <mergeCell ref="V35:V38"/>
    <mergeCell ref="C37:C38"/>
    <mergeCell ref="B31:B34"/>
    <mergeCell ref="C31:C32"/>
    <mergeCell ref="E31:E34"/>
    <mergeCell ref="F31:F34"/>
    <mergeCell ref="G31:G34"/>
    <mergeCell ref="H31:H34"/>
    <mergeCell ref="N27:N30"/>
    <mergeCell ref="O27:O30"/>
    <mergeCell ref="P27:P30"/>
    <mergeCell ref="Q27:Q30"/>
    <mergeCell ref="R27:R30"/>
    <mergeCell ref="S27:S30"/>
    <mergeCell ref="H27:H30"/>
    <mergeCell ref="I27:I30"/>
    <mergeCell ref="J27:J30"/>
    <mergeCell ref="K27:K30"/>
    <mergeCell ref="L27:L30"/>
    <mergeCell ref="M27:M30"/>
    <mergeCell ref="B27:B30"/>
    <mergeCell ref="C27:C28"/>
    <mergeCell ref="E27:E30"/>
    <mergeCell ref="F27:F30"/>
    <mergeCell ref="G27:G30"/>
    <mergeCell ref="P35:P38"/>
    <mergeCell ref="Q35:Q38"/>
    <mergeCell ref="R35:R38"/>
    <mergeCell ref="S35:S38"/>
    <mergeCell ref="T35:T38"/>
    <mergeCell ref="U35:U38"/>
    <mergeCell ref="J35:J38"/>
    <mergeCell ref="K35:K38"/>
    <mergeCell ref="L35:L38"/>
    <mergeCell ref="M35:M38"/>
    <mergeCell ref="N35:N38"/>
    <mergeCell ref="O35:O38"/>
    <mergeCell ref="C41:C42"/>
    <mergeCell ref="U31:U34"/>
    <mergeCell ref="V31:V34"/>
    <mergeCell ref="C33:C34"/>
    <mergeCell ref="B35:B38"/>
    <mergeCell ref="C35:C36"/>
    <mergeCell ref="E35:E38"/>
    <mergeCell ref="F35:F38"/>
    <mergeCell ref="G35:G38"/>
    <mergeCell ref="H35:H38"/>
    <mergeCell ref="I35:I38"/>
    <mergeCell ref="O31:O34"/>
    <mergeCell ref="P31:P34"/>
    <mergeCell ref="Q31:Q34"/>
    <mergeCell ref="R31:R34"/>
    <mergeCell ref="S31:S34"/>
    <mergeCell ref="T31:T34"/>
    <mergeCell ref="I31:I34"/>
    <mergeCell ref="J31:J34"/>
    <mergeCell ref="K31:K34"/>
    <mergeCell ref="Q39:Q42"/>
    <mergeCell ref="R39:R42"/>
    <mergeCell ref="S39:S42"/>
    <mergeCell ref="T39:T42"/>
    <mergeCell ref="U39:U42"/>
    <mergeCell ref="V39:V42"/>
    <mergeCell ref="K39:K42"/>
    <mergeCell ref="L39:L42"/>
    <mergeCell ref="M39:M42"/>
    <mergeCell ref="N39:N42"/>
    <mergeCell ref="O39:O42"/>
    <mergeCell ref="P39:P42"/>
    <mergeCell ref="T43:T46"/>
    <mergeCell ref="U43:U46"/>
    <mergeCell ref="V43:V46"/>
    <mergeCell ref="C45:C46"/>
    <mergeCell ref="B39:B42"/>
    <mergeCell ref="C39:C40"/>
    <mergeCell ref="E39:E42"/>
    <mergeCell ref="F39:F42"/>
    <mergeCell ref="G39:G42"/>
    <mergeCell ref="H39:H42"/>
    <mergeCell ref="I39:I42"/>
    <mergeCell ref="J39:J42"/>
    <mergeCell ref="L47:L50"/>
    <mergeCell ref="M47:M50"/>
    <mergeCell ref="N47:N50"/>
    <mergeCell ref="V51:V54"/>
    <mergeCell ref="C53:C54"/>
    <mergeCell ref="B47:B50"/>
    <mergeCell ref="C47:C48"/>
    <mergeCell ref="E47:E50"/>
    <mergeCell ref="F47:F50"/>
    <mergeCell ref="G47:G50"/>
    <mergeCell ref="H47:H50"/>
    <mergeCell ref="N43:N46"/>
    <mergeCell ref="O43:O46"/>
    <mergeCell ref="P43:P46"/>
    <mergeCell ref="Q43:Q46"/>
    <mergeCell ref="R43:R46"/>
    <mergeCell ref="S43:S46"/>
    <mergeCell ref="H43:H46"/>
    <mergeCell ref="I43:I46"/>
    <mergeCell ref="J43:J46"/>
    <mergeCell ref="K43:K46"/>
    <mergeCell ref="L43:L46"/>
    <mergeCell ref="M43:M46"/>
    <mergeCell ref="B43:B46"/>
    <mergeCell ref="C43:C44"/>
    <mergeCell ref="E43:E46"/>
    <mergeCell ref="F43:F46"/>
    <mergeCell ref="G43:G46"/>
    <mergeCell ref="P51:P54"/>
    <mergeCell ref="Q51:Q54"/>
    <mergeCell ref="R51:R54"/>
    <mergeCell ref="S51:S54"/>
    <mergeCell ref="T51:T54"/>
    <mergeCell ref="U51:U54"/>
    <mergeCell ref="J51:J54"/>
    <mergeCell ref="K51:K54"/>
    <mergeCell ref="L51:L54"/>
    <mergeCell ref="M51:M54"/>
    <mergeCell ref="N51:N54"/>
    <mergeCell ref="O51:O54"/>
    <mergeCell ref="C57:C58"/>
    <mergeCell ref="U47:U50"/>
    <mergeCell ref="V47:V50"/>
    <mergeCell ref="C49:C50"/>
    <mergeCell ref="B51:B54"/>
    <mergeCell ref="C51:C52"/>
    <mergeCell ref="E51:E54"/>
    <mergeCell ref="F51:F54"/>
    <mergeCell ref="G51:G54"/>
    <mergeCell ref="H51:H54"/>
    <mergeCell ref="I51:I54"/>
    <mergeCell ref="O47:O50"/>
    <mergeCell ref="P47:P50"/>
    <mergeCell ref="Q47:Q50"/>
    <mergeCell ref="R47:R50"/>
    <mergeCell ref="S47:S50"/>
    <mergeCell ref="T47:T50"/>
    <mergeCell ref="I47:I50"/>
    <mergeCell ref="J47:J50"/>
    <mergeCell ref="K47:K50"/>
    <mergeCell ref="Q55:Q58"/>
    <mergeCell ref="R55:R58"/>
    <mergeCell ref="S55:S58"/>
    <mergeCell ref="T55:T58"/>
    <mergeCell ref="U55:U58"/>
    <mergeCell ref="V55:V58"/>
    <mergeCell ref="K55:K58"/>
    <mergeCell ref="L55:L58"/>
    <mergeCell ref="M55:M58"/>
    <mergeCell ref="N55:N58"/>
    <mergeCell ref="O55:O58"/>
    <mergeCell ref="P55:P58"/>
    <mergeCell ref="T59:T62"/>
    <mergeCell ref="U59:U62"/>
    <mergeCell ref="V59:V62"/>
    <mergeCell ref="C61:C62"/>
    <mergeCell ref="B55:B58"/>
    <mergeCell ref="C55:C56"/>
    <mergeCell ref="E55:E58"/>
    <mergeCell ref="F55:F58"/>
    <mergeCell ref="G55:G58"/>
    <mergeCell ref="H55:H58"/>
    <mergeCell ref="I55:I58"/>
    <mergeCell ref="J55:J58"/>
    <mergeCell ref="L63:L66"/>
    <mergeCell ref="M63:M66"/>
    <mergeCell ref="N63:N66"/>
    <mergeCell ref="V67:V70"/>
    <mergeCell ref="C69:C70"/>
    <mergeCell ref="B63:B66"/>
    <mergeCell ref="C63:C64"/>
    <mergeCell ref="E63:E66"/>
    <mergeCell ref="F63:F66"/>
    <mergeCell ref="G63:G66"/>
    <mergeCell ref="H63:H66"/>
    <mergeCell ref="N59:N62"/>
    <mergeCell ref="O59:O62"/>
    <mergeCell ref="P59:P62"/>
    <mergeCell ref="Q59:Q62"/>
    <mergeCell ref="R59:R62"/>
    <mergeCell ref="S59:S62"/>
    <mergeCell ref="H59:H62"/>
    <mergeCell ref="I59:I62"/>
    <mergeCell ref="J59:J62"/>
    <mergeCell ref="K59:K62"/>
    <mergeCell ref="L59:L62"/>
    <mergeCell ref="M59:M62"/>
    <mergeCell ref="B59:B62"/>
    <mergeCell ref="C59:C60"/>
    <mergeCell ref="E59:E62"/>
    <mergeCell ref="F59:F62"/>
    <mergeCell ref="G59:G62"/>
    <mergeCell ref="P67:P70"/>
    <mergeCell ref="Q67:Q70"/>
    <mergeCell ref="R67:R70"/>
    <mergeCell ref="S67:S70"/>
    <mergeCell ref="T67:T70"/>
    <mergeCell ref="U67:U70"/>
    <mergeCell ref="J67:J70"/>
    <mergeCell ref="K67:K70"/>
    <mergeCell ref="L67:L70"/>
    <mergeCell ref="M67:M70"/>
    <mergeCell ref="N67:N70"/>
    <mergeCell ref="O67:O70"/>
    <mergeCell ref="C73:C74"/>
    <mergeCell ref="U63:U66"/>
    <mergeCell ref="V63:V66"/>
    <mergeCell ref="C65:C66"/>
    <mergeCell ref="B67:B70"/>
    <mergeCell ref="C67:C68"/>
    <mergeCell ref="E67:E70"/>
    <mergeCell ref="F67:F70"/>
    <mergeCell ref="G67:G70"/>
    <mergeCell ref="H67:H70"/>
    <mergeCell ref="I67:I70"/>
    <mergeCell ref="O63:O66"/>
    <mergeCell ref="P63:P66"/>
    <mergeCell ref="Q63:Q66"/>
    <mergeCell ref="R63:R66"/>
    <mergeCell ref="S63:S66"/>
    <mergeCell ref="T63:T66"/>
    <mergeCell ref="I63:I66"/>
    <mergeCell ref="J63:J66"/>
    <mergeCell ref="K63:K66"/>
    <mergeCell ref="B75:B78"/>
    <mergeCell ref="C75:C76"/>
    <mergeCell ref="E75:E78"/>
    <mergeCell ref="F75:F78"/>
    <mergeCell ref="G75:G78"/>
    <mergeCell ref="Q71:Q74"/>
    <mergeCell ref="R71:R74"/>
    <mergeCell ref="S71:S74"/>
    <mergeCell ref="T71:T74"/>
    <mergeCell ref="U71:U74"/>
    <mergeCell ref="V71:V74"/>
    <mergeCell ref="K71:K74"/>
    <mergeCell ref="L71:L74"/>
    <mergeCell ref="M71:M74"/>
    <mergeCell ref="N71:N74"/>
    <mergeCell ref="O71:O74"/>
    <mergeCell ref="P71:P74"/>
    <mergeCell ref="T75:T78"/>
    <mergeCell ref="U75:U78"/>
    <mergeCell ref="V75:V78"/>
    <mergeCell ref="C77:C78"/>
    <mergeCell ref="B71:B74"/>
    <mergeCell ref="C71:C72"/>
    <mergeCell ref="E71:E74"/>
    <mergeCell ref="F71:F74"/>
    <mergeCell ref="G71:G74"/>
    <mergeCell ref="H71:H74"/>
    <mergeCell ref="I71:I74"/>
    <mergeCell ref="J71:J74"/>
    <mergeCell ref="A79:A150"/>
    <mergeCell ref="B79:B82"/>
    <mergeCell ref="C79:C80"/>
    <mergeCell ref="E79:E82"/>
    <mergeCell ref="F79:F82"/>
    <mergeCell ref="G79:G82"/>
    <mergeCell ref="N75:N78"/>
    <mergeCell ref="O75:O78"/>
    <mergeCell ref="P75:P78"/>
    <mergeCell ref="Q75:Q78"/>
    <mergeCell ref="R75:R78"/>
    <mergeCell ref="S75:S78"/>
    <mergeCell ref="H75:H78"/>
    <mergeCell ref="I75:I78"/>
    <mergeCell ref="J75:J78"/>
    <mergeCell ref="K75:K78"/>
    <mergeCell ref="L75:L78"/>
    <mergeCell ref="M75:M78"/>
    <mergeCell ref="B87:B90"/>
    <mergeCell ref="C87:C88"/>
    <mergeCell ref="E87:E90"/>
    <mergeCell ref="F87:F90"/>
    <mergeCell ref="G87:G90"/>
    <mergeCell ref="H87:H90"/>
    <mergeCell ref="I87:I90"/>
    <mergeCell ref="J83:J86"/>
    <mergeCell ref="K83:K86"/>
    <mergeCell ref="L83:L86"/>
    <mergeCell ref="M83:M86"/>
    <mergeCell ref="N83:N86"/>
    <mergeCell ref="B95:B98"/>
    <mergeCell ref="C95:C96"/>
    <mergeCell ref="T79:T82"/>
    <mergeCell ref="U79:U82"/>
    <mergeCell ref="V79:V82"/>
    <mergeCell ref="C81:C82"/>
    <mergeCell ref="B83:B86"/>
    <mergeCell ref="C83:C84"/>
    <mergeCell ref="E83:E86"/>
    <mergeCell ref="F83:F86"/>
    <mergeCell ref="G83:G86"/>
    <mergeCell ref="H83:H86"/>
    <mergeCell ref="N79:N82"/>
    <mergeCell ref="O79:O82"/>
    <mergeCell ref="P79:P82"/>
    <mergeCell ref="Q79:Q82"/>
    <mergeCell ref="R79:R82"/>
    <mergeCell ref="S79:S82"/>
    <mergeCell ref="H79:H82"/>
    <mergeCell ref="I79:I82"/>
    <mergeCell ref="J79:J82"/>
    <mergeCell ref="K79:K82"/>
    <mergeCell ref="L79:L82"/>
    <mergeCell ref="M79:M82"/>
    <mergeCell ref="U83:U86"/>
    <mergeCell ref="V83:V86"/>
    <mergeCell ref="C85:C86"/>
    <mergeCell ref="O83:O86"/>
    <mergeCell ref="P83:P86"/>
    <mergeCell ref="Q83:Q86"/>
    <mergeCell ref="R83:R86"/>
    <mergeCell ref="S83:S86"/>
    <mergeCell ref="T83:T86"/>
    <mergeCell ref="I83:I86"/>
    <mergeCell ref="B91:B94"/>
    <mergeCell ref="C91:C92"/>
    <mergeCell ref="E91:E94"/>
    <mergeCell ref="F91:F94"/>
    <mergeCell ref="G91:G94"/>
    <mergeCell ref="H91:H94"/>
    <mergeCell ref="I91:I94"/>
    <mergeCell ref="J91:J94"/>
    <mergeCell ref="P87:P90"/>
    <mergeCell ref="Q87:Q90"/>
    <mergeCell ref="R87:R90"/>
    <mergeCell ref="S87:S90"/>
    <mergeCell ref="T87:T90"/>
    <mergeCell ref="U87:U90"/>
    <mergeCell ref="J87:J90"/>
    <mergeCell ref="K87:K90"/>
    <mergeCell ref="L87:L90"/>
    <mergeCell ref="M87:M90"/>
    <mergeCell ref="N87:N90"/>
    <mergeCell ref="O87:O90"/>
    <mergeCell ref="C93:C94"/>
    <mergeCell ref="Q91:Q94"/>
    <mergeCell ref="R91:R94"/>
    <mergeCell ref="S91:S94"/>
    <mergeCell ref="T91:T94"/>
    <mergeCell ref="U91:U94"/>
    <mergeCell ref="V91:V94"/>
    <mergeCell ref="K91:K94"/>
    <mergeCell ref="L91:L94"/>
    <mergeCell ref="M91:M94"/>
    <mergeCell ref="N91:N94"/>
    <mergeCell ref="O91:O94"/>
    <mergeCell ref="P91:P94"/>
    <mergeCell ref="T95:T98"/>
    <mergeCell ref="U95:U98"/>
    <mergeCell ref="V95:V98"/>
    <mergeCell ref="V87:V90"/>
    <mergeCell ref="C89:C90"/>
    <mergeCell ref="L99:L102"/>
    <mergeCell ref="M99:M102"/>
    <mergeCell ref="N99:N102"/>
    <mergeCell ref="V103:V106"/>
    <mergeCell ref="C105:C106"/>
    <mergeCell ref="C97:C98"/>
    <mergeCell ref="B99:B102"/>
    <mergeCell ref="C99:C100"/>
    <mergeCell ref="E99:E102"/>
    <mergeCell ref="F99:F102"/>
    <mergeCell ref="G99:G102"/>
    <mergeCell ref="H99:H102"/>
    <mergeCell ref="N95:N98"/>
    <mergeCell ref="O95:O98"/>
    <mergeCell ref="P95:P98"/>
    <mergeCell ref="Q95:Q98"/>
    <mergeCell ref="R95:R98"/>
    <mergeCell ref="S95:S98"/>
    <mergeCell ref="H95:H98"/>
    <mergeCell ref="I95:I98"/>
    <mergeCell ref="J95:J98"/>
    <mergeCell ref="K95:K98"/>
    <mergeCell ref="L95:L98"/>
    <mergeCell ref="M95:M98"/>
    <mergeCell ref="E95:E98"/>
    <mergeCell ref="F95:F98"/>
    <mergeCell ref="G95:G98"/>
    <mergeCell ref="P103:P106"/>
    <mergeCell ref="Q103:Q106"/>
    <mergeCell ref="R103:R106"/>
    <mergeCell ref="S103:S106"/>
    <mergeCell ref="T103:T106"/>
    <mergeCell ref="U103:U106"/>
    <mergeCell ref="J103:J106"/>
    <mergeCell ref="K103:K106"/>
    <mergeCell ref="L103:L106"/>
    <mergeCell ref="M103:M106"/>
    <mergeCell ref="N103:N106"/>
    <mergeCell ref="O103:O106"/>
    <mergeCell ref="C109:C110"/>
    <mergeCell ref="U99:U102"/>
    <mergeCell ref="V99:V102"/>
    <mergeCell ref="C101:C102"/>
    <mergeCell ref="B103:B106"/>
    <mergeCell ref="C103:C104"/>
    <mergeCell ref="E103:E106"/>
    <mergeCell ref="F103:F106"/>
    <mergeCell ref="G103:G106"/>
    <mergeCell ref="H103:H106"/>
    <mergeCell ref="I103:I106"/>
    <mergeCell ref="O99:O102"/>
    <mergeCell ref="P99:P102"/>
    <mergeCell ref="Q99:Q102"/>
    <mergeCell ref="R99:R102"/>
    <mergeCell ref="S99:S102"/>
    <mergeCell ref="T99:T102"/>
    <mergeCell ref="I99:I102"/>
    <mergeCell ref="J99:J102"/>
    <mergeCell ref="K99:K102"/>
    <mergeCell ref="Q107:Q110"/>
    <mergeCell ref="R107:R110"/>
    <mergeCell ref="S107:S110"/>
    <mergeCell ref="T107:T110"/>
    <mergeCell ref="U107:U110"/>
    <mergeCell ref="V107:V110"/>
    <mergeCell ref="K107:K110"/>
    <mergeCell ref="L107:L110"/>
    <mergeCell ref="M107:M110"/>
    <mergeCell ref="N107:N110"/>
    <mergeCell ref="O107:O110"/>
    <mergeCell ref="P107:P110"/>
    <mergeCell ref="T111:T114"/>
    <mergeCell ref="U111:U114"/>
    <mergeCell ref="V111:V114"/>
    <mergeCell ref="C113:C114"/>
    <mergeCell ref="B107:B110"/>
    <mergeCell ref="C107:C108"/>
    <mergeCell ref="E107:E110"/>
    <mergeCell ref="F107:F110"/>
    <mergeCell ref="G107:G110"/>
    <mergeCell ref="H107:H110"/>
    <mergeCell ref="I107:I110"/>
    <mergeCell ref="J107:J110"/>
    <mergeCell ref="L115:L118"/>
    <mergeCell ref="M115:M118"/>
    <mergeCell ref="N115:N118"/>
    <mergeCell ref="V119:V122"/>
    <mergeCell ref="C121:C122"/>
    <mergeCell ref="B115:B118"/>
    <mergeCell ref="C115:C116"/>
    <mergeCell ref="E115:E118"/>
    <mergeCell ref="F115:F118"/>
    <mergeCell ref="G115:G118"/>
    <mergeCell ref="H115:H118"/>
    <mergeCell ref="N111:N114"/>
    <mergeCell ref="O111:O114"/>
    <mergeCell ref="P111:P114"/>
    <mergeCell ref="Q111:Q114"/>
    <mergeCell ref="R111:R114"/>
    <mergeCell ref="S111:S114"/>
    <mergeCell ref="H111:H114"/>
    <mergeCell ref="I111:I114"/>
    <mergeCell ref="J111:J114"/>
    <mergeCell ref="K111:K114"/>
    <mergeCell ref="L111:L114"/>
    <mergeCell ref="M111:M114"/>
    <mergeCell ref="B111:B114"/>
    <mergeCell ref="C111:C112"/>
    <mergeCell ref="E111:E114"/>
    <mergeCell ref="F111:F114"/>
    <mergeCell ref="G111:G114"/>
    <mergeCell ref="P119:P122"/>
    <mergeCell ref="Q119:Q122"/>
    <mergeCell ref="R119:R122"/>
    <mergeCell ref="S119:S122"/>
    <mergeCell ref="T119:T122"/>
    <mergeCell ref="U119:U122"/>
    <mergeCell ref="J119:J122"/>
    <mergeCell ref="K119:K122"/>
    <mergeCell ref="L119:L122"/>
    <mergeCell ref="M119:M122"/>
    <mergeCell ref="N119:N122"/>
    <mergeCell ref="O119:O122"/>
    <mergeCell ref="C125:C126"/>
    <mergeCell ref="U115:U118"/>
    <mergeCell ref="V115:V118"/>
    <mergeCell ref="C117:C118"/>
    <mergeCell ref="B119:B122"/>
    <mergeCell ref="C119:C120"/>
    <mergeCell ref="E119:E122"/>
    <mergeCell ref="F119:F122"/>
    <mergeCell ref="G119:G122"/>
    <mergeCell ref="H119:H122"/>
    <mergeCell ref="I119:I122"/>
    <mergeCell ref="O115:O118"/>
    <mergeCell ref="P115:P118"/>
    <mergeCell ref="Q115:Q118"/>
    <mergeCell ref="R115:R118"/>
    <mergeCell ref="S115:S118"/>
    <mergeCell ref="T115:T118"/>
    <mergeCell ref="I115:I118"/>
    <mergeCell ref="J115:J118"/>
    <mergeCell ref="K115:K118"/>
    <mergeCell ref="Q123:Q126"/>
    <mergeCell ref="R123:R126"/>
    <mergeCell ref="S123:S126"/>
    <mergeCell ref="T123:T126"/>
    <mergeCell ref="U123:U126"/>
    <mergeCell ref="V123:V126"/>
    <mergeCell ref="K123:K126"/>
    <mergeCell ref="L123:L126"/>
    <mergeCell ref="M123:M126"/>
    <mergeCell ref="N123:N126"/>
    <mergeCell ref="O123:O126"/>
    <mergeCell ref="P123:P126"/>
    <mergeCell ref="T127:T130"/>
    <mergeCell ref="U127:U130"/>
    <mergeCell ref="V127:V130"/>
    <mergeCell ref="C129:C130"/>
    <mergeCell ref="B123:B126"/>
    <mergeCell ref="C123:C124"/>
    <mergeCell ref="E123:E126"/>
    <mergeCell ref="F123:F126"/>
    <mergeCell ref="G123:G126"/>
    <mergeCell ref="H123:H126"/>
    <mergeCell ref="I123:I126"/>
    <mergeCell ref="J123:J126"/>
    <mergeCell ref="L131:L134"/>
    <mergeCell ref="M131:M134"/>
    <mergeCell ref="N131:N134"/>
    <mergeCell ref="V135:V138"/>
    <mergeCell ref="C137:C138"/>
    <mergeCell ref="B131:B134"/>
    <mergeCell ref="C131:C132"/>
    <mergeCell ref="E131:E134"/>
    <mergeCell ref="F131:F134"/>
    <mergeCell ref="G131:G134"/>
    <mergeCell ref="H131:H134"/>
    <mergeCell ref="N127:N130"/>
    <mergeCell ref="O127:O130"/>
    <mergeCell ref="P127:P130"/>
    <mergeCell ref="Q127:Q130"/>
    <mergeCell ref="R127:R130"/>
    <mergeCell ref="S127:S130"/>
    <mergeCell ref="H127:H130"/>
    <mergeCell ref="I127:I130"/>
    <mergeCell ref="J127:J130"/>
    <mergeCell ref="K127:K130"/>
    <mergeCell ref="L127:L130"/>
    <mergeCell ref="M127:M130"/>
    <mergeCell ref="B127:B130"/>
    <mergeCell ref="C127:C128"/>
    <mergeCell ref="E127:E130"/>
    <mergeCell ref="F127:F130"/>
    <mergeCell ref="G127:G130"/>
    <mergeCell ref="P135:P138"/>
    <mergeCell ref="Q135:Q138"/>
    <mergeCell ref="R135:R138"/>
    <mergeCell ref="S135:S138"/>
    <mergeCell ref="T135:T138"/>
    <mergeCell ref="U135:U138"/>
    <mergeCell ref="J135:J138"/>
    <mergeCell ref="K135:K138"/>
    <mergeCell ref="L135:L138"/>
    <mergeCell ref="M135:M138"/>
    <mergeCell ref="N135:N138"/>
    <mergeCell ref="O135:O138"/>
    <mergeCell ref="C141:C142"/>
    <mergeCell ref="U131:U134"/>
    <mergeCell ref="V131:V134"/>
    <mergeCell ref="C133:C134"/>
    <mergeCell ref="B135:B138"/>
    <mergeCell ref="C135:C136"/>
    <mergeCell ref="E135:E138"/>
    <mergeCell ref="F135:F138"/>
    <mergeCell ref="G135:G138"/>
    <mergeCell ref="H135:H138"/>
    <mergeCell ref="I135:I138"/>
    <mergeCell ref="O131:O134"/>
    <mergeCell ref="P131:P134"/>
    <mergeCell ref="Q131:Q134"/>
    <mergeCell ref="R131:R134"/>
    <mergeCell ref="S131:S134"/>
    <mergeCell ref="T131:T134"/>
    <mergeCell ref="I131:I134"/>
    <mergeCell ref="J131:J134"/>
    <mergeCell ref="K131:K134"/>
    <mergeCell ref="Q139:Q142"/>
    <mergeCell ref="R139:R142"/>
    <mergeCell ref="S139:S142"/>
    <mergeCell ref="T139:T142"/>
    <mergeCell ref="U139:U142"/>
    <mergeCell ref="V139:V142"/>
    <mergeCell ref="K139:K142"/>
    <mergeCell ref="L139:L142"/>
    <mergeCell ref="M139:M142"/>
    <mergeCell ref="N139:N142"/>
    <mergeCell ref="O139:O142"/>
    <mergeCell ref="P139:P142"/>
    <mergeCell ref="T143:T146"/>
    <mergeCell ref="U143:U146"/>
    <mergeCell ref="V143:V146"/>
    <mergeCell ref="C145:C146"/>
    <mergeCell ref="B139:B142"/>
    <mergeCell ref="C139:C140"/>
    <mergeCell ref="E139:E142"/>
    <mergeCell ref="F139:F142"/>
    <mergeCell ref="G139:G142"/>
    <mergeCell ref="H139:H142"/>
    <mergeCell ref="I139:I142"/>
    <mergeCell ref="J139:J142"/>
    <mergeCell ref="B147:B150"/>
    <mergeCell ref="C147:C148"/>
    <mergeCell ref="E147:E150"/>
    <mergeCell ref="F147:F150"/>
    <mergeCell ref="G147:G150"/>
    <mergeCell ref="H147:H150"/>
    <mergeCell ref="N143:N146"/>
    <mergeCell ref="O143:O146"/>
    <mergeCell ref="P143:P146"/>
    <mergeCell ref="Q143:Q146"/>
    <mergeCell ref="R143:R146"/>
    <mergeCell ref="S143:S146"/>
    <mergeCell ref="H143:H146"/>
    <mergeCell ref="I143:I146"/>
    <mergeCell ref="J143:J146"/>
    <mergeCell ref="K143:K146"/>
    <mergeCell ref="L143:L146"/>
    <mergeCell ref="M143:M146"/>
    <mergeCell ref="B143:B146"/>
    <mergeCell ref="C143:C144"/>
    <mergeCell ref="E143:E146"/>
    <mergeCell ref="F143:F146"/>
    <mergeCell ref="G143:G146"/>
    <mergeCell ref="U147:U150"/>
    <mergeCell ref="V147:V150"/>
    <mergeCell ref="C149:C150"/>
    <mergeCell ref="A151:A222"/>
    <mergeCell ref="B151:B154"/>
    <mergeCell ref="C151:C152"/>
    <mergeCell ref="E151:E154"/>
    <mergeCell ref="F151:F154"/>
    <mergeCell ref="G151:G154"/>
    <mergeCell ref="H151:H154"/>
    <mergeCell ref="O147:O150"/>
    <mergeCell ref="P147:P150"/>
    <mergeCell ref="Q147:Q150"/>
    <mergeCell ref="R147:R150"/>
    <mergeCell ref="S147:S150"/>
    <mergeCell ref="T147:T150"/>
    <mergeCell ref="I147:I150"/>
    <mergeCell ref="J147:J150"/>
    <mergeCell ref="K147:K150"/>
    <mergeCell ref="L147:L150"/>
    <mergeCell ref="M147:M150"/>
    <mergeCell ref="N147:N150"/>
    <mergeCell ref="U151:U154"/>
    <mergeCell ref="V151:V154"/>
    <mergeCell ref="C153:C154"/>
    <mergeCell ref="B155:B158"/>
    <mergeCell ref="C155:C156"/>
    <mergeCell ref="E155:E158"/>
    <mergeCell ref="F155:F158"/>
    <mergeCell ref="G155:G158"/>
    <mergeCell ref="H155:H158"/>
    <mergeCell ref="I155:I158"/>
    <mergeCell ref="O151:O154"/>
    <mergeCell ref="P151:P154"/>
    <mergeCell ref="Q151:Q154"/>
    <mergeCell ref="R151:R154"/>
    <mergeCell ref="S151:S154"/>
    <mergeCell ref="T151:T154"/>
    <mergeCell ref="I151:I154"/>
    <mergeCell ref="J151:J154"/>
    <mergeCell ref="K151:K154"/>
    <mergeCell ref="L151:L154"/>
    <mergeCell ref="M151:M154"/>
    <mergeCell ref="N151:N154"/>
    <mergeCell ref="V155:V158"/>
    <mergeCell ref="C157:C158"/>
    <mergeCell ref="B159:B162"/>
    <mergeCell ref="C159:C160"/>
    <mergeCell ref="E159:E162"/>
    <mergeCell ref="F159:F162"/>
    <mergeCell ref="G159:G162"/>
    <mergeCell ref="H159:H162"/>
    <mergeCell ref="I159:I162"/>
    <mergeCell ref="J159:J162"/>
    <mergeCell ref="P155:P158"/>
    <mergeCell ref="Q155:Q158"/>
    <mergeCell ref="R155:R158"/>
    <mergeCell ref="S155:S158"/>
    <mergeCell ref="T155:T158"/>
    <mergeCell ref="U155:U158"/>
    <mergeCell ref="J155:J158"/>
    <mergeCell ref="K155:K158"/>
    <mergeCell ref="L155:L158"/>
    <mergeCell ref="M155:M158"/>
    <mergeCell ref="N155:N158"/>
    <mergeCell ref="O155:O158"/>
    <mergeCell ref="C161:C162"/>
    <mergeCell ref="B163:B166"/>
    <mergeCell ref="C163:C164"/>
    <mergeCell ref="E163:E166"/>
    <mergeCell ref="F163:F166"/>
    <mergeCell ref="G163:G166"/>
    <mergeCell ref="Q159:Q162"/>
    <mergeCell ref="R159:R162"/>
    <mergeCell ref="S159:S162"/>
    <mergeCell ref="T159:T162"/>
    <mergeCell ref="U159:U162"/>
    <mergeCell ref="V159:V162"/>
    <mergeCell ref="K159:K162"/>
    <mergeCell ref="L159:L162"/>
    <mergeCell ref="M159:M162"/>
    <mergeCell ref="N159:N162"/>
    <mergeCell ref="O159:O162"/>
    <mergeCell ref="P159:P162"/>
    <mergeCell ref="T163:T166"/>
    <mergeCell ref="U163:U166"/>
    <mergeCell ref="V163:V166"/>
    <mergeCell ref="C165:C166"/>
    <mergeCell ref="L167:L170"/>
    <mergeCell ref="M167:M170"/>
    <mergeCell ref="N167:N170"/>
    <mergeCell ref="V171:V174"/>
    <mergeCell ref="C173:C174"/>
    <mergeCell ref="B167:B170"/>
    <mergeCell ref="C167:C168"/>
    <mergeCell ref="E167:E170"/>
    <mergeCell ref="F167:F170"/>
    <mergeCell ref="G167:G170"/>
    <mergeCell ref="H167:H170"/>
    <mergeCell ref="N163:N166"/>
    <mergeCell ref="O163:O166"/>
    <mergeCell ref="P163:P166"/>
    <mergeCell ref="Q163:Q166"/>
    <mergeCell ref="R163:R166"/>
    <mergeCell ref="S163:S166"/>
    <mergeCell ref="H163:H166"/>
    <mergeCell ref="I163:I166"/>
    <mergeCell ref="J163:J166"/>
    <mergeCell ref="K163:K166"/>
    <mergeCell ref="L163:L166"/>
    <mergeCell ref="M163:M166"/>
    <mergeCell ref="P171:P174"/>
    <mergeCell ref="Q171:Q174"/>
    <mergeCell ref="R171:R174"/>
    <mergeCell ref="S171:S174"/>
    <mergeCell ref="T171:T174"/>
    <mergeCell ref="U171:U174"/>
    <mergeCell ref="J171:J174"/>
    <mergeCell ref="K171:K174"/>
    <mergeCell ref="L171:L174"/>
    <mergeCell ref="M171:M174"/>
    <mergeCell ref="N171:N174"/>
    <mergeCell ref="O171:O174"/>
    <mergeCell ref="C177:C178"/>
    <mergeCell ref="U167:U170"/>
    <mergeCell ref="V167:V170"/>
    <mergeCell ref="C169:C170"/>
    <mergeCell ref="B171:B174"/>
    <mergeCell ref="C171:C172"/>
    <mergeCell ref="E171:E174"/>
    <mergeCell ref="F171:F174"/>
    <mergeCell ref="G171:G174"/>
    <mergeCell ref="H171:H174"/>
    <mergeCell ref="I171:I174"/>
    <mergeCell ref="O167:O170"/>
    <mergeCell ref="P167:P170"/>
    <mergeCell ref="Q167:Q170"/>
    <mergeCell ref="R167:R170"/>
    <mergeCell ref="S167:S170"/>
    <mergeCell ref="T167:T170"/>
    <mergeCell ref="I167:I170"/>
    <mergeCell ref="J167:J170"/>
    <mergeCell ref="K167:K170"/>
    <mergeCell ref="Q175:Q178"/>
    <mergeCell ref="R175:R178"/>
    <mergeCell ref="S175:S178"/>
    <mergeCell ref="T175:T178"/>
    <mergeCell ref="U175:U178"/>
    <mergeCell ref="V175:V178"/>
    <mergeCell ref="K175:K178"/>
    <mergeCell ref="L175:L178"/>
    <mergeCell ref="M175:M178"/>
    <mergeCell ref="N175:N178"/>
    <mergeCell ref="O175:O178"/>
    <mergeCell ref="P175:P178"/>
    <mergeCell ref="T179:T182"/>
    <mergeCell ref="U179:U182"/>
    <mergeCell ref="V179:V182"/>
    <mergeCell ref="C181:C182"/>
    <mergeCell ref="B175:B178"/>
    <mergeCell ref="C175:C176"/>
    <mergeCell ref="E175:E178"/>
    <mergeCell ref="F175:F178"/>
    <mergeCell ref="G175:G178"/>
    <mergeCell ref="H175:H178"/>
    <mergeCell ref="I175:I178"/>
    <mergeCell ref="J175:J178"/>
    <mergeCell ref="L183:L186"/>
    <mergeCell ref="M183:M186"/>
    <mergeCell ref="N183:N186"/>
    <mergeCell ref="V187:V190"/>
    <mergeCell ref="C189:C190"/>
    <mergeCell ref="B183:B186"/>
    <mergeCell ref="C183:C184"/>
    <mergeCell ref="E183:E186"/>
    <mergeCell ref="F183:F186"/>
    <mergeCell ref="G183:G186"/>
    <mergeCell ref="H183:H186"/>
    <mergeCell ref="N179:N182"/>
    <mergeCell ref="O179:O182"/>
    <mergeCell ref="P179:P182"/>
    <mergeCell ref="Q179:Q182"/>
    <mergeCell ref="R179:R182"/>
    <mergeCell ref="S179:S182"/>
    <mergeCell ref="H179:H182"/>
    <mergeCell ref="I179:I182"/>
    <mergeCell ref="J179:J182"/>
    <mergeCell ref="K179:K182"/>
    <mergeCell ref="L179:L182"/>
    <mergeCell ref="M179:M182"/>
    <mergeCell ref="B179:B182"/>
    <mergeCell ref="C179:C180"/>
    <mergeCell ref="E179:E182"/>
    <mergeCell ref="F179:F182"/>
    <mergeCell ref="G179:G182"/>
    <mergeCell ref="P187:P190"/>
    <mergeCell ref="Q187:Q190"/>
    <mergeCell ref="R187:R190"/>
    <mergeCell ref="S187:S190"/>
    <mergeCell ref="T187:T190"/>
    <mergeCell ref="U187:U190"/>
    <mergeCell ref="J187:J190"/>
    <mergeCell ref="K187:K190"/>
    <mergeCell ref="L187:L190"/>
    <mergeCell ref="M187:M190"/>
    <mergeCell ref="N187:N190"/>
    <mergeCell ref="O187:O190"/>
    <mergeCell ref="C193:C194"/>
    <mergeCell ref="U183:U186"/>
    <mergeCell ref="V183:V186"/>
    <mergeCell ref="C185:C186"/>
    <mergeCell ref="B187:B190"/>
    <mergeCell ref="C187:C188"/>
    <mergeCell ref="E187:E190"/>
    <mergeCell ref="F187:F190"/>
    <mergeCell ref="G187:G190"/>
    <mergeCell ref="H187:H190"/>
    <mergeCell ref="I187:I190"/>
    <mergeCell ref="O183:O186"/>
    <mergeCell ref="P183:P186"/>
    <mergeCell ref="Q183:Q186"/>
    <mergeCell ref="R183:R186"/>
    <mergeCell ref="S183:S186"/>
    <mergeCell ref="T183:T186"/>
    <mergeCell ref="I183:I186"/>
    <mergeCell ref="J183:J186"/>
    <mergeCell ref="K183:K186"/>
    <mergeCell ref="Q191:Q194"/>
    <mergeCell ref="R191:R194"/>
    <mergeCell ref="S191:S194"/>
    <mergeCell ref="T191:T194"/>
    <mergeCell ref="U191:U194"/>
    <mergeCell ref="V191:V194"/>
    <mergeCell ref="K191:K194"/>
    <mergeCell ref="L191:L194"/>
    <mergeCell ref="M191:M194"/>
    <mergeCell ref="N191:N194"/>
    <mergeCell ref="O191:O194"/>
    <mergeCell ref="P191:P194"/>
    <mergeCell ref="T195:T198"/>
    <mergeCell ref="U195:U198"/>
    <mergeCell ref="V195:V198"/>
    <mergeCell ref="C197:C198"/>
    <mergeCell ref="B191:B194"/>
    <mergeCell ref="C191:C192"/>
    <mergeCell ref="E191:E194"/>
    <mergeCell ref="F191:F194"/>
    <mergeCell ref="G191:G194"/>
    <mergeCell ref="H191:H194"/>
    <mergeCell ref="I191:I194"/>
    <mergeCell ref="J191:J194"/>
    <mergeCell ref="L199:L202"/>
    <mergeCell ref="M199:M202"/>
    <mergeCell ref="N199:N202"/>
    <mergeCell ref="V203:V206"/>
    <mergeCell ref="C205:C206"/>
    <mergeCell ref="B199:B202"/>
    <mergeCell ref="C199:C200"/>
    <mergeCell ref="E199:E202"/>
    <mergeCell ref="F199:F202"/>
    <mergeCell ref="G199:G202"/>
    <mergeCell ref="H199:H202"/>
    <mergeCell ref="N195:N198"/>
    <mergeCell ref="O195:O198"/>
    <mergeCell ref="P195:P198"/>
    <mergeCell ref="Q195:Q198"/>
    <mergeCell ref="R195:R198"/>
    <mergeCell ref="S195:S198"/>
    <mergeCell ref="H195:H198"/>
    <mergeCell ref="I195:I198"/>
    <mergeCell ref="J195:J198"/>
    <mergeCell ref="K195:K198"/>
    <mergeCell ref="L195:L198"/>
    <mergeCell ref="M195:M198"/>
    <mergeCell ref="B195:B198"/>
    <mergeCell ref="C195:C196"/>
    <mergeCell ref="E195:E198"/>
    <mergeCell ref="F195:F198"/>
    <mergeCell ref="G195:G198"/>
    <mergeCell ref="P203:P206"/>
    <mergeCell ref="Q203:Q206"/>
    <mergeCell ref="R203:R206"/>
    <mergeCell ref="S203:S206"/>
    <mergeCell ref="T203:T206"/>
    <mergeCell ref="U203:U206"/>
    <mergeCell ref="J203:J206"/>
    <mergeCell ref="K203:K206"/>
    <mergeCell ref="L203:L206"/>
    <mergeCell ref="M203:M206"/>
    <mergeCell ref="N203:N206"/>
    <mergeCell ref="O203:O206"/>
    <mergeCell ref="C209:C210"/>
    <mergeCell ref="U199:U202"/>
    <mergeCell ref="V199:V202"/>
    <mergeCell ref="C201:C202"/>
    <mergeCell ref="B203:B206"/>
    <mergeCell ref="C203:C204"/>
    <mergeCell ref="E203:E206"/>
    <mergeCell ref="F203:F206"/>
    <mergeCell ref="G203:G206"/>
    <mergeCell ref="H203:H206"/>
    <mergeCell ref="I203:I206"/>
    <mergeCell ref="O199:O202"/>
    <mergeCell ref="P199:P202"/>
    <mergeCell ref="Q199:Q202"/>
    <mergeCell ref="R199:R202"/>
    <mergeCell ref="S199:S202"/>
    <mergeCell ref="T199:T202"/>
    <mergeCell ref="I199:I202"/>
    <mergeCell ref="J199:J202"/>
    <mergeCell ref="K199:K202"/>
    <mergeCell ref="Q207:Q210"/>
    <mergeCell ref="R207:R210"/>
    <mergeCell ref="S207:S210"/>
    <mergeCell ref="T207:T210"/>
    <mergeCell ref="U207:U210"/>
    <mergeCell ref="V207:V210"/>
    <mergeCell ref="K207:K210"/>
    <mergeCell ref="L207:L210"/>
    <mergeCell ref="M207:M210"/>
    <mergeCell ref="N207:N210"/>
    <mergeCell ref="O207:O210"/>
    <mergeCell ref="P207:P210"/>
    <mergeCell ref="T211:T214"/>
    <mergeCell ref="U211:U214"/>
    <mergeCell ref="V211:V214"/>
    <mergeCell ref="C213:C214"/>
    <mergeCell ref="B207:B210"/>
    <mergeCell ref="C207:C208"/>
    <mergeCell ref="E207:E210"/>
    <mergeCell ref="F207:F210"/>
    <mergeCell ref="G207:G210"/>
    <mergeCell ref="H207:H210"/>
    <mergeCell ref="I207:I210"/>
    <mergeCell ref="J207:J210"/>
    <mergeCell ref="H215:H218"/>
    <mergeCell ref="N211:N214"/>
    <mergeCell ref="O211:O214"/>
    <mergeCell ref="P211:P214"/>
    <mergeCell ref="Q211:Q214"/>
    <mergeCell ref="R211:R214"/>
    <mergeCell ref="S211:S214"/>
    <mergeCell ref="H211:H214"/>
    <mergeCell ref="I211:I214"/>
    <mergeCell ref="J211:J214"/>
    <mergeCell ref="K211:K214"/>
    <mergeCell ref="L211:L214"/>
    <mergeCell ref="M211:M214"/>
    <mergeCell ref="B211:B214"/>
    <mergeCell ref="C211:C212"/>
    <mergeCell ref="E211:E214"/>
    <mergeCell ref="F211:F214"/>
    <mergeCell ref="G211:G214"/>
    <mergeCell ref="U231:U234"/>
    <mergeCell ref="B239:B242"/>
    <mergeCell ref="C239:C240"/>
    <mergeCell ref="U215:U218"/>
    <mergeCell ref="V215:V218"/>
    <mergeCell ref="C217:C218"/>
    <mergeCell ref="B219:B222"/>
    <mergeCell ref="C219:C220"/>
    <mergeCell ref="E219:E222"/>
    <mergeCell ref="F219:F222"/>
    <mergeCell ref="G219:G222"/>
    <mergeCell ref="H219:H222"/>
    <mergeCell ref="I219:I222"/>
    <mergeCell ref="O215:O218"/>
    <mergeCell ref="P215:P218"/>
    <mergeCell ref="Q215:Q218"/>
    <mergeCell ref="R215:R218"/>
    <mergeCell ref="S215:S218"/>
    <mergeCell ref="T215:T218"/>
    <mergeCell ref="I215:I218"/>
    <mergeCell ref="J215:J218"/>
    <mergeCell ref="K215:K218"/>
    <mergeCell ref="L215:L218"/>
    <mergeCell ref="M215:M218"/>
    <mergeCell ref="N215:N218"/>
    <mergeCell ref="V219:V222"/>
    <mergeCell ref="C221:C222"/>
    <mergeCell ref="B215:B218"/>
    <mergeCell ref="C215:C216"/>
    <mergeCell ref="E215:E218"/>
    <mergeCell ref="F215:F218"/>
    <mergeCell ref="G215:G218"/>
    <mergeCell ref="K227:K230"/>
    <mergeCell ref="L227:L230"/>
    <mergeCell ref="M227:M230"/>
    <mergeCell ref="A223:A294"/>
    <mergeCell ref="B223:B226"/>
    <mergeCell ref="C223:C224"/>
    <mergeCell ref="E223:E226"/>
    <mergeCell ref="F223:F226"/>
    <mergeCell ref="G223:G226"/>
    <mergeCell ref="H223:H226"/>
    <mergeCell ref="I223:I226"/>
    <mergeCell ref="P219:P222"/>
    <mergeCell ref="Q219:Q222"/>
    <mergeCell ref="R219:R222"/>
    <mergeCell ref="S219:S222"/>
    <mergeCell ref="T219:T222"/>
    <mergeCell ref="U219:U222"/>
    <mergeCell ref="J219:J222"/>
    <mergeCell ref="K219:K222"/>
    <mergeCell ref="L219:L222"/>
    <mergeCell ref="M219:M222"/>
    <mergeCell ref="N219:N222"/>
    <mergeCell ref="O219:O222"/>
    <mergeCell ref="B231:B234"/>
    <mergeCell ref="C231:C232"/>
    <mergeCell ref="E231:E234"/>
    <mergeCell ref="F231:F234"/>
    <mergeCell ref="G231:G234"/>
    <mergeCell ref="N227:N230"/>
    <mergeCell ref="O227:O230"/>
    <mergeCell ref="P227:P230"/>
    <mergeCell ref="T231:T234"/>
    <mergeCell ref="U235:U238"/>
    <mergeCell ref="V235:V238"/>
    <mergeCell ref="C237:C238"/>
    <mergeCell ref="V223:V226"/>
    <mergeCell ref="C225:C226"/>
    <mergeCell ref="B227:B230"/>
    <mergeCell ref="C227:C228"/>
    <mergeCell ref="E227:E230"/>
    <mergeCell ref="F227:F230"/>
    <mergeCell ref="G227:G230"/>
    <mergeCell ref="H227:H230"/>
    <mergeCell ref="I227:I230"/>
    <mergeCell ref="J227:J230"/>
    <mergeCell ref="P223:P226"/>
    <mergeCell ref="Q223:Q226"/>
    <mergeCell ref="R223:R226"/>
    <mergeCell ref="S223:S226"/>
    <mergeCell ref="T223:T226"/>
    <mergeCell ref="U223:U226"/>
    <mergeCell ref="J223:J226"/>
    <mergeCell ref="K223:K226"/>
    <mergeCell ref="L223:L226"/>
    <mergeCell ref="M223:M226"/>
    <mergeCell ref="N223:N226"/>
    <mergeCell ref="O223:O226"/>
    <mergeCell ref="C229:C230"/>
    <mergeCell ref="Q227:Q230"/>
    <mergeCell ref="R227:R230"/>
    <mergeCell ref="S227:S230"/>
    <mergeCell ref="T227:T230"/>
    <mergeCell ref="U227:U230"/>
    <mergeCell ref="V227:V230"/>
    <mergeCell ref="O235:O238"/>
    <mergeCell ref="P235:P238"/>
    <mergeCell ref="Q235:Q238"/>
    <mergeCell ref="R235:R238"/>
    <mergeCell ref="S235:S238"/>
    <mergeCell ref="T235:T238"/>
    <mergeCell ref="I235:I238"/>
    <mergeCell ref="J235:J238"/>
    <mergeCell ref="K235:K238"/>
    <mergeCell ref="L235:L238"/>
    <mergeCell ref="M235:M238"/>
    <mergeCell ref="N235:N238"/>
    <mergeCell ref="V231:V234"/>
    <mergeCell ref="C233:C234"/>
    <mergeCell ref="B235:B238"/>
    <mergeCell ref="C235:C236"/>
    <mergeCell ref="E235:E238"/>
    <mergeCell ref="F235:F238"/>
    <mergeCell ref="G235:G238"/>
    <mergeCell ref="H235:H238"/>
    <mergeCell ref="N231:N234"/>
    <mergeCell ref="O231:O234"/>
    <mergeCell ref="P231:P234"/>
    <mergeCell ref="Q231:Q234"/>
    <mergeCell ref="R231:R234"/>
    <mergeCell ref="S231:S234"/>
    <mergeCell ref="H231:H234"/>
    <mergeCell ref="I231:I234"/>
    <mergeCell ref="J231:J234"/>
    <mergeCell ref="K231:K234"/>
    <mergeCell ref="L231:L234"/>
    <mergeCell ref="M231:M234"/>
    <mergeCell ref="B243:B246"/>
    <mergeCell ref="C243:C244"/>
    <mergeCell ref="E243:E246"/>
    <mergeCell ref="F243:F246"/>
    <mergeCell ref="G243:G246"/>
    <mergeCell ref="H243:H246"/>
    <mergeCell ref="I243:I246"/>
    <mergeCell ref="J243:J246"/>
    <mergeCell ref="P239:P242"/>
    <mergeCell ref="Q239:Q242"/>
    <mergeCell ref="R239:R242"/>
    <mergeCell ref="S239:S242"/>
    <mergeCell ref="T239:T242"/>
    <mergeCell ref="U239:U242"/>
    <mergeCell ref="J239:J242"/>
    <mergeCell ref="K239:K242"/>
    <mergeCell ref="L239:L242"/>
    <mergeCell ref="M239:M242"/>
    <mergeCell ref="N239:N242"/>
    <mergeCell ref="O239:O242"/>
    <mergeCell ref="C245:C246"/>
    <mergeCell ref="E239:E242"/>
    <mergeCell ref="F239:F242"/>
    <mergeCell ref="G239:G242"/>
    <mergeCell ref="H239:H242"/>
    <mergeCell ref="I239:I242"/>
    <mergeCell ref="Q243:Q246"/>
    <mergeCell ref="R243:R246"/>
    <mergeCell ref="S243:S246"/>
    <mergeCell ref="T243:T246"/>
    <mergeCell ref="U243:U246"/>
    <mergeCell ref="V243:V246"/>
    <mergeCell ref="K243:K246"/>
    <mergeCell ref="L243:L246"/>
    <mergeCell ref="M243:M246"/>
    <mergeCell ref="N243:N246"/>
    <mergeCell ref="O243:O246"/>
    <mergeCell ref="P243:P246"/>
    <mergeCell ref="T247:T250"/>
    <mergeCell ref="U247:U250"/>
    <mergeCell ref="V247:V250"/>
    <mergeCell ref="C249:C250"/>
    <mergeCell ref="V239:V242"/>
    <mergeCell ref="C241:C242"/>
    <mergeCell ref="L251:L254"/>
    <mergeCell ref="M251:M254"/>
    <mergeCell ref="N251:N254"/>
    <mergeCell ref="V255:V258"/>
    <mergeCell ref="C257:C258"/>
    <mergeCell ref="B251:B254"/>
    <mergeCell ref="C251:C252"/>
    <mergeCell ref="E251:E254"/>
    <mergeCell ref="F251:F254"/>
    <mergeCell ref="G251:G254"/>
    <mergeCell ref="H251:H254"/>
    <mergeCell ref="N247:N250"/>
    <mergeCell ref="O247:O250"/>
    <mergeCell ref="P247:P250"/>
    <mergeCell ref="Q247:Q250"/>
    <mergeCell ref="R247:R250"/>
    <mergeCell ref="S247:S250"/>
    <mergeCell ref="H247:H250"/>
    <mergeCell ref="I247:I250"/>
    <mergeCell ref="J247:J250"/>
    <mergeCell ref="K247:K250"/>
    <mergeCell ref="L247:L250"/>
    <mergeCell ref="M247:M250"/>
    <mergeCell ref="B247:B250"/>
    <mergeCell ref="C247:C248"/>
    <mergeCell ref="E247:E250"/>
    <mergeCell ref="F247:F250"/>
    <mergeCell ref="G247:G250"/>
    <mergeCell ref="P255:P258"/>
    <mergeCell ref="Q255:Q258"/>
    <mergeCell ref="R255:R258"/>
    <mergeCell ref="S255:S258"/>
    <mergeCell ref="T255:T258"/>
    <mergeCell ref="U255:U258"/>
    <mergeCell ref="J255:J258"/>
    <mergeCell ref="K255:K258"/>
    <mergeCell ref="L255:L258"/>
    <mergeCell ref="M255:M258"/>
    <mergeCell ref="N255:N258"/>
    <mergeCell ref="O255:O258"/>
    <mergeCell ref="C261:C262"/>
    <mergeCell ref="U251:U254"/>
    <mergeCell ref="V251:V254"/>
    <mergeCell ref="C253:C254"/>
    <mergeCell ref="B255:B258"/>
    <mergeCell ref="C255:C256"/>
    <mergeCell ref="E255:E258"/>
    <mergeCell ref="F255:F258"/>
    <mergeCell ref="G255:G258"/>
    <mergeCell ref="H255:H258"/>
    <mergeCell ref="I255:I258"/>
    <mergeCell ref="O251:O254"/>
    <mergeCell ref="P251:P254"/>
    <mergeCell ref="Q251:Q254"/>
    <mergeCell ref="R251:R254"/>
    <mergeCell ref="S251:S254"/>
    <mergeCell ref="T251:T254"/>
    <mergeCell ref="I251:I254"/>
    <mergeCell ref="J251:J254"/>
    <mergeCell ref="K251:K254"/>
    <mergeCell ref="Q259:Q262"/>
    <mergeCell ref="R259:R262"/>
    <mergeCell ref="S259:S262"/>
    <mergeCell ref="T259:T262"/>
    <mergeCell ref="U259:U262"/>
    <mergeCell ref="V259:V262"/>
    <mergeCell ref="K259:K262"/>
    <mergeCell ref="L259:L262"/>
    <mergeCell ref="M259:M262"/>
    <mergeCell ref="N259:N262"/>
    <mergeCell ref="O259:O262"/>
    <mergeCell ref="P259:P262"/>
    <mergeCell ref="T263:T266"/>
    <mergeCell ref="U263:U266"/>
    <mergeCell ref="V263:V266"/>
    <mergeCell ref="C265:C266"/>
    <mergeCell ref="B259:B262"/>
    <mergeCell ref="C259:C260"/>
    <mergeCell ref="E259:E262"/>
    <mergeCell ref="F259:F262"/>
    <mergeCell ref="G259:G262"/>
    <mergeCell ref="H259:H262"/>
    <mergeCell ref="I259:I262"/>
    <mergeCell ref="J259:J262"/>
    <mergeCell ref="L267:L270"/>
    <mergeCell ref="M267:M270"/>
    <mergeCell ref="N267:N270"/>
    <mergeCell ref="V271:V274"/>
    <mergeCell ref="C273:C274"/>
    <mergeCell ref="B267:B270"/>
    <mergeCell ref="C267:C268"/>
    <mergeCell ref="E267:E270"/>
    <mergeCell ref="F267:F270"/>
    <mergeCell ref="G267:G270"/>
    <mergeCell ref="H267:H270"/>
    <mergeCell ref="N263:N266"/>
    <mergeCell ref="O263:O266"/>
    <mergeCell ref="P263:P266"/>
    <mergeCell ref="Q263:Q266"/>
    <mergeCell ref="R263:R266"/>
    <mergeCell ref="S263:S266"/>
    <mergeCell ref="H263:H266"/>
    <mergeCell ref="I263:I266"/>
    <mergeCell ref="J263:J266"/>
    <mergeCell ref="K263:K266"/>
    <mergeCell ref="L263:L266"/>
    <mergeCell ref="M263:M266"/>
    <mergeCell ref="B263:B266"/>
    <mergeCell ref="C263:C264"/>
    <mergeCell ref="E263:E266"/>
    <mergeCell ref="F263:F266"/>
    <mergeCell ref="G263:G266"/>
    <mergeCell ref="P271:P274"/>
    <mergeCell ref="Q271:Q274"/>
    <mergeCell ref="R271:R274"/>
    <mergeCell ref="S271:S274"/>
    <mergeCell ref="T271:T274"/>
    <mergeCell ref="U271:U274"/>
    <mergeCell ref="J271:J274"/>
    <mergeCell ref="K271:K274"/>
    <mergeCell ref="L271:L274"/>
    <mergeCell ref="M271:M274"/>
    <mergeCell ref="N271:N274"/>
    <mergeCell ref="O271:O274"/>
    <mergeCell ref="C277:C278"/>
    <mergeCell ref="U267:U270"/>
    <mergeCell ref="V267:V270"/>
    <mergeCell ref="C269:C270"/>
    <mergeCell ref="B271:B274"/>
    <mergeCell ref="C271:C272"/>
    <mergeCell ref="E271:E274"/>
    <mergeCell ref="F271:F274"/>
    <mergeCell ref="G271:G274"/>
    <mergeCell ref="H271:H274"/>
    <mergeCell ref="I271:I274"/>
    <mergeCell ref="O267:O270"/>
    <mergeCell ref="P267:P270"/>
    <mergeCell ref="Q267:Q270"/>
    <mergeCell ref="R267:R270"/>
    <mergeCell ref="S267:S270"/>
    <mergeCell ref="T267:T270"/>
    <mergeCell ref="I267:I270"/>
    <mergeCell ref="J267:J270"/>
    <mergeCell ref="K267:K270"/>
    <mergeCell ref="Q275:Q278"/>
    <mergeCell ref="R275:R278"/>
    <mergeCell ref="S275:S278"/>
    <mergeCell ref="T275:T278"/>
    <mergeCell ref="U275:U278"/>
    <mergeCell ref="V275:V278"/>
    <mergeCell ref="K275:K278"/>
    <mergeCell ref="L275:L278"/>
    <mergeCell ref="M275:M278"/>
    <mergeCell ref="N275:N278"/>
    <mergeCell ref="O275:O278"/>
    <mergeCell ref="P275:P278"/>
    <mergeCell ref="T279:T282"/>
    <mergeCell ref="U279:U282"/>
    <mergeCell ref="V279:V282"/>
    <mergeCell ref="C281:C282"/>
    <mergeCell ref="B275:B278"/>
    <mergeCell ref="C275:C276"/>
    <mergeCell ref="E275:E278"/>
    <mergeCell ref="F275:F278"/>
    <mergeCell ref="G275:G278"/>
    <mergeCell ref="H275:H278"/>
    <mergeCell ref="I275:I278"/>
    <mergeCell ref="J275:J278"/>
    <mergeCell ref="N279:N282"/>
    <mergeCell ref="O279:O282"/>
    <mergeCell ref="P279:P282"/>
    <mergeCell ref="Q279:Q282"/>
    <mergeCell ref="R279:R282"/>
    <mergeCell ref="S279:S282"/>
    <mergeCell ref="H279:H282"/>
    <mergeCell ref="I279:I282"/>
    <mergeCell ref="J279:J282"/>
    <mergeCell ref="K279:K282"/>
    <mergeCell ref="L279:L282"/>
    <mergeCell ref="M279:M282"/>
    <mergeCell ref="B279:B282"/>
    <mergeCell ref="C279:C280"/>
    <mergeCell ref="E279:E282"/>
    <mergeCell ref="F279:F282"/>
    <mergeCell ref="G279:G282"/>
    <mergeCell ref="U283:U286"/>
    <mergeCell ref="V283:V286"/>
    <mergeCell ref="C285:C286"/>
    <mergeCell ref="B287:B290"/>
    <mergeCell ref="C287:C288"/>
    <mergeCell ref="E287:E290"/>
    <mergeCell ref="F287:F290"/>
    <mergeCell ref="G287:G290"/>
    <mergeCell ref="H287:H290"/>
    <mergeCell ref="I287:I290"/>
    <mergeCell ref="O283:O286"/>
    <mergeCell ref="P283:P286"/>
    <mergeCell ref="Q283:Q286"/>
    <mergeCell ref="R283:R286"/>
    <mergeCell ref="S283:S286"/>
    <mergeCell ref="T283:T286"/>
    <mergeCell ref="I283:I286"/>
    <mergeCell ref="J283:J286"/>
    <mergeCell ref="K283:K286"/>
    <mergeCell ref="L283:L286"/>
    <mergeCell ref="M283:M286"/>
    <mergeCell ref="N283:N286"/>
    <mergeCell ref="V287:V290"/>
    <mergeCell ref="C289:C290"/>
    <mergeCell ref="B283:B286"/>
    <mergeCell ref="C283:C284"/>
    <mergeCell ref="E283:E286"/>
    <mergeCell ref="F283:F286"/>
    <mergeCell ref="G283:G286"/>
    <mergeCell ref="H283:H286"/>
    <mergeCell ref="B291:B294"/>
    <mergeCell ref="C291:C292"/>
    <mergeCell ref="E291:E294"/>
    <mergeCell ref="F291:F294"/>
    <mergeCell ref="G291:G294"/>
    <mergeCell ref="H291:H294"/>
    <mergeCell ref="I291:I294"/>
    <mergeCell ref="J291:J294"/>
    <mergeCell ref="P287:P290"/>
    <mergeCell ref="Q287:Q290"/>
    <mergeCell ref="R287:R290"/>
    <mergeCell ref="S287:S290"/>
    <mergeCell ref="T287:T290"/>
    <mergeCell ref="U287:U290"/>
    <mergeCell ref="J287:J290"/>
    <mergeCell ref="K287:K290"/>
    <mergeCell ref="L287:L290"/>
    <mergeCell ref="M287:M290"/>
    <mergeCell ref="N287:N290"/>
    <mergeCell ref="O287:O290"/>
    <mergeCell ref="C293:C294"/>
    <mergeCell ref="A295:A366"/>
    <mergeCell ref="B295:B298"/>
    <mergeCell ref="C295:C296"/>
    <mergeCell ref="E295:E298"/>
    <mergeCell ref="F295:F298"/>
    <mergeCell ref="C313:C314"/>
    <mergeCell ref="B315:B318"/>
    <mergeCell ref="C315:C316"/>
    <mergeCell ref="E315:E318"/>
    <mergeCell ref="Q291:Q294"/>
    <mergeCell ref="R291:R294"/>
    <mergeCell ref="S291:S294"/>
    <mergeCell ref="T291:T294"/>
    <mergeCell ref="U291:U294"/>
    <mergeCell ref="V291:V294"/>
    <mergeCell ref="K291:K294"/>
    <mergeCell ref="L291:L294"/>
    <mergeCell ref="M291:M294"/>
    <mergeCell ref="N291:N294"/>
    <mergeCell ref="O291:O294"/>
    <mergeCell ref="P291:P294"/>
    <mergeCell ref="S295:S298"/>
    <mergeCell ref="T295:T298"/>
    <mergeCell ref="U295:U298"/>
    <mergeCell ref="V295:V298"/>
    <mergeCell ref="C297:C298"/>
    <mergeCell ref="B299:B302"/>
    <mergeCell ref="C299:C300"/>
    <mergeCell ref="E299:E302"/>
    <mergeCell ref="F299:F302"/>
    <mergeCell ref="G299:G302"/>
    <mergeCell ref="M295:M298"/>
    <mergeCell ref="N295:N298"/>
    <mergeCell ref="O295:O298"/>
    <mergeCell ref="P295:P298"/>
    <mergeCell ref="Q295:Q298"/>
    <mergeCell ref="R295:R298"/>
    <mergeCell ref="G295:G298"/>
    <mergeCell ref="H295:H298"/>
    <mergeCell ref="I295:I298"/>
    <mergeCell ref="J295:J298"/>
    <mergeCell ref="K295:K298"/>
    <mergeCell ref="L295:L298"/>
    <mergeCell ref="T299:T302"/>
    <mergeCell ref="U299:U302"/>
    <mergeCell ref="V299:V302"/>
    <mergeCell ref="C301:C302"/>
    <mergeCell ref="B303:B306"/>
    <mergeCell ref="C303:C304"/>
    <mergeCell ref="E303:E306"/>
    <mergeCell ref="F303:F306"/>
    <mergeCell ref="G303:G306"/>
    <mergeCell ref="H303:H306"/>
    <mergeCell ref="N299:N302"/>
    <mergeCell ref="O299:O302"/>
    <mergeCell ref="P299:P302"/>
    <mergeCell ref="Q299:Q302"/>
    <mergeCell ref="R299:R302"/>
    <mergeCell ref="S299:S302"/>
    <mergeCell ref="H299:H302"/>
    <mergeCell ref="I299:I302"/>
    <mergeCell ref="J299:J302"/>
    <mergeCell ref="K299:K302"/>
    <mergeCell ref="L299:L302"/>
    <mergeCell ref="M299:M302"/>
    <mergeCell ref="N307:N310"/>
    <mergeCell ref="O307:O310"/>
    <mergeCell ref="U303:U306"/>
    <mergeCell ref="V303:V306"/>
    <mergeCell ref="C305:C306"/>
    <mergeCell ref="B307:B310"/>
    <mergeCell ref="C307:C308"/>
    <mergeCell ref="E307:E310"/>
    <mergeCell ref="F307:F310"/>
    <mergeCell ref="G307:G310"/>
    <mergeCell ref="H307:H310"/>
    <mergeCell ref="I307:I310"/>
    <mergeCell ref="O303:O306"/>
    <mergeCell ref="P303:P306"/>
    <mergeCell ref="Q303:Q306"/>
    <mergeCell ref="R303:R306"/>
    <mergeCell ref="S303:S306"/>
    <mergeCell ref="T303:T306"/>
    <mergeCell ref="I303:I306"/>
    <mergeCell ref="J303:J306"/>
    <mergeCell ref="K303:K306"/>
    <mergeCell ref="L303:L306"/>
    <mergeCell ref="M303:M306"/>
    <mergeCell ref="N303:N306"/>
    <mergeCell ref="Q311:Q314"/>
    <mergeCell ref="R311:R314"/>
    <mergeCell ref="S311:S314"/>
    <mergeCell ref="T311:T314"/>
    <mergeCell ref="U311:U314"/>
    <mergeCell ref="V311:V314"/>
    <mergeCell ref="K311:K314"/>
    <mergeCell ref="L311:L314"/>
    <mergeCell ref="M311:M314"/>
    <mergeCell ref="N311:N314"/>
    <mergeCell ref="O311:O314"/>
    <mergeCell ref="P311:P314"/>
    <mergeCell ref="V307:V310"/>
    <mergeCell ref="C309:C310"/>
    <mergeCell ref="B311:B314"/>
    <mergeCell ref="C311:C312"/>
    <mergeCell ref="E311:E314"/>
    <mergeCell ref="F311:F314"/>
    <mergeCell ref="G311:G314"/>
    <mergeCell ref="H311:H314"/>
    <mergeCell ref="I311:I314"/>
    <mergeCell ref="J311:J314"/>
    <mergeCell ref="P307:P310"/>
    <mergeCell ref="Q307:Q310"/>
    <mergeCell ref="R307:R310"/>
    <mergeCell ref="S307:S310"/>
    <mergeCell ref="T307:T310"/>
    <mergeCell ref="U307:U310"/>
    <mergeCell ref="J307:J310"/>
    <mergeCell ref="K307:K310"/>
    <mergeCell ref="L307:L310"/>
    <mergeCell ref="M307:M310"/>
    <mergeCell ref="L319:L322"/>
    <mergeCell ref="M319:M322"/>
    <mergeCell ref="N319:N322"/>
    <mergeCell ref="B319:B322"/>
    <mergeCell ref="C319:C320"/>
    <mergeCell ref="E319:E322"/>
    <mergeCell ref="F319:F322"/>
    <mergeCell ref="G319:G322"/>
    <mergeCell ref="H319:H322"/>
    <mergeCell ref="V323:V326"/>
    <mergeCell ref="C325:C326"/>
    <mergeCell ref="R315:R318"/>
    <mergeCell ref="S315:S318"/>
    <mergeCell ref="T315:T318"/>
    <mergeCell ref="U315:U318"/>
    <mergeCell ref="V315:V318"/>
    <mergeCell ref="C317:C318"/>
    <mergeCell ref="L315:L318"/>
    <mergeCell ref="M315:M318"/>
    <mergeCell ref="N315:N318"/>
    <mergeCell ref="O315:O318"/>
    <mergeCell ref="P315:P318"/>
    <mergeCell ref="Q315:Q318"/>
    <mergeCell ref="F315:F318"/>
    <mergeCell ref="G315:G318"/>
    <mergeCell ref="H315:H318"/>
    <mergeCell ref="I315:I318"/>
    <mergeCell ref="J315:J318"/>
    <mergeCell ref="K315:K318"/>
    <mergeCell ref="P323:P326"/>
    <mergeCell ref="Q323:Q326"/>
    <mergeCell ref="R323:R326"/>
    <mergeCell ref="S323:S326"/>
    <mergeCell ref="T323:T326"/>
    <mergeCell ref="U323:U326"/>
    <mergeCell ref="J323:J326"/>
    <mergeCell ref="K323:K326"/>
    <mergeCell ref="L323:L326"/>
    <mergeCell ref="M323:M326"/>
    <mergeCell ref="N323:N326"/>
    <mergeCell ref="O323:O326"/>
    <mergeCell ref="C329:C330"/>
    <mergeCell ref="U319:U322"/>
    <mergeCell ref="V319:V322"/>
    <mergeCell ref="C321:C322"/>
    <mergeCell ref="B323:B326"/>
    <mergeCell ref="C323:C324"/>
    <mergeCell ref="E323:E326"/>
    <mergeCell ref="F323:F326"/>
    <mergeCell ref="G323:G326"/>
    <mergeCell ref="H323:H326"/>
    <mergeCell ref="I323:I326"/>
    <mergeCell ref="O319:O322"/>
    <mergeCell ref="P319:P322"/>
    <mergeCell ref="Q319:Q322"/>
    <mergeCell ref="R319:R322"/>
    <mergeCell ref="S319:S322"/>
    <mergeCell ref="T319:T322"/>
    <mergeCell ref="I319:I322"/>
    <mergeCell ref="J319:J322"/>
    <mergeCell ref="K319:K322"/>
    <mergeCell ref="Q327:Q330"/>
    <mergeCell ref="R327:R330"/>
    <mergeCell ref="S327:S330"/>
    <mergeCell ref="T327:T330"/>
    <mergeCell ref="U327:U330"/>
    <mergeCell ref="V327:V330"/>
    <mergeCell ref="K327:K330"/>
    <mergeCell ref="L327:L330"/>
    <mergeCell ref="M327:M330"/>
    <mergeCell ref="N327:N330"/>
    <mergeCell ref="O327:O330"/>
    <mergeCell ref="P327:P330"/>
    <mergeCell ref="T331:T334"/>
    <mergeCell ref="U331:U334"/>
    <mergeCell ref="V331:V334"/>
    <mergeCell ref="C333:C334"/>
    <mergeCell ref="B327:B330"/>
    <mergeCell ref="C327:C328"/>
    <mergeCell ref="E327:E330"/>
    <mergeCell ref="F327:F330"/>
    <mergeCell ref="G327:G330"/>
    <mergeCell ref="H327:H330"/>
    <mergeCell ref="I327:I330"/>
    <mergeCell ref="J327:J330"/>
    <mergeCell ref="L335:L338"/>
    <mergeCell ref="M335:M338"/>
    <mergeCell ref="N335:N338"/>
    <mergeCell ref="V339:V342"/>
    <mergeCell ref="C341:C342"/>
    <mergeCell ref="B335:B338"/>
    <mergeCell ref="C335:C336"/>
    <mergeCell ref="E335:E338"/>
    <mergeCell ref="F335:F338"/>
    <mergeCell ref="G335:G338"/>
    <mergeCell ref="H335:H338"/>
    <mergeCell ref="N331:N334"/>
    <mergeCell ref="O331:O334"/>
    <mergeCell ref="P331:P334"/>
    <mergeCell ref="Q331:Q334"/>
    <mergeCell ref="R331:R334"/>
    <mergeCell ref="S331:S334"/>
    <mergeCell ref="H331:H334"/>
    <mergeCell ref="I331:I334"/>
    <mergeCell ref="J331:J334"/>
    <mergeCell ref="K331:K334"/>
    <mergeCell ref="L331:L334"/>
    <mergeCell ref="M331:M334"/>
    <mergeCell ref="B331:B334"/>
    <mergeCell ref="C331:C332"/>
    <mergeCell ref="E331:E334"/>
    <mergeCell ref="F331:F334"/>
    <mergeCell ref="G331:G334"/>
    <mergeCell ref="P339:P342"/>
    <mergeCell ref="Q339:Q342"/>
    <mergeCell ref="R339:R342"/>
    <mergeCell ref="S339:S342"/>
    <mergeCell ref="T339:T342"/>
    <mergeCell ref="U339:U342"/>
    <mergeCell ref="J339:J342"/>
    <mergeCell ref="K339:K342"/>
    <mergeCell ref="L339:L342"/>
    <mergeCell ref="M339:M342"/>
    <mergeCell ref="N339:N342"/>
    <mergeCell ref="O339:O342"/>
    <mergeCell ref="C345:C346"/>
    <mergeCell ref="U335:U338"/>
    <mergeCell ref="V335:V338"/>
    <mergeCell ref="C337:C338"/>
    <mergeCell ref="B339:B342"/>
    <mergeCell ref="C339:C340"/>
    <mergeCell ref="E339:E342"/>
    <mergeCell ref="F339:F342"/>
    <mergeCell ref="G339:G342"/>
    <mergeCell ref="H339:H342"/>
    <mergeCell ref="I339:I342"/>
    <mergeCell ref="O335:O338"/>
    <mergeCell ref="P335:P338"/>
    <mergeCell ref="Q335:Q338"/>
    <mergeCell ref="R335:R338"/>
    <mergeCell ref="S335:S338"/>
    <mergeCell ref="T335:T338"/>
    <mergeCell ref="I335:I338"/>
    <mergeCell ref="J335:J338"/>
    <mergeCell ref="K335:K338"/>
    <mergeCell ref="Q343:Q346"/>
    <mergeCell ref="R343:R346"/>
    <mergeCell ref="S343:S346"/>
    <mergeCell ref="T343:T346"/>
    <mergeCell ref="U343:U346"/>
    <mergeCell ref="V343:V346"/>
    <mergeCell ref="K343:K346"/>
    <mergeCell ref="L343:L346"/>
    <mergeCell ref="M343:M346"/>
    <mergeCell ref="N343:N346"/>
    <mergeCell ref="O343:O346"/>
    <mergeCell ref="P343:P346"/>
    <mergeCell ref="T347:T350"/>
    <mergeCell ref="U347:U350"/>
    <mergeCell ref="V347:V350"/>
    <mergeCell ref="C349:C350"/>
    <mergeCell ref="B343:B346"/>
    <mergeCell ref="C343:C344"/>
    <mergeCell ref="E343:E346"/>
    <mergeCell ref="F343:F346"/>
    <mergeCell ref="G343:G346"/>
    <mergeCell ref="H343:H346"/>
    <mergeCell ref="I343:I346"/>
    <mergeCell ref="J343:J346"/>
    <mergeCell ref="L351:L354"/>
    <mergeCell ref="M351:M354"/>
    <mergeCell ref="N351:N354"/>
    <mergeCell ref="V355:V358"/>
    <mergeCell ref="C357:C358"/>
    <mergeCell ref="B351:B354"/>
    <mergeCell ref="C351:C352"/>
    <mergeCell ref="E351:E354"/>
    <mergeCell ref="F351:F354"/>
    <mergeCell ref="G351:G354"/>
    <mergeCell ref="H351:H354"/>
    <mergeCell ref="N347:N350"/>
    <mergeCell ref="O347:O350"/>
    <mergeCell ref="P347:P350"/>
    <mergeCell ref="Q347:Q350"/>
    <mergeCell ref="R347:R350"/>
    <mergeCell ref="S347:S350"/>
    <mergeCell ref="H347:H350"/>
    <mergeCell ref="I347:I350"/>
    <mergeCell ref="J347:J350"/>
    <mergeCell ref="K347:K350"/>
    <mergeCell ref="L347:L350"/>
    <mergeCell ref="M347:M350"/>
    <mergeCell ref="B347:B350"/>
    <mergeCell ref="C347:C348"/>
    <mergeCell ref="E347:E350"/>
    <mergeCell ref="F347:F350"/>
    <mergeCell ref="G347:G350"/>
    <mergeCell ref="P355:P358"/>
    <mergeCell ref="Q355:Q358"/>
    <mergeCell ref="R355:R358"/>
    <mergeCell ref="S355:S358"/>
    <mergeCell ref="T355:T358"/>
    <mergeCell ref="U355:U358"/>
    <mergeCell ref="J355:J358"/>
    <mergeCell ref="K355:K358"/>
    <mergeCell ref="L355:L358"/>
    <mergeCell ref="M355:M358"/>
    <mergeCell ref="N355:N358"/>
    <mergeCell ref="O355:O358"/>
    <mergeCell ref="C361:C362"/>
    <mergeCell ref="U351:U354"/>
    <mergeCell ref="V351:V354"/>
    <mergeCell ref="C353:C354"/>
    <mergeCell ref="B355:B358"/>
    <mergeCell ref="C355:C356"/>
    <mergeCell ref="E355:E358"/>
    <mergeCell ref="F355:F358"/>
    <mergeCell ref="G355:G358"/>
    <mergeCell ref="H355:H358"/>
    <mergeCell ref="I355:I358"/>
    <mergeCell ref="O351:O354"/>
    <mergeCell ref="P351:P354"/>
    <mergeCell ref="Q351:Q354"/>
    <mergeCell ref="R351:R354"/>
    <mergeCell ref="S351:S354"/>
    <mergeCell ref="T351:T354"/>
    <mergeCell ref="I351:I354"/>
    <mergeCell ref="J351:J354"/>
    <mergeCell ref="K351:K354"/>
    <mergeCell ref="B363:B366"/>
    <mergeCell ref="C363:C364"/>
    <mergeCell ref="E363:E366"/>
    <mergeCell ref="F363:F366"/>
    <mergeCell ref="G363:G366"/>
    <mergeCell ref="Q359:Q362"/>
    <mergeCell ref="R359:R362"/>
    <mergeCell ref="S359:S362"/>
    <mergeCell ref="T359:T362"/>
    <mergeCell ref="U359:U362"/>
    <mergeCell ref="V359:V362"/>
    <mergeCell ref="K359:K362"/>
    <mergeCell ref="L359:L362"/>
    <mergeCell ref="M359:M362"/>
    <mergeCell ref="N359:N362"/>
    <mergeCell ref="O359:O362"/>
    <mergeCell ref="P359:P362"/>
    <mergeCell ref="T363:T366"/>
    <mergeCell ref="U363:U366"/>
    <mergeCell ref="V363:V366"/>
    <mergeCell ref="C365:C366"/>
    <mergeCell ref="B359:B362"/>
    <mergeCell ref="C359:C360"/>
    <mergeCell ref="E359:E362"/>
    <mergeCell ref="F359:F362"/>
    <mergeCell ref="G359:G362"/>
    <mergeCell ref="H359:H362"/>
    <mergeCell ref="I359:I362"/>
    <mergeCell ref="J359:J362"/>
    <mergeCell ref="A367:A438"/>
    <mergeCell ref="B367:B370"/>
    <mergeCell ref="C367:C368"/>
    <mergeCell ref="E367:E370"/>
    <mergeCell ref="F367:F370"/>
    <mergeCell ref="G367:G370"/>
    <mergeCell ref="N363:N366"/>
    <mergeCell ref="O363:O366"/>
    <mergeCell ref="P363:P366"/>
    <mergeCell ref="Q363:Q366"/>
    <mergeCell ref="R363:R366"/>
    <mergeCell ref="S363:S366"/>
    <mergeCell ref="H363:H366"/>
    <mergeCell ref="I363:I366"/>
    <mergeCell ref="J363:J366"/>
    <mergeCell ref="K363:K366"/>
    <mergeCell ref="L363:L366"/>
    <mergeCell ref="M363:M366"/>
    <mergeCell ref="B375:B378"/>
    <mergeCell ref="C375:C376"/>
    <mergeCell ref="E375:E378"/>
    <mergeCell ref="F375:F378"/>
    <mergeCell ref="G375:G378"/>
    <mergeCell ref="H375:H378"/>
    <mergeCell ref="I375:I378"/>
    <mergeCell ref="J371:J374"/>
    <mergeCell ref="K371:K374"/>
    <mergeCell ref="L371:L374"/>
    <mergeCell ref="M371:M374"/>
    <mergeCell ref="N371:N374"/>
    <mergeCell ref="B383:B386"/>
    <mergeCell ref="C383:C384"/>
    <mergeCell ref="T367:T370"/>
    <mergeCell ref="U367:U370"/>
    <mergeCell ref="V367:V370"/>
    <mergeCell ref="C369:C370"/>
    <mergeCell ref="B371:B374"/>
    <mergeCell ref="C371:C372"/>
    <mergeCell ref="E371:E374"/>
    <mergeCell ref="F371:F374"/>
    <mergeCell ref="G371:G374"/>
    <mergeCell ref="H371:H374"/>
    <mergeCell ref="N367:N370"/>
    <mergeCell ref="O367:O370"/>
    <mergeCell ref="P367:P370"/>
    <mergeCell ref="Q367:Q370"/>
    <mergeCell ref="R367:R370"/>
    <mergeCell ref="S367:S370"/>
    <mergeCell ref="H367:H370"/>
    <mergeCell ref="I367:I370"/>
    <mergeCell ref="J367:J370"/>
    <mergeCell ref="K367:K370"/>
    <mergeCell ref="L367:L370"/>
    <mergeCell ref="M367:M370"/>
    <mergeCell ref="U371:U374"/>
    <mergeCell ref="V371:V374"/>
    <mergeCell ref="C373:C374"/>
    <mergeCell ref="O371:O374"/>
    <mergeCell ref="P371:P374"/>
    <mergeCell ref="Q371:Q374"/>
    <mergeCell ref="R371:R374"/>
    <mergeCell ref="S371:S374"/>
    <mergeCell ref="T371:T374"/>
    <mergeCell ref="I371:I374"/>
    <mergeCell ref="B379:B382"/>
    <mergeCell ref="C379:C380"/>
    <mergeCell ref="E379:E382"/>
    <mergeCell ref="F379:F382"/>
    <mergeCell ref="G379:G382"/>
    <mergeCell ref="H379:H382"/>
    <mergeCell ref="I379:I382"/>
    <mergeCell ref="J379:J382"/>
    <mergeCell ref="P375:P378"/>
    <mergeCell ref="Q375:Q378"/>
    <mergeCell ref="R375:R378"/>
    <mergeCell ref="S375:S378"/>
    <mergeCell ref="T375:T378"/>
    <mergeCell ref="U375:U378"/>
    <mergeCell ref="J375:J378"/>
    <mergeCell ref="K375:K378"/>
    <mergeCell ref="L375:L378"/>
    <mergeCell ref="M375:M378"/>
    <mergeCell ref="N375:N378"/>
    <mergeCell ref="O375:O378"/>
    <mergeCell ref="C381:C382"/>
    <mergeCell ref="Q379:Q382"/>
    <mergeCell ref="R379:R382"/>
    <mergeCell ref="S379:S382"/>
    <mergeCell ref="T379:T382"/>
    <mergeCell ref="U379:U382"/>
    <mergeCell ref="V379:V382"/>
    <mergeCell ref="K379:K382"/>
    <mergeCell ref="L379:L382"/>
    <mergeCell ref="M379:M382"/>
    <mergeCell ref="N379:N382"/>
    <mergeCell ref="O379:O382"/>
    <mergeCell ref="P379:P382"/>
    <mergeCell ref="T383:T386"/>
    <mergeCell ref="U383:U386"/>
    <mergeCell ref="V383:V386"/>
    <mergeCell ref="V375:V378"/>
    <mergeCell ref="C377:C378"/>
    <mergeCell ref="L387:L390"/>
    <mergeCell ref="M387:M390"/>
    <mergeCell ref="N387:N390"/>
    <mergeCell ref="V391:V394"/>
    <mergeCell ref="C393:C394"/>
    <mergeCell ref="C385:C386"/>
    <mergeCell ref="B387:B390"/>
    <mergeCell ref="C387:C388"/>
    <mergeCell ref="E387:E390"/>
    <mergeCell ref="F387:F390"/>
    <mergeCell ref="G387:G390"/>
    <mergeCell ref="H387:H390"/>
    <mergeCell ref="N383:N386"/>
    <mergeCell ref="O383:O386"/>
    <mergeCell ref="P383:P386"/>
    <mergeCell ref="Q383:Q386"/>
    <mergeCell ref="R383:R386"/>
    <mergeCell ref="S383:S386"/>
    <mergeCell ref="H383:H386"/>
    <mergeCell ref="I383:I386"/>
    <mergeCell ref="J383:J386"/>
    <mergeCell ref="K383:K386"/>
    <mergeCell ref="L383:L386"/>
    <mergeCell ref="M383:M386"/>
    <mergeCell ref="E383:E386"/>
    <mergeCell ref="F383:F386"/>
    <mergeCell ref="G383:G386"/>
    <mergeCell ref="P391:P394"/>
    <mergeCell ref="Q391:Q394"/>
    <mergeCell ref="R391:R394"/>
    <mergeCell ref="S391:S394"/>
    <mergeCell ref="T391:T394"/>
    <mergeCell ref="U391:U394"/>
    <mergeCell ref="J391:J394"/>
    <mergeCell ref="K391:K394"/>
    <mergeCell ref="L391:L394"/>
    <mergeCell ref="M391:M394"/>
    <mergeCell ref="N391:N394"/>
    <mergeCell ref="O391:O394"/>
    <mergeCell ref="C397:C398"/>
    <mergeCell ref="U387:U390"/>
    <mergeCell ref="V387:V390"/>
    <mergeCell ref="C389:C390"/>
    <mergeCell ref="B391:B394"/>
    <mergeCell ref="C391:C392"/>
    <mergeCell ref="E391:E394"/>
    <mergeCell ref="F391:F394"/>
    <mergeCell ref="G391:G394"/>
    <mergeCell ref="H391:H394"/>
    <mergeCell ref="I391:I394"/>
    <mergeCell ref="O387:O390"/>
    <mergeCell ref="P387:P390"/>
    <mergeCell ref="Q387:Q390"/>
    <mergeCell ref="R387:R390"/>
    <mergeCell ref="S387:S390"/>
    <mergeCell ref="T387:T390"/>
    <mergeCell ref="I387:I390"/>
    <mergeCell ref="J387:J390"/>
    <mergeCell ref="K387:K390"/>
    <mergeCell ref="Q395:Q398"/>
    <mergeCell ref="R395:R398"/>
    <mergeCell ref="S395:S398"/>
    <mergeCell ref="T395:T398"/>
    <mergeCell ref="U395:U398"/>
    <mergeCell ref="V395:V398"/>
    <mergeCell ref="K395:K398"/>
    <mergeCell ref="L395:L398"/>
    <mergeCell ref="M395:M398"/>
    <mergeCell ref="N395:N398"/>
    <mergeCell ref="O395:O398"/>
    <mergeCell ref="P395:P398"/>
    <mergeCell ref="T399:T402"/>
    <mergeCell ref="U399:U402"/>
    <mergeCell ref="V399:V402"/>
    <mergeCell ref="C401:C402"/>
    <mergeCell ref="B395:B398"/>
    <mergeCell ref="C395:C396"/>
    <mergeCell ref="E395:E398"/>
    <mergeCell ref="F395:F398"/>
    <mergeCell ref="G395:G398"/>
    <mergeCell ref="H395:H398"/>
    <mergeCell ref="I395:I398"/>
    <mergeCell ref="J395:J398"/>
    <mergeCell ref="L403:L406"/>
    <mergeCell ref="M403:M406"/>
    <mergeCell ref="N403:N406"/>
    <mergeCell ref="V407:V410"/>
    <mergeCell ref="C409:C410"/>
    <mergeCell ref="B403:B406"/>
    <mergeCell ref="C403:C404"/>
    <mergeCell ref="E403:E406"/>
    <mergeCell ref="F403:F406"/>
    <mergeCell ref="G403:G406"/>
    <mergeCell ref="H403:H406"/>
    <mergeCell ref="N399:N402"/>
    <mergeCell ref="O399:O402"/>
    <mergeCell ref="P399:P402"/>
    <mergeCell ref="Q399:Q402"/>
    <mergeCell ref="R399:R402"/>
    <mergeCell ref="S399:S402"/>
    <mergeCell ref="H399:H402"/>
    <mergeCell ref="I399:I402"/>
    <mergeCell ref="J399:J402"/>
    <mergeCell ref="K399:K402"/>
    <mergeCell ref="L399:L402"/>
    <mergeCell ref="M399:M402"/>
    <mergeCell ref="B399:B402"/>
    <mergeCell ref="C399:C400"/>
    <mergeCell ref="E399:E402"/>
    <mergeCell ref="F399:F402"/>
    <mergeCell ref="G399:G402"/>
    <mergeCell ref="P407:P410"/>
    <mergeCell ref="Q407:Q410"/>
    <mergeCell ref="R407:R410"/>
    <mergeCell ref="S407:S410"/>
    <mergeCell ref="T407:T410"/>
    <mergeCell ref="U407:U410"/>
    <mergeCell ref="J407:J410"/>
    <mergeCell ref="K407:K410"/>
    <mergeCell ref="L407:L410"/>
    <mergeCell ref="M407:M410"/>
    <mergeCell ref="N407:N410"/>
    <mergeCell ref="O407:O410"/>
    <mergeCell ref="C413:C414"/>
    <mergeCell ref="U403:U406"/>
    <mergeCell ref="V403:V406"/>
    <mergeCell ref="C405:C406"/>
    <mergeCell ref="B407:B410"/>
    <mergeCell ref="C407:C408"/>
    <mergeCell ref="E407:E410"/>
    <mergeCell ref="F407:F410"/>
    <mergeCell ref="G407:G410"/>
    <mergeCell ref="H407:H410"/>
    <mergeCell ref="I407:I410"/>
    <mergeCell ref="O403:O406"/>
    <mergeCell ref="P403:P406"/>
    <mergeCell ref="Q403:Q406"/>
    <mergeCell ref="R403:R406"/>
    <mergeCell ref="S403:S406"/>
    <mergeCell ref="T403:T406"/>
    <mergeCell ref="I403:I406"/>
    <mergeCell ref="J403:J406"/>
    <mergeCell ref="K403:K406"/>
    <mergeCell ref="Q411:Q414"/>
    <mergeCell ref="R411:R414"/>
    <mergeCell ref="S411:S414"/>
    <mergeCell ref="T411:T414"/>
    <mergeCell ref="U411:U414"/>
    <mergeCell ref="V411:V414"/>
    <mergeCell ref="K411:K414"/>
    <mergeCell ref="L411:L414"/>
    <mergeCell ref="M411:M414"/>
    <mergeCell ref="N411:N414"/>
    <mergeCell ref="O411:O414"/>
    <mergeCell ref="P411:P414"/>
    <mergeCell ref="T415:T418"/>
    <mergeCell ref="U415:U418"/>
    <mergeCell ref="V415:V418"/>
    <mergeCell ref="C417:C418"/>
    <mergeCell ref="B411:B414"/>
    <mergeCell ref="C411:C412"/>
    <mergeCell ref="E411:E414"/>
    <mergeCell ref="F411:F414"/>
    <mergeCell ref="G411:G414"/>
    <mergeCell ref="H411:H414"/>
    <mergeCell ref="I411:I414"/>
    <mergeCell ref="J411:J414"/>
    <mergeCell ref="L419:L422"/>
    <mergeCell ref="M419:M422"/>
    <mergeCell ref="N419:N422"/>
    <mergeCell ref="V423:V426"/>
    <mergeCell ref="C425:C426"/>
    <mergeCell ref="B419:B422"/>
    <mergeCell ref="C419:C420"/>
    <mergeCell ref="E419:E422"/>
    <mergeCell ref="F419:F422"/>
    <mergeCell ref="G419:G422"/>
    <mergeCell ref="H419:H422"/>
    <mergeCell ref="N415:N418"/>
    <mergeCell ref="O415:O418"/>
    <mergeCell ref="P415:P418"/>
    <mergeCell ref="Q415:Q418"/>
    <mergeCell ref="R415:R418"/>
    <mergeCell ref="S415:S418"/>
    <mergeCell ref="H415:H418"/>
    <mergeCell ref="I415:I418"/>
    <mergeCell ref="J415:J418"/>
    <mergeCell ref="K415:K418"/>
    <mergeCell ref="L415:L418"/>
    <mergeCell ref="M415:M418"/>
    <mergeCell ref="B415:B418"/>
    <mergeCell ref="C415:C416"/>
    <mergeCell ref="E415:E418"/>
    <mergeCell ref="F415:F418"/>
    <mergeCell ref="G415:G418"/>
    <mergeCell ref="P423:P426"/>
    <mergeCell ref="Q423:Q426"/>
    <mergeCell ref="R423:R426"/>
    <mergeCell ref="S423:S426"/>
    <mergeCell ref="T423:T426"/>
    <mergeCell ref="U423:U426"/>
    <mergeCell ref="J423:J426"/>
    <mergeCell ref="K423:K426"/>
    <mergeCell ref="L423:L426"/>
    <mergeCell ref="M423:M426"/>
    <mergeCell ref="N423:N426"/>
    <mergeCell ref="O423:O426"/>
    <mergeCell ref="C429:C430"/>
    <mergeCell ref="U419:U422"/>
    <mergeCell ref="V419:V422"/>
    <mergeCell ref="C421:C422"/>
    <mergeCell ref="B423:B426"/>
    <mergeCell ref="C423:C424"/>
    <mergeCell ref="E423:E426"/>
    <mergeCell ref="F423:F426"/>
    <mergeCell ref="G423:G426"/>
    <mergeCell ref="H423:H426"/>
    <mergeCell ref="I423:I426"/>
    <mergeCell ref="O419:O422"/>
    <mergeCell ref="P419:P422"/>
    <mergeCell ref="Q419:Q422"/>
    <mergeCell ref="R419:R422"/>
    <mergeCell ref="S419:S422"/>
    <mergeCell ref="T419:T422"/>
    <mergeCell ref="I419:I422"/>
    <mergeCell ref="J419:J422"/>
    <mergeCell ref="K419:K422"/>
    <mergeCell ref="Q427:Q430"/>
    <mergeCell ref="R427:R430"/>
    <mergeCell ref="S427:S430"/>
    <mergeCell ref="T427:T430"/>
    <mergeCell ref="U427:U430"/>
    <mergeCell ref="V427:V430"/>
    <mergeCell ref="K427:K430"/>
    <mergeCell ref="L427:L430"/>
    <mergeCell ref="M427:M430"/>
    <mergeCell ref="N427:N430"/>
    <mergeCell ref="O427:O430"/>
    <mergeCell ref="P427:P430"/>
    <mergeCell ref="T431:T434"/>
    <mergeCell ref="U431:U434"/>
    <mergeCell ref="V431:V434"/>
    <mergeCell ref="C433:C434"/>
    <mergeCell ref="B427:B430"/>
    <mergeCell ref="C427:C428"/>
    <mergeCell ref="E427:E430"/>
    <mergeCell ref="F427:F430"/>
    <mergeCell ref="G427:G430"/>
    <mergeCell ref="H427:H430"/>
    <mergeCell ref="I427:I430"/>
    <mergeCell ref="J427:J430"/>
    <mergeCell ref="B435:B438"/>
    <mergeCell ref="C435:C436"/>
    <mergeCell ref="E435:E438"/>
    <mergeCell ref="F435:F438"/>
    <mergeCell ref="G435:G438"/>
    <mergeCell ref="H435:H438"/>
    <mergeCell ref="N431:N434"/>
    <mergeCell ref="O431:O434"/>
    <mergeCell ref="P431:P434"/>
    <mergeCell ref="Q431:Q434"/>
    <mergeCell ref="R431:R434"/>
    <mergeCell ref="S431:S434"/>
    <mergeCell ref="H431:H434"/>
    <mergeCell ref="I431:I434"/>
    <mergeCell ref="J431:J434"/>
    <mergeCell ref="K431:K434"/>
    <mergeCell ref="L431:L434"/>
    <mergeCell ref="M431:M434"/>
    <mergeCell ref="B431:B434"/>
    <mergeCell ref="C431:C432"/>
    <mergeCell ref="E431:E434"/>
    <mergeCell ref="F431:F434"/>
    <mergeCell ref="G431:G434"/>
    <mergeCell ref="U435:U438"/>
    <mergeCell ref="V435:V438"/>
    <mergeCell ref="C437:C438"/>
    <mergeCell ref="A439:A510"/>
    <mergeCell ref="B439:B442"/>
    <mergeCell ref="C439:C440"/>
    <mergeCell ref="E439:E442"/>
    <mergeCell ref="F439:F442"/>
    <mergeCell ref="G439:G442"/>
    <mergeCell ref="H439:H442"/>
    <mergeCell ref="O435:O438"/>
    <mergeCell ref="P435:P438"/>
    <mergeCell ref="Q435:Q438"/>
    <mergeCell ref="R435:R438"/>
    <mergeCell ref="S435:S438"/>
    <mergeCell ref="T435:T438"/>
    <mergeCell ref="I435:I438"/>
    <mergeCell ref="J435:J438"/>
    <mergeCell ref="K435:K438"/>
    <mergeCell ref="L435:L438"/>
    <mergeCell ref="M435:M438"/>
    <mergeCell ref="N435:N438"/>
    <mergeCell ref="U439:U442"/>
    <mergeCell ref="V439:V442"/>
    <mergeCell ref="C441:C442"/>
    <mergeCell ref="B443:B446"/>
    <mergeCell ref="C443:C444"/>
    <mergeCell ref="E443:E446"/>
    <mergeCell ref="F443:F446"/>
    <mergeCell ref="G443:G446"/>
    <mergeCell ref="H443:H446"/>
    <mergeCell ref="I443:I446"/>
    <mergeCell ref="O439:O442"/>
    <mergeCell ref="P439:P442"/>
    <mergeCell ref="Q439:Q442"/>
    <mergeCell ref="R439:R442"/>
    <mergeCell ref="S439:S442"/>
    <mergeCell ref="T439:T442"/>
    <mergeCell ref="I439:I442"/>
    <mergeCell ref="J439:J442"/>
    <mergeCell ref="K439:K442"/>
    <mergeCell ref="L439:L442"/>
    <mergeCell ref="M439:M442"/>
    <mergeCell ref="N439:N442"/>
    <mergeCell ref="V443:V446"/>
    <mergeCell ref="C445:C446"/>
    <mergeCell ref="B447:B450"/>
    <mergeCell ref="C447:C448"/>
    <mergeCell ref="E447:E450"/>
    <mergeCell ref="F447:F450"/>
    <mergeCell ref="G447:G450"/>
    <mergeCell ref="H447:H450"/>
    <mergeCell ref="I447:I450"/>
    <mergeCell ref="J447:J450"/>
    <mergeCell ref="P443:P446"/>
    <mergeCell ref="Q443:Q446"/>
    <mergeCell ref="R443:R446"/>
    <mergeCell ref="S443:S446"/>
    <mergeCell ref="T443:T446"/>
    <mergeCell ref="U443:U446"/>
    <mergeCell ref="J443:J446"/>
    <mergeCell ref="K443:K446"/>
    <mergeCell ref="L443:L446"/>
    <mergeCell ref="M443:M446"/>
    <mergeCell ref="N443:N446"/>
    <mergeCell ref="O443:O446"/>
    <mergeCell ref="C449:C450"/>
    <mergeCell ref="B451:B454"/>
    <mergeCell ref="C451:C452"/>
    <mergeCell ref="E451:E454"/>
    <mergeCell ref="F451:F454"/>
    <mergeCell ref="G451:G454"/>
    <mergeCell ref="Q447:Q450"/>
    <mergeCell ref="R447:R450"/>
    <mergeCell ref="S447:S450"/>
    <mergeCell ref="T447:T450"/>
    <mergeCell ref="U447:U450"/>
    <mergeCell ref="V447:V450"/>
    <mergeCell ref="K447:K450"/>
    <mergeCell ref="L447:L450"/>
    <mergeCell ref="M447:M450"/>
    <mergeCell ref="N447:N450"/>
    <mergeCell ref="O447:O450"/>
    <mergeCell ref="P447:P450"/>
    <mergeCell ref="T451:T454"/>
    <mergeCell ref="U451:U454"/>
    <mergeCell ref="V451:V454"/>
    <mergeCell ref="C453:C454"/>
    <mergeCell ref="L455:L458"/>
    <mergeCell ref="M455:M458"/>
    <mergeCell ref="N455:N458"/>
    <mergeCell ref="V459:V462"/>
    <mergeCell ref="C461:C462"/>
    <mergeCell ref="B455:B458"/>
    <mergeCell ref="C455:C456"/>
    <mergeCell ref="E455:E458"/>
    <mergeCell ref="F455:F458"/>
    <mergeCell ref="G455:G458"/>
    <mergeCell ref="H455:H458"/>
    <mergeCell ref="N451:N454"/>
    <mergeCell ref="O451:O454"/>
    <mergeCell ref="P451:P454"/>
    <mergeCell ref="Q451:Q454"/>
    <mergeCell ref="R451:R454"/>
    <mergeCell ref="S451:S454"/>
    <mergeCell ref="H451:H454"/>
    <mergeCell ref="I451:I454"/>
    <mergeCell ref="J451:J454"/>
    <mergeCell ref="K451:K454"/>
    <mergeCell ref="L451:L454"/>
    <mergeCell ref="M451:M454"/>
    <mergeCell ref="P459:P462"/>
    <mergeCell ref="Q459:Q462"/>
    <mergeCell ref="R459:R462"/>
    <mergeCell ref="S459:S462"/>
    <mergeCell ref="T459:T462"/>
    <mergeCell ref="U459:U462"/>
    <mergeCell ref="J459:J462"/>
    <mergeCell ref="K459:K462"/>
    <mergeCell ref="L459:L462"/>
    <mergeCell ref="M459:M462"/>
    <mergeCell ref="N459:N462"/>
    <mergeCell ref="O459:O462"/>
    <mergeCell ref="C465:C466"/>
    <mergeCell ref="U455:U458"/>
    <mergeCell ref="V455:V458"/>
    <mergeCell ref="C457:C458"/>
    <mergeCell ref="B459:B462"/>
    <mergeCell ref="C459:C460"/>
    <mergeCell ref="E459:E462"/>
    <mergeCell ref="F459:F462"/>
    <mergeCell ref="G459:G462"/>
    <mergeCell ref="H459:H462"/>
    <mergeCell ref="I459:I462"/>
    <mergeCell ref="O455:O458"/>
    <mergeCell ref="P455:P458"/>
    <mergeCell ref="Q455:Q458"/>
    <mergeCell ref="R455:R458"/>
    <mergeCell ref="S455:S458"/>
    <mergeCell ref="T455:T458"/>
    <mergeCell ref="I455:I458"/>
    <mergeCell ref="J455:J458"/>
    <mergeCell ref="K455:K458"/>
    <mergeCell ref="Q463:Q466"/>
    <mergeCell ref="R463:R466"/>
    <mergeCell ref="S463:S466"/>
    <mergeCell ref="T463:T466"/>
    <mergeCell ref="U463:U466"/>
    <mergeCell ref="V463:V466"/>
    <mergeCell ref="K463:K466"/>
    <mergeCell ref="L463:L466"/>
    <mergeCell ref="M463:M466"/>
    <mergeCell ref="N463:N466"/>
    <mergeCell ref="O463:O466"/>
    <mergeCell ref="P463:P466"/>
    <mergeCell ref="T467:T470"/>
    <mergeCell ref="U467:U470"/>
    <mergeCell ref="V467:V470"/>
    <mergeCell ref="C469:C470"/>
    <mergeCell ref="B463:B466"/>
    <mergeCell ref="C463:C464"/>
    <mergeCell ref="E463:E466"/>
    <mergeCell ref="F463:F466"/>
    <mergeCell ref="G463:G466"/>
    <mergeCell ref="H463:H466"/>
    <mergeCell ref="I463:I466"/>
    <mergeCell ref="J463:J466"/>
    <mergeCell ref="L471:L474"/>
    <mergeCell ref="M471:M474"/>
    <mergeCell ref="N471:N474"/>
    <mergeCell ref="V475:V478"/>
    <mergeCell ref="C477:C478"/>
    <mergeCell ref="B471:B474"/>
    <mergeCell ref="C471:C472"/>
    <mergeCell ref="E471:E474"/>
    <mergeCell ref="F471:F474"/>
    <mergeCell ref="G471:G474"/>
    <mergeCell ref="H471:H474"/>
    <mergeCell ref="N467:N470"/>
    <mergeCell ref="O467:O470"/>
    <mergeCell ref="P467:P470"/>
    <mergeCell ref="Q467:Q470"/>
    <mergeCell ref="R467:R470"/>
    <mergeCell ref="S467:S470"/>
    <mergeCell ref="H467:H470"/>
    <mergeCell ref="I467:I470"/>
    <mergeCell ref="J467:J470"/>
    <mergeCell ref="K467:K470"/>
    <mergeCell ref="L467:L470"/>
    <mergeCell ref="M467:M470"/>
    <mergeCell ref="B467:B470"/>
    <mergeCell ref="C467:C468"/>
    <mergeCell ref="E467:E470"/>
    <mergeCell ref="F467:F470"/>
    <mergeCell ref="G467:G470"/>
    <mergeCell ref="P475:P478"/>
    <mergeCell ref="Q475:Q478"/>
    <mergeCell ref="R475:R478"/>
    <mergeCell ref="S475:S478"/>
    <mergeCell ref="T475:T478"/>
    <mergeCell ref="U475:U478"/>
    <mergeCell ref="J475:J478"/>
    <mergeCell ref="K475:K478"/>
    <mergeCell ref="L475:L478"/>
    <mergeCell ref="M475:M478"/>
    <mergeCell ref="N475:N478"/>
    <mergeCell ref="O475:O478"/>
    <mergeCell ref="C481:C482"/>
    <mergeCell ref="U471:U474"/>
    <mergeCell ref="V471:V474"/>
    <mergeCell ref="C473:C474"/>
    <mergeCell ref="B475:B478"/>
    <mergeCell ref="C475:C476"/>
    <mergeCell ref="E475:E478"/>
    <mergeCell ref="F475:F478"/>
    <mergeCell ref="G475:G478"/>
    <mergeCell ref="H475:H478"/>
    <mergeCell ref="I475:I478"/>
    <mergeCell ref="O471:O474"/>
    <mergeCell ref="P471:P474"/>
    <mergeCell ref="Q471:Q474"/>
    <mergeCell ref="R471:R474"/>
    <mergeCell ref="S471:S474"/>
    <mergeCell ref="T471:T474"/>
    <mergeCell ref="I471:I474"/>
    <mergeCell ref="J471:J474"/>
    <mergeCell ref="K471:K474"/>
    <mergeCell ref="Q479:Q482"/>
    <mergeCell ref="R479:R482"/>
    <mergeCell ref="S479:S482"/>
    <mergeCell ref="T479:T482"/>
    <mergeCell ref="U479:U482"/>
    <mergeCell ref="V479:V482"/>
    <mergeCell ref="K479:K482"/>
    <mergeCell ref="L479:L482"/>
    <mergeCell ref="M479:M482"/>
    <mergeCell ref="N479:N482"/>
    <mergeCell ref="O479:O482"/>
    <mergeCell ref="P479:P482"/>
    <mergeCell ref="T483:T486"/>
    <mergeCell ref="U483:U486"/>
    <mergeCell ref="V483:V486"/>
    <mergeCell ref="C485:C486"/>
    <mergeCell ref="B479:B482"/>
    <mergeCell ref="C479:C480"/>
    <mergeCell ref="E479:E482"/>
    <mergeCell ref="F479:F482"/>
    <mergeCell ref="G479:G482"/>
    <mergeCell ref="H479:H482"/>
    <mergeCell ref="I479:I482"/>
    <mergeCell ref="J479:J482"/>
    <mergeCell ref="L487:L490"/>
    <mergeCell ref="M487:M490"/>
    <mergeCell ref="N487:N490"/>
    <mergeCell ref="V491:V494"/>
    <mergeCell ref="C493:C494"/>
    <mergeCell ref="B487:B490"/>
    <mergeCell ref="C487:C488"/>
    <mergeCell ref="E487:E490"/>
    <mergeCell ref="F487:F490"/>
    <mergeCell ref="G487:G490"/>
    <mergeCell ref="H487:H490"/>
    <mergeCell ref="N483:N486"/>
    <mergeCell ref="O483:O486"/>
    <mergeCell ref="P483:P486"/>
    <mergeCell ref="Q483:Q486"/>
    <mergeCell ref="R483:R486"/>
    <mergeCell ref="S483:S486"/>
    <mergeCell ref="H483:H486"/>
    <mergeCell ref="I483:I486"/>
    <mergeCell ref="J483:J486"/>
    <mergeCell ref="K483:K486"/>
    <mergeCell ref="L483:L486"/>
    <mergeCell ref="M483:M486"/>
    <mergeCell ref="B483:B486"/>
    <mergeCell ref="C483:C484"/>
    <mergeCell ref="E483:E486"/>
    <mergeCell ref="F483:F486"/>
    <mergeCell ref="G483:G486"/>
    <mergeCell ref="P491:P494"/>
    <mergeCell ref="Q491:Q494"/>
    <mergeCell ref="R491:R494"/>
    <mergeCell ref="S491:S494"/>
    <mergeCell ref="T491:T494"/>
    <mergeCell ref="U491:U494"/>
    <mergeCell ref="J491:J494"/>
    <mergeCell ref="K491:K494"/>
    <mergeCell ref="L491:L494"/>
    <mergeCell ref="M491:M494"/>
    <mergeCell ref="N491:N494"/>
    <mergeCell ref="O491:O494"/>
    <mergeCell ref="C497:C498"/>
    <mergeCell ref="U487:U490"/>
    <mergeCell ref="V487:V490"/>
    <mergeCell ref="C489:C490"/>
    <mergeCell ref="B491:B494"/>
    <mergeCell ref="C491:C492"/>
    <mergeCell ref="E491:E494"/>
    <mergeCell ref="F491:F494"/>
    <mergeCell ref="G491:G494"/>
    <mergeCell ref="H491:H494"/>
    <mergeCell ref="I491:I494"/>
    <mergeCell ref="O487:O490"/>
    <mergeCell ref="P487:P490"/>
    <mergeCell ref="Q487:Q490"/>
    <mergeCell ref="R487:R490"/>
    <mergeCell ref="S487:S490"/>
    <mergeCell ref="T487:T490"/>
    <mergeCell ref="I487:I490"/>
    <mergeCell ref="J487:J490"/>
    <mergeCell ref="K487:K490"/>
    <mergeCell ref="Q495:Q498"/>
    <mergeCell ref="R495:R498"/>
    <mergeCell ref="S495:S498"/>
    <mergeCell ref="T495:T498"/>
    <mergeCell ref="U495:U498"/>
    <mergeCell ref="V495:V498"/>
    <mergeCell ref="K495:K498"/>
    <mergeCell ref="L495:L498"/>
    <mergeCell ref="M495:M498"/>
    <mergeCell ref="N495:N498"/>
    <mergeCell ref="O495:O498"/>
    <mergeCell ref="P495:P498"/>
    <mergeCell ref="T499:T502"/>
    <mergeCell ref="U499:U502"/>
    <mergeCell ref="V499:V502"/>
    <mergeCell ref="C501:C502"/>
    <mergeCell ref="B495:B498"/>
    <mergeCell ref="C495:C496"/>
    <mergeCell ref="E495:E498"/>
    <mergeCell ref="F495:F498"/>
    <mergeCell ref="G495:G498"/>
    <mergeCell ref="H495:H498"/>
    <mergeCell ref="I495:I498"/>
    <mergeCell ref="J495:J498"/>
    <mergeCell ref="H503:H506"/>
    <mergeCell ref="N499:N502"/>
    <mergeCell ref="O499:O502"/>
    <mergeCell ref="P499:P502"/>
    <mergeCell ref="Q499:Q502"/>
    <mergeCell ref="R499:R502"/>
    <mergeCell ref="S499:S502"/>
    <mergeCell ref="H499:H502"/>
    <mergeCell ref="I499:I502"/>
    <mergeCell ref="J499:J502"/>
    <mergeCell ref="K499:K502"/>
    <mergeCell ref="L499:L502"/>
    <mergeCell ref="M499:M502"/>
    <mergeCell ref="B499:B502"/>
    <mergeCell ref="C499:C500"/>
    <mergeCell ref="E499:E502"/>
    <mergeCell ref="F499:F502"/>
    <mergeCell ref="G499:G502"/>
    <mergeCell ref="U519:U522"/>
    <mergeCell ref="B527:B530"/>
    <mergeCell ref="C527:C528"/>
    <mergeCell ref="U503:U506"/>
    <mergeCell ref="V503:V506"/>
    <mergeCell ref="C505:C506"/>
    <mergeCell ref="B507:B510"/>
    <mergeCell ref="C507:C508"/>
    <mergeCell ref="E507:E510"/>
    <mergeCell ref="F507:F510"/>
    <mergeCell ref="G507:G510"/>
    <mergeCell ref="H507:H510"/>
    <mergeCell ref="I507:I510"/>
    <mergeCell ref="O503:O506"/>
    <mergeCell ref="P503:P506"/>
    <mergeCell ref="Q503:Q506"/>
    <mergeCell ref="R503:R506"/>
    <mergeCell ref="S503:S506"/>
    <mergeCell ref="T503:T506"/>
    <mergeCell ref="I503:I506"/>
    <mergeCell ref="J503:J506"/>
    <mergeCell ref="K503:K506"/>
    <mergeCell ref="L503:L506"/>
    <mergeCell ref="M503:M506"/>
    <mergeCell ref="N503:N506"/>
    <mergeCell ref="V507:V510"/>
    <mergeCell ref="C509:C510"/>
    <mergeCell ref="B503:B506"/>
    <mergeCell ref="C503:C504"/>
    <mergeCell ref="E503:E506"/>
    <mergeCell ref="F503:F506"/>
    <mergeCell ref="G503:G506"/>
    <mergeCell ref="K515:K518"/>
    <mergeCell ref="L515:L518"/>
    <mergeCell ref="M515:M518"/>
    <mergeCell ref="A511:A582"/>
    <mergeCell ref="B511:B514"/>
    <mergeCell ref="C511:C512"/>
    <mergeCell ref="E511:E514"/>
    <mergeCell ref="F511:F514"/>
    <mergeCell ref="G511:G514"/>
    <mergeCell ref="H511:H514"/>
    <mergeCell ref="I511:I514"/>
    <mergeCell ref="P507:P510"/>
    <mergeCell ref="Q507:Q510"/>
    <mergeCell ref="R507:R510"/>
    <mergeCell ref="S507:S510"/>
    <mergeCell ref="T507:T510"/>
    <mergeCell ref="U507:U510"/>
    <mergeCell ref="J507:J510"/>
    <mergeCell ref="K507:K510"/>
    <mergeCell ref="L507:L510"/>
    <mergeCell ref="M507:M510"/>
    <mergeCell ref="N507:N510"/>
    <mergeCell ref="O507:O510"/>
    <mergeCell ref="B519:B522"/>
    <mergeCell ref="C519:C520"/>
    <mergeCell ref="E519:E522"/>
    <mergeCell ref="F519:F522"/>
    <mergeCell ref="G519:G522"/>
    <mergeCell ref="N515:N518"/>
    <mergeCell ref="O515:O518"/>
    <mergeCell ref="P515:P518"/>
    <mergeCell ref="T519:T522"/>
    <mergeCell ref="U523:U526"/>
    <mergeCell ref="V523:V526"/>
    <mergeCell ref="C525:C526"/>
    <mergeCell ref="V511:V514"/>
    <mergeCell ref="C513:C514"/>
    <mergeCell ref="B515:B518"/>
    <mergeCell ref="C515:C516"/>
    <mergeCell ref="E515:E518"/>
    <mergeCell ref="F515:F518"/>
    <mergeCell ref="G515:G518"/>
    <mergeCell ref="H515:H518"/>
    <mergeCell ref="I515:I518"/>
    <mergeCell ref="J515:J518"/>
    <mergeCell ref="P511:P514"/>
    <mergeCell ref="Q511:Q514"/>
    <mergeCell ref="R511:R514"/>
    <mergeCell ref="S511:S514"/>
    <mergeCell ref="T511:T514"/>
    <mergeCell ref="U511:U514"/>
    <mergeCell ref="J511:J514"/>
    <mergeCell ref="K511:K514"/>
    <mergeCell ref="L511:L514"/>
    <mergeCell ref="M511:M514"/>
    <mergeCell ref="N511:N514"/>
    <mergeCell ref="O511:O514"/>
    <mergeCell ref="C517:C518"/>
    <mergeCell ref="Q515:Q518"/>
    <mergeCell ref="R515:R518"/>
    <mergeCell ref="S515:S518"/>
    <mergeCell ref="T515:T518"/>
    <mergeCell ref="U515:U518"/>
    <mergeCell ref="V515:V518"/>
    <mergeCell ref="O523:O526"/>
    <mergeCell ref="P523:P526"/>
    <mergeCell ref="Q523:Q526"/>
    <mergeCell ref="R523:R526"/>
    <mergeCell ref="S523:S526"/>
    <mergeCell ref="T523:T526"/>
    <mergeCell ref="I523:I526"/>
    <mergeCell ref="J523:J526"/>
    <mergeCell ref="K523:K526"/>
    <mergeCell ref="L523:L526"/>
    <mergeCell ref="M523:M526"/>
    <mergeCell ref="N523:N526"/>
    <mergeCell ref="V519:V522"/>
    <mergeCell ref="C521:C522"/>
    <mergeCell ref="B523:B526"/>
    <mergeCell ref="C523:C524"/>
    <mergeCell ref="E523:E526"/>
    <mergeCell ref="F523:F526"/>
    <mergeCell ref="G523:G526"/>
    <mergeCell ref="H523:H526"/>
    <mergeCell ref="N519:N522"/>
    <mergeCell ref="O519:O522"/>
    <mergeCell ref="P519:P522"/>
    <mergeCell ref="Q519:Q522"/>
    <mergeCell ref="R519:R522"/>
    <mergeCell ref="S519:S522"/>
    <mergeCell ref="H519:H522"/>
    <mergeCell ref="I519:I522"/>
    <mergeCell ref="J519:J522"/>
    <mergeCell ref="K519:K522"/>
    <mergeCell ref="L519:L522"/>
    <mergeCell ref="M519:M522"/>
    <mergeCell ref="B531:B534"/>
    <mergeCell ref="C531:C532"/>
    <mergeCell ref="E531:E534"/>
    <mergeCell ref="F531:F534"/>
    <mergeCell ref="G531:G534"/>
    <mergeCell ref="H531:H534"/>
    <mergeCell ref="I531:I534"/>
    <mergeCell ref="J531:J534"/>
    <mergeCell ref="P527:P530"/>
    <mergeCell ref="Q527:Q530"/>
    <mergeCell ref="R527:R530"/>
    <mergeCell ref="S527:S530"/>
    <mergeCell ref="T527:T530"/>
    <mergeCell ref="U527:U530"/>
    <mergeCell ref="J527:J530"/>
    <mergeCell ref="K527:K530"/>
    <mergeCell ref="L527:L530"/>
    <mergeCell ref="M527:M530"/>
    <mergeCell ref="N527:N530"/>
    <mergeCell ref="O527:O530"/>
    <mergeCell ref="C533:C534"/>
    <mergeCell ref="E527:E530"/>
    <mergeCell ref="F527:F530"/>
    <mergeCell ref="G527:G530"/>
    <mergeCell ref="H527:H530"/>
    <mergeCell ref="I527:I530"/>
    <mergeCell ref="Q531:Q534"/>
    <mergeCell ref="R531:R534"/>
    <mergeCell ref="S531:S534"/>
    <mergeCell ref="T531:T534"/>
    <mergeCell ref="U531:U534"/>
    <mergeCell ref="V531:V534"/>
    <mergeCell ref="K531:K534"/>
    <mergeCell ref="L531:L534"/>
    <mergeCell ref="M531:M534"/>
    <mergeCell ref="N531:N534"/>
    <mergeCell ref="O531:O534"/>
    <mergeCell ref="P531:P534"/>
    <mergeCell ref="T535:T538"/>
    <mergeCell ref="U535:U538"/>
    <mergeCell ref="V535:V538"/>
    <mergeCell ref="C537:C538"/>
    <mergeCell ref="V527:V530"/>
    <mergeCell ref="C529:C530"/>
    <mergeCell ref="L539:L542"/>
    <mergeCell ref="M539:M542"/>
    <mergeCell ref="N539:N542"/>
    <mergeCell ref="V543:V546"/>
    <mergeCell ref="C545:C546"/>
    <mergeCell ref="B539:B542"/>
    <mergeCell ref="C539:C540"/>
    <mergeCell ref="E539:E542"/>
    <mergeCell ref="F539:F542"/>
    <mergeCell ref="G539:G542"/>
    <mergeCell ref="H539:H542"/>
    <mergeCell ref="N535:N538"/>
    <mergeCell ref="O535:O538"/>
    <mergeCell ref="P535:P538"/>
    <mergeCell ref="Q535:Q538"/>
    <mergeCell ref="R535:R538"/>
    <mergeCell ref="S535:S538"/>
    <mergeCell ref="H535:H538"/>
    <mergeCell ref="I535:I538"/>
    <mergeCell ref="J535:J538"/>
    <mergeCell ref="K535:K538"/>
    <mergeCell ref="L535:L538"/>
    <mergeCell ref="M535:M538"/>
    <mergeCell ref="B535:B538"/>
    <mergeCell ref="C535:C536"/>
    <mergeCell ref="E535:E538"/>
    <mergeCell ref="F535:F538"/>
    <mergeCell ref="G535:G538"/>
    <mergeCell ref="P543:P546"/>
    <mergeCell ref="Q543:Q546"/>
    <mergeCell ref="R543:R546"/>
    <mergeCell ref="S543:S546"/>
    <mergeCell ref="T543:T546"/>
    <mergeCell ref="U543:U546"/>
    <mergeCell ref="J543:J546"/>
    <mergeCell ref="K543:K546"/>
    <mergeCell ref="L543:L546"/>
    <mergeCell ref="M543:M546"/>
    <mergeCell ref="N543:N546"/>
    <mergeCell ref="O543:O546"/>
    <mergeCell ref="C549:C550"/>
    <mergeCell ref="U539:U542"/>
    <mergeCell ref="V539:V542"/>
    <mergeCell ref="C541:C542"/>
    <mergeCell ref="B543:B546"/>
    <mergeCell ref="C543:C544"/>
    <mergeCell ref="E543:E546"/>
    <mergeCell ref="F543:F546"/>
    <mergeCell ref="G543:G546"/>
    <mergeCell ref="H543:H546"/>
    <mergeCell ref="I543:I546"/>
    <mergeCell ref="O539:O542"/>
    <mergeCell ref="P539:P542"/>
    <mergeCell ref="Q539:Q542"/>
    <mergeCell ref="R539:R542"/>
    <mergeCell ref="S539:S542"/>
    <mergeCell ref="T539:T542"/>
    <mergeCell ref="I539:I542"/>
    <mergeCell ref="J539:J542"/>
    <mergeCell ref="K539:K542"/>
    <mergeCell ref="Q547:Q550"/>
    <mergeCell ref="R547:R550"/>
    <mergeCell ref="S547:S550"/>
    <mergeCell ref="T547:T550"/>
    <mergeCell ref="U547:U550"/>
    <mergeCell ref="V547:V550"/>
    <mergeCell ref="K547:K550"/>
    <mergeCell ref="L547:L550"/>
    <mergeCell ref="M547:M550"/>
    <mergeCell ref="N547:N550"/>
    <mergeCell ref="O547:O550"/>
    <mergeCell ref="P547:P550"/>
    <mergeCell ref="T551:T554"/>
    <mergeCell ref="U551:U554"/>
    <mergeCell ref="V551:V554"/>
    <mergeCell ref="C553:C554"/>
    <mergeCell ref="B547:B550"/>
    <mergeCell ref="C547:C548"/>
    <mergeCell ref="E547:E550"/>
    <mergeCell ref="F547:F550"/>
    <mergeCell ref="G547:G550"/>
    <mergeCell ref="H547:H550"/>
    <mergeCell ref="I547:I550"/>
    <mergeCell ref="J547:J550"/>
    <mergeCell ref="L555:L558"/>
    <mergeCell ref="M555:M558"/>
    <mergeCell ref="N555:N558"/>
    <mergeCell ref="V559:V562"/>
    <mergeCell ref="C561:C562"/>
    <mergeCell ref="B555:B558"/>
    <mergeCell ref="C555:C556"/>
    <mergeCell ref="E555:E558"/>
    <mergeCell ref="F555:F558"/>
    <mergeCell ref="G555:G558"/>
    <mergeCell ref="H555:H558"/>
    <mergeCell ref="N551:N554"/>
    <mergeCell ref="O551:O554"/>
    <mergeCell ref="P551:P554"/>
    <mergeCell ref="Q551:Q554"/>
    <mergeCell ref="R551:R554"/>
    <mergeCell ref="S551:S554"/>
    <mergeCell ref="H551:H554"/>
    <mergeCell ref="I551:I554"/>
    <mergeCell ref="J551:J554"/>
    <mergeCell ref="K551:K554"/>
    <mergeCell ref="L551:L554"/>
    <mergeCell ref="M551:M554"/>
    <mergeCell ref="B551:B554"/>
    <mergeCell ref="C551:C552"/>
    <mergeCell ref="E551:E554"/>
    <mergeCell ref="F551:F554"/>
    <mergeCell ref="G551:G554"/>
    <mergeCell ref="P559:P562"/>
    <mergeCell ref="Q559:Q562"/>
    <mergeCell ref="R559:R562"/>
    <mergeCell ref="S559:S562"/>
    <mergeCell ref="T559:T562"/>
    <mergeCell ref="U559:U562"/>
    <mergeCell ref="J559:J562"/>
    <mergeCell ref="K559:K562"/>
    <mergeCell ref="L559:L562"/>
    <mergeCell ref="M559:M562"/>
    <mergeCell ref="N559:N562"/>
    <mergeCell ref="O559:O562"/>
    <mergeCell ref="C565:C566"/>
    <mergeCell ref="U555:U558"/>
    <mergeCell ref="V555:V558"/>
    <mergeCell ref="C557:C558"/>
    <mergeCell ref="B559:B562"/>
    <mergeCell ref="C559:C560"/>
    <mergeCell ref="E559:E562"/>
    <mergeCell ref="F559:F562"/>
    <mergeCell ref="G559:G562"/>
    <mergeCell ref="H559:H562"/>
    <mergeCell ref="I559:I562"/>
    <mergeCell ref="O555:O558"/>
    <mergeCell ref="P555:P558"/>
    <mergeCell ref="Q555:Q558"/>
    <mergeCell ref="R555:R558"/>
    <mergeCell ref="S555:S558"/>
    <mergeCell ref="T555:T558"/>
    <mergeCell ref="I555:I558"/>
    <mergeCell ref="J555:J558"/>
    <mergeCell ref="K555:K558"/>
    <mergeCell ref="Q563:Q566"/>
    <mergeCell ref="R563:R566"/>
    <mergeCell ref="S563:S566"/>
    <mergeCell ref="T563:T566"/>
    <mergeCell ref="U563:U566"/>
    <mergeCell ref="V563:V566"/>
    <mergeCell ref="K563:K566"/>
    <mergeCell ref="L563:L566"/>
    <mergeCell ref="M563:M566"/>
    <mergeCell ref="N563:N566"/>
    <mergeCell ref="O563:O566"/>
    <mergeCell ref="P563:P566"/>
    <mergeCell ref="T567:T570"/>
    <mergeCell ref="U567:U570"/>
    <mergeCell ref="V567:V570"/>
    <mergeCell ref="C569:C570"/>
    <mergeCell ref="B563:B566"/>
    <mergeCell ref="C563:C564"/>
    <mergeCell ref="E563:E566"/>
    <mergeCell ref="F563:F566"/>
    <mergeCell ref="G563:G566"/>
    <mergeCell ref="H563:H566"/>
    <mergeCell ref="I563:I566"/>
    <mergeCell ref="J563:J566"/>
    <mergeCell ref="N567:N570"/>
    <mergeCell ref="O567:O570"/>
    <mergeCell ref="P567:P570"/>
    <mergeCell ref="Q567:Q570"/>
    <mergeCell ref="R567:R570"/>
    <mergeCell ref="S567:S570"/>
    <mergeCell ref="H567:H570"/>
    <mergeCell ref="I567:I570"/>
    <mergeCell ref="J567:J570"/>
    <mergeCell ref="K567:K570"/>
    <mergeCell ref="L567:L570"/>
    <mergeCell ref="M567:M570"/>
    <mergeCell ref="B567:B570"/>
    <mergeCell ref="C567:C568"/>
    <mergeCell ref="E567:E570"/>
    <mergeCell ref="F567:F570"/>
    <mergeCell ref="G567:G570"/>
    <mergeCell ref="M575:M578"/>
    <mergeCell ref="N575:N578"/>
    <mergeCell ref="O575:O578"/>
    <mergeCell ref="U571:U574"/>
    <mergeCell ref="V571:V574"/>
    <mergeCell ref="C573:C574"/>
    <mergeCell ref="B575:B578"/>
    <mergeCell ref="C575:C576"/>
    <mergeCell ref="E575:E578"/>
    <mergeCell ref="F575:F578"/>
    <mergeCell ref="G575:G578"/>
    <mergeCell ref="H575:H578"/>
    <mergeCell ref="I575:I578"/>
    <mergeCell ref="O571:O574"/>
    <mergeCell ref="P571:P574"/>
    <mergeCell ref="Q571:Q574"/>
    <mergeCell ref="R571:R574"/>
    <mergeCell ref="S571:S574"/>
    <mergeCell ref="T571:T574"/>
    <mergeCell ref="I571:I574"/>
    <mergeCell ref="J571:J574"/>
    <mergeCell ref="K571:K574"/>
    <mergeCell ref="L571:L574"/>
    <mergeCell ref="M571:M574"/>
    <mergeCell ref="N571:N574"/>
    <mergeCell ref="B571:B574"/>
    <mergeCell ref="C571:C572"/>
    <mergeCell ref="E571:E574"/>
    <mergeCell ref="F571:F574"/>
    <mergeCell ref="G571:G574"/>
    <mergeCell ref="H571:H574"/>
    <mergeCell ref="C581:C582"/>
    <mergeCell ref="Q579:Q582"/>
    <mergeCell ref="R579:R582"/>
    <mergeCell ref="S579:S582"/>
    <mergeCell ref="T579:T582"/>
    <mergeCell ref="U579:U582"/>
    <mergeCell ref="V579:V582"/>
    <mergeCell ref="K579:K582"/>
    <mergeCell ref="L579:L582"/>
    <mergeCell ref="M579:M582"/>
    <mergeCell ref="N579:N582"/>
    <mergeCell ref="O579:O582"/>
    <mergeCell ref="P579:P582"/>
    <mergeCell ref="V575:V578"/>
    <mergeCell ref="C577:C578"/>
    <mergeCell ref="B579:B582"/>
    <mergeCell ref="C579:C580"/>
    <mergeCell ref="E579:E582"/>
    <mergeCell ref="F579:F582"/>
    <mergeCell ref="G579:G582"/>
    <mergeCell ref="H579:H582"/>
    <mergeCell ref="I579:I582"/>
    <mergeCell ref="J579:J582"/>
    <mergeCell ref="P575:P578"/>
    <mergeCell ref="Q575:Q578"/>
    <mergeCell ref="R575:R578"/>
    <mergeCell ref="S575:S578"/>
    <mergeCell ref="T575:T578"/>
    <mergeCell ref="U575:U578"/>
    <mergeCell ref="J575:J578"/>
    <mergeCell ref="K575:K578"/>
    <mergeCell ref="L575:L578"/>
  </mergeCells>
  <phoneticPr fontId="1"/>
  <pageMargins left="0.70866141732283505" right="0.70866141732283505" top="0.74803149606299202" bottom="0.74803149606299202" header="0.31496062992126" footer="0.31496062992126"/>
  <pageSetup paperSize="9" scale="47" orientation="portrait" r:id="rId1"/>
  <rowBreaks count="7" manualBreakCount="7">
    <brk id="78" max="21" man="1"/>
    <brk id="150" max="21" man="1"/>
    <brk id="222" max="21" man="1"/>
    <brk id="294" max="21" man="1"/>
    <brk id="366" max="21" man="1"/>
    <brk id="438" max="21" man="1"/>
    <brk id="51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sheetPr>
  <dimension ref="A1:IU499"/>
  <sheetViews>
    <sheetView tabSelected="1" view="pageBreakPreview" topLeftCell="A115" zoomScale="90" zoomScaleNormal="100" zoomScaleSheetLayoutView="90" workbookViewId="0">
      <selection activeCell="A125" sqref="A125:V125"/>
    </sheetView>
  </sheetViews>
  <sheetFormatPr defaultRowHeight="13.5"/>
  <cols>
    <col min="1" max="26" width="3.375" style="402" customWidth="1"/>
    <col min="27" max="30" width="9" style="402" customWidth="1"/>
    <col min="31" max="58" width="9.125" style="402" customWidth="1"/>
    <col min="59" max="167" width="9.25" style="402" customWidth="1"/>
    <col min="168" max="172" width="10.25" style="402" bestFit="1" customWidth="1"/>
    <col min="173" max="174" width="10" style="402" bestFit="1" customWidth="1"/>
    <col min="175" max="184" width="10.25" style="402" bestFit="1" customWidth="1"/>
    <col min="185" max="186" width="10" style="402" bestFit="1" customWidth="1"/>
    <col min="187" max="196" width="10.25" style="402" bestFit="1" customWidth="1"/>
    <col min="197" max="198" width="10" style="402" bestFit="1" customWidth="1"/>
    <col min="199" max="206" width="10.25" style="402" bestFit="1" customWidth="1"/>
    <col min="207" max="208" width="10.5" style="402" bestFit="1" customWidth="1"/>
    <col min="209" max="210" width="10.25" style="402" bestFit="1" customWidth="1"/>
    <col min="211" max="218" width="10.5" style="402" bestFit="1" customWidth="1"/>
    <col min="219" max="220" width="10.25" style="402" bestFit="1" customWidth="1"/>
    <col min="221" max="222" width="10" style="402" bestFit="1" customWidth="1"/>
    <col min="223" max="230" width="10.25" style="402" bestFit="1" customWidth="1"/>
    <col min="231" max="232" width="10.5" style="402" bestFit="1" customWidth="1"/>
    <col min="233" max="234" width="10.25" style="402" bestFit="1" customWidth="1"/>
    <col min="235" max="244" width="10.5" style="402" bestFit="1" customWidth="1"/>
    <col min="245" max="246" width="10.25" style="402" bestFit="1" customWidth="1"/>
    <col min="247" max="254" width="10.5" style="402" bestFit="1" customWidth="1"/>
    <col min="255" max="255" width="9.25" style="402" bestFit="1" customWidth="1"/>
    <col min="256" max="16384" width="9" style="402"/>
  </cols>
  <sheetData>
    <row r="1" spans="1:57" s="363" customFormat="1" ht="13.5" customHeight="1">
      <c r="A1" s="360" t="s">
        <v>541</v>
      </c>
      <c r="B1" s="360"/>
      <c r="C1" s="360"/>
      <c r="D1" s="360"/>
      <c r="E1" s="360"/>
      <c r="F1" s="360"/>
      <c r="G1" s="360"/>
      <c r="H1" s="360"/>
      <c r="I1" s="360"/>
      <c r="J1" s="360"/>
      <c r="K1" s="360"/>
      <c r="L1" s="360"/>
      <c r="M1" s="360"/>
      <c r="N1" s="360"/>
      <c r="O1" s="360"/>
      <c r="P1" s="360"/>
      <c r="Q1" s="360"/>
      <c r="R1" s="360"/>
      <c r="S1" s="360"/>
      <c r="T1" s="1064">
        <v>2023</v>
      </c>
      <c r="U1" s="1064"/>
      <c r="V1" s="360" t="s">
        <v>0</v>
      </c>
      <c r="W1" s="361"/>
      <c r="X1" s="360" t="s">
        <v>19</v>
      </c>
      <c r="Y1" s="361"/>
      <c r="Z1" s="360" t="s">
        <v>21</v>
      </c>
      <c r="AA1" s="362">
        <v>2021</v>
      </c>
      <c r="AB1" s="362">
        <v>2022</v>
      </c>
      <c r="AC1" s="362">
        <v>2023</v>
      </c>
      <c r="AD1" s="362">
        <v>2024</v>
      </c>
      <c r="AE1" s="362">
        <v>2025</v>
      </c>
      <c r="AF1" s="362">
        <v>2026</v>
      </c>
      <c r="AG1" s="362">
        <v>2027</v>
      </c>
      <c r="AH1" s="362">
        <v>2028</v>
      </c>
      <c r="AI1" s="362">
        <v>2029</v>
      </c>
      <c r="AJ1" s="362">
        <v>2030</v>
      </c>
    </row>
    <row r="2" spans="1:57" s="363" customFormat="1" ht="13.5"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2">
        <v>1</v>
      </c>
      <c r="AB2" s="364">
        <v>2</v>
      </c>
      <c r="AC2" s="364">
        <v>3</v>
      </c>
      <c r="AD2" s="364">
        <v>4</v>
      </c>
      <c r="AE2" s="364">
        <v>5</v>
      </c>
      <c r="AF2" s="364">
        <v>6</v>
      </c>
      <c r="AG2" s="364">
        <v>7</v>
      </c>
      <c r="AH2" s="364">
        <v>8</v>
      </c>
      <c r="AI2" s="364">
        <v>9</v>
      </c>
      <c r="AJ2" s="364">
        <v>10</v>
      </c>
      <c r="AK2" s="364">
        <v>11</v>
      </c>
      <c r="AL2" s="364">
        <v>12</v>
      </c>
    </row>
    <row r="3" spans="1:57" s="363" customFormat="1" ht="13.5" customHeight="1">
      <c r="A3" s="1072" t="s">
        <v>59</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362">
        <v>1</v>
      </c>
      <c r="AB3" s="362">
        <v>2</v>
      </c>
      <c r="AC3" s="362">
        <v>3</v>
      </c>
      <c r="AD3" s="362">
        <v>4</v>
      </c>
      <c r="AE3" s="362">
        <v>5</v>
      </c>
      <c r="AF3" s="362">
        <v>6</v>
      </c>
      <c r="AG3" s="362">
        <v>7</v>
      </c>
      <c r="AH3" s="362">
        <v>8</v>
      </c>
      <c r="AI3" s="362">
        <v>9</v>
      </c>
      <c r="AJ3" s="362">
        <v>10</v>
      </c>
      <c r="AK3" s="362">
        <v>11</v>
      </c>
      <c r="AL3" s="362">
        <v>12</v>
      </c>
      <c r="AM3" s="362">
        <v>13</v>
      </c>
      <c r="AN3" s="362">
        <v>14</v>
      </c>
      <c r="AO3" s="362">
        <v>15</v>
      </c>
      <c r="AP3" s="362">
        <v>16</v>
      </c>
      <c r="AQ3" s="362">
        <v>17</v>
      </c>
      <c r="AR3" s="362">
        <v>18</v>
      </c>
      <c r="AS3" s="362">
        <v>19</v>
      </c>
      <c r="AT3" s="362">
        <v>20</v>
      </c>
      <c r="AU3" s="362">
        <v>21</v>
      </c>
      <c r="AV3" s="362">
        <v>22</v>
      </c>
      <c r="AW3" s="362">
        <v>23</v>
      </c>
      <c r="AX3" s="362">
        <v>24</v>
      </c>
      <c r="AY3" s="362">
        <v>25</v>
      </c>
      <c r="AZ3" s="362">
        <v>26</v>
      </c>
      <c r="BA3" s="362">
        <v>27</v>
      </c>
      <c r="BB3" s="362">
        <v>28</v>
      </c>
      <c r="BC3" s="362">
        <v>29</v>
      </c>
      <c r="BD3" s="362">
        <v>30</v>
      </c>
      <c r="BE3" s="362">
        <v>31</v>
      </c>
    </row>
    <row r="4" spans="1:57" s="363" customFormat="1" ht="13.5" customHeight="1">
      <c r="A4" s="360"/>
      <c r="B4" s="360"/>
      <c r="C4" s="360"/>
      <c r="D4" s="360"/>
      <c r="E4" s="360"/>
      <c r="F4" s="360"/>
      <c r="G4" s="360"/>
      <c r="H4" s="360" t="s">
        <v>56</v>
      </c>
      <c r="I4" s="1064">
        <v>2023</v>
      </c>
      <c r="J4" s="1064"/>
      <c r="K4" s="360" t="s">
        <v>53</v>
      </c>
      <c r="L4" s="360"/>
      <c r="M4" s="361">
        <v>4</v>
      </c>
      <c r="N4" s="360" t="s">
        <v>22</v>
      </c>
      <c r="O4" s="360" t="s">
        <v>54</v>
      </c>
      <c r="P4" s="361">
        <v>4</v>
      </c>
      <c r="Q4" s="360" t="s">
        <v>57</v>
      </c>
      <c r="R4" s="360"/>
      <c r="S4" s="365"/>
      <c r="T4" s="360" t="s">
        <v>58</v>
      </c>
      <c r="U4" s="360"/>
      <c r="V4" s="360"/>
      <c r="W4" s="360"/>
      <c r="X4" s="360"/>
      <c r="Y4" s="360"/>
      <c r="Z4" s="360"/>
    </row>
    <row r="5" spans="1:57" s="363" customFormat="1" ht="13.5"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row>
    <row r="6" spans="1:57" s="363" customFormat="1" ht="13.5" customHeight="1">
      <c r="A6" s="360"/>
      <c r="B6" s="1073" t="s">
        <v>756</v>
      </c>
      <c r="C6" s="1073"/>
      <c r="D6" s="1073"/>
      <c r="E6" s="1073"/>
      <c r="F6" s="1073"/>
      <c r="G6" s="1073"/>
      <c r="H6" s="360"/>
      <c r="I6" s="360"/>
      <c r="J6" s="360"/>
      <c r="K6" s="360"/>
      <c r="L6" s="360"/>
      <c r="M6" s="360"/>
      <c r="N6" s="360"/>
      <c r="O6" s="360"/>
      <c r="P6" s="360"/>
      <c r="Q6" s="360"/>
      <c r="R6" s="360"/>
      <c r="S6" s="360"/>
      <c r="T6" s="360"/>
      <c r="U6" s="360"/>
      <c r="V6" s="360"/>
      <c r="W6" s="360"/>
      <c r="X6" s="360"/>
      <c r="Y6" s="360"/>
      <c r="Z6" s="360"/>
      <c r="AA6" s="362" t="s">
        <v>55</v>
      </c>
      <c r="AB6" s="362" t="s">
        <v>59</v>
      </c>
      <c r="AC6" s="362" t="s">
        <v>60</v>
      </c>
      <c r="AD6" s="362" t="s">
        <v>61</v>
      </c>
    </row>
    <row r="7" spans="1:57" s="363" customFormat="1" ht="13.5" customHeight="1">
      <c r="A7" s="360"/>
      <c r="B7" s="360"/>
      <c r="C7" s="360"/>
      <c r="D7" s="360"/>
      <c r="E7" s="360"/>
      <c r="F7" s="360"/>
      <c r="G7" s="360"/>
      <c r="H7" s="360"/>
      <c r="I7" s="360"/>
      <c r="J7" s="360"/>
      <c r="K7" s="360"/>
      <c r="L7" s="360"/>
      <c r="M7" s="360"/>
      <c r="N7" s="360"/>
      <c r="O7" s="360"/>
      <c r="P7" s="360"/>
      <c r="Q7" s="360"/>
      <c r="R7" s="360"/>
      <c r="S7" s="360"/>
      <c r="T7" s="360"/>
      <c r="U7" s="360"/>
      <c r="V7" s="360"/>
      <c r="W7" s="360"/>
      <c r="X7" s="360"/>
      <c r="Y7" s="360"/>
      <c r="Z7" s="360"/>
    </row>
    <row r="8" spans="1:57" s="363" customFormat="1" ht="13.5" customHeight="1">
      <c r="A8" s="360"/>
      <c r="B8" s="360"/>
      <c r="C8" s="360"/>
      <c r="D8" s="360"/>
      <c r="E8" s="360"/>
      <c r="F8" s="360"/>
      <c r="G8" s="360"/>
      <c r="H8" s="360" t="s">
        <v>62</v>
      </c>
      <c r="I8" s="360"/>
      <c r="J8" s="360"/>
      <c r="K8" s="360"/>
      <c r="L8" s="360"/>
      <c r="M8" s="360"/>
      <c r="N8" s="360"/>
      <c r="O8" s="360"/>
      <c r="P8" s="360"/>
      <c r="Q8" s="360"/>
      <c r="R8" s="360"/>
      <c r="S8" s="360"/>
      <c r="T8" s="360"/>
      <c r="U8" s="360"/>
      <c r="V8" s="360"/>
      <c r="W8" s="360"/>
      <c r="X8" s="360"/>
      <c r="Y8" s="360"/>
      <c r="Z8" s="360"/>
    </row>
    <row r="9" spans="1:57" s="363" customFormat="1" ht="13.5" customHeight="1">
      <c r="A9" s="360"/>
      <c r="B9" s="360"/>
      <c r="C9" s="360"/>
      <c r="D9" s="360"/>
      <c r="E9" s="360"/>
      <c r="F9" s="360"/>
      <c r="G9" s="360"/>
      <c r="H9" s="1039" t="s">
        <v>42</v>
      </c>
      <c r="I9" s="1039"/>
      <c r="J9" s="1039"/>
      <c r="K9" s="1039"/>
      <c r="L9" s="1039"/>
      <c r="M9" s="1039"/>
      <c r="N9" s="1039"/>
      <c r="O9" s="1038" t="s">
        <v>63</v>
      </c>
      <c r="P9" s="1038"/>
      <c r="Q9" s="1038"/>
      <c r="R9" s="1038"/>
      <c r="S9" s="1038"/>
      <c r="T9" s="1038"/>
      <c r="U9" s="1038"/>
      <c r="V9" s="1038"/>
      <c r="W9" s="1038"/>
      <c r="X9" s="1038"/>
      <c r="Y9" s="1038"/>
      <c r="Z9" s="1038"/>
    </row>
    <row r="10" spans="1:57" s="363" customFormat="1" ht="13.5" customHeight="1">
      <c r="A10" s="360"/>
      <c r="B10" s="360"/>
      <c r="C10" s="360"/>
      <c r="D10" s="360"/>
      <c r="E10" s="360"/>
      <c r="F10" s="360"/>
      <c r="G10" s="360"/>
      <c r="H10" s="1039" t="s">
        <v>23</v>
      </c>
      <c r="I10" s="1039"/>
      <c r="J10" s="1039"/>
      <c r="K10" s="1039"/>
      <c r="L10" s="1039"/>
      <c r="M10" s="1039"/>
      <c r="N10" s="1039"/>
      <c r="O10" s="1041" t="s">
        <v>721</v>
      </c>
      <c r="P10" s="1041"/>
      <c r="Q10" s="1041"/>
      <c r="R10" s="1041"/>
      <c r="S10" s="1041"/>
      <c r="T10" s="1041"/>
      <c r="U10" s="1041"/>
      <c r="V10" s="1041"/>
      <c r="W10" s="1041"/>
      <c r="X10" s="1042"/>
      <c r="Y10" s="1042"/>
      <c r="Z10" s="1042"/>
    </row>
    <row r="11" spans="1:57" s="363" customFormat="1" ht="13.5" customHeight="1">
      <c r="A11" s="360"/>
      <c r="B11" s="360"/>
      <c r="C11" s="360"/>
      <c r="D11" s="360"/>
      <c r="E11" s="360"/>
      <c r="F11" s="360"/>
      <c r="G11" s="360"/>
      <c r="H11" s="1039" t="s">
        <v>65</v>
      </c>
      <c r="I11" s="1039"/>
      <c r="J11" s="1039"/>
      <c r="K11" s="1039"/>
      <c r="L11" s="1039"/>
      <c r="M11" s="1039"/>
      <c r="N11" s="1039"/>
      <c r="O11" s="1038" t="s">
        <v>66</v>
      </c>
      <c r="P11" s="1038"/>
      <c r="Q11" s="1038"/>
      <c r="R11" s="1038"/>
      <c r="S11" s="1038"/>
      <c r="T11" s="1038"/>
      <c r="U11" s="1038"/>
      <c r="V11" s="1038"/>
      <c r="W11" s="1038"/>
      <c r="X11" s="1038"/>
      <c r="Y11" s="1038"/>
      <c r="Z11" s="1038"/>
    </row>
    <row r="12" spans="1:57" s="367" customFormat="1" ht="13.5" hidden="1" customHeight="1">
      <c r="A12" s="366"/>
      <c r="B12" s="366"/>
      <c r="C12" s="366"/>
      <c r="D12" s="366"/>
      <c r="E12" s="366"/>
      <c r="F12" s="366"/>
      <c r="G12" s="366"/>
      <c r="H12" s="1039" t="s">
        <v>40</v>
      </c>
      <c r="I12" s="1039"/>
      <c r="J12" s="1039"/>
      <c r="K12" s="1039"/>
      <c r="L12" s="1039"/>
      <c r="M12" s="1039"/>
      <c r="N12" s="1039"/>
      <c r="O12" s="1071" t="s">
        <v>67</v>
      </c>
      <c r="P12" s="1071"/>
      <c r="Q12" s="1071"/>
      <c r="R12" s="1071"/>
      <c r="S12" s="1071"/>
      <c r="T12" s="1071"/>
      <c r="U12" s="1071"/>
      <c r="V12" s="1071"/>
      <c r="W12" s="1071"/>
      <c r="X12" s="1071"/>
      <c r="Y12" s="1071"/>
      <c r="Z12" s="1071"/>
    </row>
    <row r="13" spans="1:57" s="363" customFormat="1" ht="13.5" customHeight="1">
      <c r="A13" s="360"/>
      <c r="B13" s="360"/>
      <c r="C13" s="360"/>
      <c r="D13" s="360"/>
      <c r="E13" s="360"/>
      <c r="F13" s="360"/>
      <c r="G13" s="360"/>
      <c r="H13" s="1039" t="s">
        <v>68</v>
      </c>
      <c r="I13" s="1039"/>
      <c r="J13" s="1039"/>
      <c r="K13" s="1039"/>
      <c r="L13" s="1039"/>
      <c r="M13" s="1039"/>
      <c r="N13" s="1039"/>
      <c r="O13" s="1038" t="s">
        <v>66</v>
      </c>
      <c r="P13" s="1038"/>
      <c r="Q13" s="1038"/>
      <c r="R13" s="1038"/>
      <c r="S13" s="1038"/>
      <c r="T13" s="1038"/>
      <c r="U13" s="1038"/>
      <c r="V13" s="1038"/>
      <c r="W13" s="1038"/>
      <c r="X13" s="1038"/>
      <c r="Y13" s="1038"/>
      <c r="Z13" s="1038"/>
    </row>
    <row r="14" spans="1:57" s="363" customFormat="1" ht="13.5" customHeight="1">
      <c r="A14" s="360"/>
      <c r="B14" s="360"/>
      <c r="C14" s="360"/>
      <c r="D14" s="360"/>
      <c r="E14" s="360"/>
      <c r="F14" s="360"/>
      <c r="G14" s="360"/>
      <c r="H14" s="1039" t="s">
        <v>41</v>
      </c>
      <c r="I14" s="1039"/>
      <c r="J14" s="1039"/>
      <c r="K14" s="1039"/>
      <c r="L14" s="1039"/>
      <c r="M14" s="1039"/>
      <c r="N14" s="1039"/>
      <c r="O14" s="1038" t="s">
        <v>629</v>
      </c>
      <c r="P14" s="1038"/>
      <c r="Q14" s="1038"/>
      <c r="R14" s="1038"/>
      <c r="S14" s="1038"/>
      <c r="T14" s="1038"/>
      <c r="U14" s="1038"/>
      <c r="V14" s="1038"/>
      <c r="W14" s="1038"/>
      <c r="X14" s="1038"/>
      <c r="Y14" s="1038"/>
      <c r="Z14" s="1038"/>
    </row>
    <row r="15" spans="1:57" s="363" customFormat="1" ht="13.5" customHeight="1">
      <c r="A15" s="360"/>
      <c r="B15" s="360"/>
      <c r="C15" s="360"/>
      <c r="D15" s="360"/>
      <c r="E15" s="360"/>
      <c r="F15" s="360"/>
      <c r="G15" s="360"/>
      <c r="H15" s="1039" t="s">
        <v>69</v>
      </c>
      <c r="I15" s="1039"/>
      <c r="J15" s="1039"/>
      <c r="K15" s="1039"/>
      <c r="L15" s="1039"/>
      <c r="M15" s="1039"/>
      <c r="N15" s="1039"/>
      <c r="O15" s="1040" t="s">
        <v>64</v>
      </c>
      <c r="P15" s="1040"/>
      <c r="Q15" s="1040"/>
      <c r="R15" s="1040"/>
      <c r="S15" s="1040"/>
      <c r="T15" s="1040"/>
      <c r="U15" s="1040"/>
      <c r="V15" s="1040"/>
      <c r="W15" s="1040"/>
      <c r="X15" s="1040"/>
      <c r="Y15" s="1040"/>
      <c r="Z15" s="1040"/>
    </row>
    <row r="16" spans="1:57" s="363" customFormat="1" ht="13.5" customHeight="1">
      <c r="A16" s="360"/>
      <c r="B16" s="360"/>
      <c r="C16" s="360"/>
      <c r="D16" s="360"/>
      <c r="E16" s="360"/>
      <c r="F16" s="360"/>
      <c r="G16" s="360"/>
      <c r="H16" s="1039" t="s">
        <v>70</v>
      </c>
      <c r="I16" s="1039"/>
      <c r="J16" s="1039"/>
      <c r="K16" s="1039"/>
      <c r="L16" s="1039"/>
      <c r="M16" s="1039"/>
      <c r="N16" s="1039"/>
      <c r="O16" s="1040" t="s">
        <v>71</v>
      </c>
      <c r="P16" s="1040"/>
      <c r="Q16" s="1040"/>
      <c r="R16" s="1040"/>
      <c r="S16" s="1040"/>
      <c r="T16" s="1040"/>
      <c r="U16" s="1040"/>
      <c r="V16" s="1040"/>
      <c r="W16" s="1040"/>
      <c r="X16" s="1040"/>
      <c r="Y16" s="1040"/>
      <c r="Z16" s="1040"/>
    </row>
    <row r="17" spans="1:32" s="363" customFormat="1" ht="13.5" customHeight="1">
      <c r="A17" s="360"/>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row>
    <row r="18" spans="1:32" s="363" customFormat="1" ht="13.5" customHeight="1">
      <c r="A18" s="1074" t="s">
        <v>45</v>
      </c>
      <c r="B18" s="1074"/>
      <c r="C18" s="1074"/>
      <c r="D18" s="1074"/>
      <c r="E18" s="1074"/>
      <c r="F18" s="1074"/>
      <c r="G18" s="1074"/>
      <c r="H18" s="1074"/>
      <c r="I18" s="1074"/>
      <c r="J18" s="1074"/>
      <c r="K18" s="1074"/>
      <c r="L18" s="1074"/>
      <c r="M18" s="1074"/>
      <c r="N18" s="1074"/>
      <c r="O18" s="1074"/>
      <c r="P18" s="1074"/>
      <c r="Q18" s="1074"/>
      <c r="R18" s="1074"/>
      <c r="S18" s="1074"/>
      <c r="T18" s="1074"/>
      <c r="U18" s="1074"/>
      <c r="V18" s="1074"/>
      <c r="W18" s="1074"/>
      <c r="X18" s="1074"/>
      <c r="Y18" s="1074"/>
      <c r="Z18" s="1074"/>
      <c r="AA18" s="362" t="s">
        <v>45</v>
      </c>
      <c r="AB18" s="364" t="s">
        <v>72</v>
      </c>
      <c r="AC18" s="362" t="s">
        <v>73</v>
      </c>
      <c r="AD18" s="364" t="s">
        <v>618</v>
      </c>
      <c r="AE18" s="362" t="s">
        <v>74</v>
      </c>
      <c r="AF18" s="364" t="s">
        <v>75</v>
      </c>
    </row>
    <row r="19" spans="1:32" s="363" customFormat="1" ht="13.5" customHeight="1">
      <c r="A19" s="1074"/>
      <c r="B19" s="1074"/>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row>
    <row r="20" spans="1:32" s="363" customFormat="1" ht="13.5" customHeight="1">
      <c r="A20" s="360"/>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row>
    <row r="21" spans="1:32" s="369" customFormat="1" ht="13.5" customHeight="1">
      <c r="A21" s="368" t="s">
        <v>24</v>
      </c>
      <c r="B21" s="368"/>
      <c r="C21" s="368"/>
      <c r="D21" s="368"/>
      <c r="E21" s="368"/>
      <c r="F21" s="368"/>
      <c r="G21" s="368"/>
      <c r="H21" s="368"/>
      <c r="I21" s="368" t="s">
        <v>76</v>
      </c>
      <c r="J21" s="1081" t="e">
        <f ca="1">SUM(N23:T82)</f>
        <v>#N/A</v>
      </c>
      <c r="K21" s="1081"/>
      <c r="L21" s="1081"/>
      <c r="M21" s="1081"/>
      <c r="N21" s="1081"/>
      <c r="O21" s="1081"/>
      <c r="P21" s="1081"/>
      <c r="Q21" s="1081"/>
      <c r="R21" s="1081"/>
      <c r="S21" s="1081"/>
      <c r="T21" s="1081"/>
      <c r="U21" s="368" t="s">
        <v>25</v>
      </c>
      <c r="V21" s="368"/>
      <c r="W21" s="368"/>
      <c r="X21" s="368"/>
      <c r="Y21" s="368"/>
      <c r="Z21" s="368"/>
    </row>
    <row r="22" spans="1:32" s="363" customFormat="1" ht="13.5" customHeight="1">
      <c r="A22" s="360"/>
      <c r="B22" s="360" t="s">
        <v>77</v>
      </c>
      <c r="C22" s="360"/>
      <c r="D22" s="360"/>
      <c r="E22" s="360"/>
      <c r="F22" s="360"/>
      <c r="G22" s="360"/>
      <c r="H22" s="360"/>
      <c r="I22" s="360"/>
      <c r="J22" s="360"/>
      <c r="K22" s="360"/>
      <c r="L22" s="360"/>
      <c r="M22" s="360"/>
      <c r="N22" s="370"/>
      <c r="O22" s="370"/>
      <c r="P22" s="370"/>
      <c r="Q22" s="370"/>
      <c r="R22" s="370"/>
      <c r="S22" s="370"/>
      <c r="T22" s="370"/>
      <c r="U22" s="360"/>
      <c r="V22" s="360"/>
      <c r="W22" s="360"/>
      <c r="X22" s="360"/>
      <c r="Y22" s="360"/>
      <c r="Z22" s="360"/>
    </row>
    <row r="23" spans="1:32" s="363" customFormat="1" ht="13.5" customHeight="1">
      <c r="A23" s="360"/>
      <c r="B23" s="360"/>
      <c r="C23" s="360" t="s">
        <v>78</v>
      </c>
      <c r="D23" s="360"/>
      <c r="E23" s="360"/>
      <c r="F23" s="360"/>
      <c r="G23" s="360"/>
      <c r="H23" s="360"/>
      <c r="I23" s="360"/>
      <c r="J23" s="360"/>
      <c r="K23" s="360"/>
      <c r="L23" s="360"/>
      <c r="M23" s="360" t="s">
        <v>76</v>
      </c>
      <c r="N23" s="1075" t="e">
        <f ca="1">I250+I499</f>
        <v>#N/A</v>
      </c>
      <c r="O23" s="1075"/>
      <c r="P23" s="1075"/>
      <c r="Q23" s="1075"/>
      <c r="R23" s="1075"/>
      <c r="S23" s="1075"/>
      <c r="T23" s="1075"/>
      <c r="U23" s="360" t="s">
        <v>25</v>
      </c>
      <c r="V23" s="360"/>
      <c r="W23" s="360"/>
      <c r="X23" s="360"/>
      <c r="Y23" s="360"/>
      <c r="Z23" s="360"/>
    </row>
    <row r="24" spans="1:32" s="363" customFormat="1" ht="13.5" customHeight="1">
      <c r="A24" s="360"/>
      <c r="B24" s="360"/>
      <c r="C24" s="360" t="s">
        <v>79</v>
      </c>
      <c r="D24" s="360"/>
      <c r="E24" s="360"/>
      <c r="F24" s="360"/>
      <c r="G24" s="360"/>
      <c r="H24" s="360"/>
      <c r="I24" s="360"/>
      <c r="J24" s="360"/>
      <c r="K24" s="360"/>
      <c r="L24" s="360"/>
      <c r="M24" s="360" t="s">
        <v>76</v>
      </c>
      <c r="N24" s="1043"/>
      <c r="O24" s="1043"/>
      <c r="P24" s="1043"/>
      <c r="Q24" s="1043"/>
      <c r="R24" s="1043"/>
      <c r="S24" s="1043"/>
      <c r="T24" s="1043"/>
      <c r="U24" s="360" t="s">
        <v>25</v>
      </c>
      <c r="V24" s="360"/>
      <c r="W24" s="360"/>
      <c r="X24" s="360"/>
      <c r="Y24" s="360"/>
      <c r="Z24" s="360"/>
    </row>
    <row r="25" spans="1:32" s="363" customFormat="1" ht="13.5" customHeight="1">
      <c r="A25" s="360"/>
      <c r="B25" s="360"/>
      <c r="C25" s="360" t="s">
        <v>754</v>
      </c>
      <c r="D25" s="360"/>
      <c r="E25" s="360"/>
      <c r="F25" s="360"/>
      <c r="G25" s="360"/>
      <c r="H25" s="360"/>
      <c r="I25" s="360"/>
      <c r="J25" s="360"/>
      <c r="K25" s="360"/>
      <c r="L25" s="360"/>
      <c r="M25" s="360" t="s">
        <v>76</v>
      </c>
      <c r="N25" s="1043"/>
      <c r="O25" s="1043"/>
      <c r="P25" s="1043"/>
      <c r="Q25" s="1043"/>
      <c r="R25" s="1043"/>
      <c r="S25" s="1043"/>
      <c r="T25" s="1043"/>
      <c r="U25" s="360" t="s">
        <v>25</v>
      </c>
      <c r="V25" s="360"/>
      <c r="W25" s="360"/>
      <c r="X25" s="360"/>
      <c r="Y25" s="360"/>
      <c r="Z25" s="360"/>
    </row>
    <row r="26" spans="1:32" s="363" customFormat="1" ht="13.5" hidden="1" customHeight="1">
      <c r="A26" s="360"/>
      <c r="B26" s="360"/>
      <c r="C26" s="360" t="s">
        <v>81</v>
      </c>
      <c r="D26" s="360"/>
      <c r="E26" s="360"/>
      <c r="F26" s="360"/>
      <c r="G26" s="360"/>
      <c r="H26" s="360"/>
      <c r="I26" s="360"/>
      <c r="J26" s="360"/>
      <c r="K26" s="360"/>
      <c r="L26" s="360"/>
      <c r="M26" s="360"/>
      <c r="N26" s="360"/>
      <c r="O26" s="360"/>
      <c r="P26" s="360"/>
      <c r="Q26" s="360"/>
      <c r="R26" s="360"/>
      <c r="S26" s="360"/>
      <c r="T26" s="360"/>
      <c r="U26" s="360"/>
      <c r="V26" s="360"/>
      <c r="W26" s="360"/>
      <c r="X26" s="360"/>
      <c r="Y26" s="360"/>
      <c r="Z26" s="360"/>
    </row>
    <row r="27" spans="1:32" s="363" customFormat="1" ht="13.5" hidden="1" customHeight="1">
      <c r="A27" s="360"/>
      <c r="B27" s="360"/>
      <c r="C27" s="360"/>
      <c r="D27" s="360" t="s">
        <v>82</v>
      </c>
      <c r="E27" s="360"/>
      <c r="F27" s="360"/>
      <c r="G27" s="360"/>
      <c r="H27" s="360"/>
      <c r="I27" s="360"/>
      <c r="J27" s="360"/>
      <c r="K27" s="360"/>
      <c r="L27" s="360"/>
      <c r="M27" s="360" t="s">
        <v>76</v>
      </c>
      <c r="N27" s="1075"/>
      <c r="O27" s="1075"/>
      <c r="P27" s="1075"/>
      <c r="Q27" s="1075"/>
      <c r="R27" s="1075"/>
      <c r="S27" s="1075"/>
      <c r="T27" s="1075"/>
      <c r="U27" s="360" t="s">
        <v>25</v>
      </c>
      <c r="V27" s="360"/>
      <c r="W27" s="360"/>
      <c r="X27" s="360"/>
      <c r="Y27" s="360"/>
      <c r="Z27" s="360"/>
    </row>
    <row r="28" spans="1:32" s="363" customFormat="1" ht="13.5" hidden="1" customHeight="1">
      <c r="A28" s="360"/>
      <c r="B28" s="360"/>
      <c r="C28" s="360"/>
      <c r="D28" s="360"/>
      <c r="E28" s="360" t="s">
        <v>83</v>
      </c>
      <c r="F28" s="360"/>
      <c r="G28" s="360"/>
      <c r="H28" s="360"/>
      <c r="I28" s="360"/>
      <c r="J28" s="360"/>
      <c r="K28" s="360"/>
      <c r="L28" s="360"/>
      <c r="M28" s="360" t="s">
        <v>76</v>
      </c>
      <c r="N28" s="1075"/>
      <c r="O28" s="1075"/>
      <c r="P28" s="1075"/>
      <c r="Q28" s="1075"/>
      <c r="R28" s="1075"/>
      <c r="S28" s="1075"/>
      <c r="T28" s="1075"/>
      <c r="U28" s="360" t="s">
        <v>25</v>
      </c>
      <c r="V28" s="360"/>
      <c r="W28" s="360"/>
      <c r="X28" s="360"/>
      <c r="Y28" s="360"/>
      <c r="Z28" s="360"/>
    </row>
    <row r="29" spans="1:32" s="363" customFormat="1" ht="13.5" hidden="1" customHeight="1">
      <c r="A29" s="360"/>
      <c r="B29" s="360"/>
      <c r="C29" s="360"/>
      <c r="D29" s="360"/>
      <c r="E29" s="360" t="s">
        <v>84</v>
      </c>
      <c r="F29" s="360"/>
      <c r="G29" s="360"/>
      <c r="H29" s="360"/>
      <c r="I29" s="360"/>
      <c r="J29" s="360"/>
      <c r="K29" s="360"/>
      <c r="L29" s="360"/>
      <c r="M29" s="360" t="s">
        <v>76</v>
      </c>
      <c r="N29" s="1075"/>
      <c r="O29" s="1075"/>
      <c r="P29" s="1075"/>
      <c r="Q29" s="1075"/>
      <c r="R29" s="1075"/>
      <c r="S29" s="1075"/>
      <c r="T29" s="1075"/>
      <c r="U29" s="360" t="s">
        <v>25</v>
      </c>
      <c r="V29" s="360"/>
      <c r="W29" s="360"/>
      <c r="X29" s="360"/>
      <c r="Y29" s="360"/>
      <c r="Z29" s="360"/>
    </row>
    <row r="30" spans="1:32" s="363" customFormat="1" ht="13.5" hidden="1" customHeight="1">
      <c r="A30" s="360"/>
      <c r="B30" s="360"/>
      <c r="C30" s="360"/>
      <c r="D30" s="360"/>
      <c r="E30" s="360"/>
      <c r="F30" s="360" t="s">
        <v>85</v>
      </c>
      <c r="G30" s="361"/>
      <c r="H30" s="360" t="s">
        <v>86</v>
      </c>
      <c r="I30" s="360"/>
      <c r="J30" s="360"/>
      <c r="K30" s="360"/>
      <c r="L30" s="360"/>
      <c r="M30" s="360" t="s">
        <v>76</v>
      </c>
      <c r="N30" s="1043"/>
      <c r="O30" s="1043"/>
      <c r="P30" s="1043"/>
      <c r="Q30" s="1043"/>
      <c r="R30" s="1043"/>
      <c r="S30" s="1043"/>
      <c r="T30" s="1043"/>
      <c r="U30" s="360" t="s">
        <v>25</v>
      </c>
      <c r="V30" s="360"/>
      <c r="W30" s="360"/>
      <c r="X30" s="360"/>
      <c r="Y30" s="360"/>
      <c r="Z30" s="360"/>
    </row>
    <row r="31" spans="1:32" s="363" customFormat="1" ht="13.5" hidden="1" customHeight="1">
      <c r="A31" s="360"/>
      <c r="B31" s="360"/>
      <c r="C31" s="360"/>
      <c r="D31" s="360"/>
      <c r="E31" s="360"/>
      <c r="F31" s="360" t="s">
        <v>85</v>
      </c>
      <c r="G31" s="361"/>
      <c r="H31" s="360" t="s">
        <v>86</v>
      </c>
      <c r="I31" s="360"/>
      <c r="J31" s="360"/>
      <c r="K31" s="360"/>
      <c r="L31" s="360"/>
      <c r="M31" s="360" t="s">
        <v>76</v>
      </c>
      <c r="N31" s="1043"/>
      <c r="O31" s="1043"/>
      <c r="P31" s="1043"/>
      <c r="Q31" s="1043"/>
      <c r="R31" s="1043"/>
      <c r="S31" s="1043"/>
      <c r="T31" s="1043"/>
      <c r="U31" s="360" t="s">
        <v>25</v>
      </c>
      <c r="V31" s="360"/>
      <c r="W31" s="360"/>
      <c r="X31" s="360"/>
      <c r="Y31" s="360"/>
      <c r="Z31" s="360"/>
    </row>
    <row r="32" spans="1:32" s="363" customFormat="1" ht="13.5" hidden="1" customHeight="1">
      <c r="A32" s="360"/>
      <c r="B32" s="360"/>
      <c r="C32" s="360"/>
      <c r="D32" s="360"/>
      <c r="E32" s="360"/>
      <c r="F32" s="360" t="s">
        <v>85</v>
      </c>
      <c r="G32" s="361"/>
      <c r="H32" s="360" t="s">
        <v>86</v>
      </c>
      <c r="I32" s="360"/>
      <c r="J32" s="360"/>
      <c r="K32" s="360"/>
      <c r="L32" s="360"/>
      <c r="M32" s="360" t="s">
        <v>76</v>
      </c>
      <c r="N32" s="1043"/>
      <c r="O32" s="1043"/>
      <c r="P32" s="1043"/>
      <c r="Q32" s="1043"/>
      <c r="R32" s="1043"/>
      <c r="S32" s="1043"/>
      <c r="T32" s="1043"/>
      <c r="U32" s="360" t="s">
        <v>25</v>
      </c>
      <c r="V32" s="360"/>
      <c r="W32" s="360"/>
      <c r="X32" s="360"/>
      <c r="Y32" s="360"/>
      <c r="Z32" s="360"/>
    </row>
    <row r="33" spans="1:26" s="363" customFormat="1" ht="13.5" hidden="1" customHeight="1">
      <c r="A33" s="360"/>
      <c r="B33" s="360"/>
      <c r="C33" s="360"/>
      <c r="D33" s="360"/>
      <c r="E33" s="360"/>
      <c r="F33" s="360" t="s">
        <v>85</v>
      </c>
      <c r="G33" s="361"/>
      <c r="H33" s="360" t="s">
        <v>86</v>
      </c>
      <c r="I33" s="360"/>
      <c r="J33" s="360"/>
      <c r="K33" s="360"/>
      <c r="L33" s="360"/>
      <c r="M33" s="360" t="s">
        <v>76</v>
      </c>
      <c r="N33" s="1043"/>
      <c r="O33" s="1043"/>
      <c r="P33" s="1043"/>
      <c r="Q33" s="1043"/>
      <c r="R33" s="1043"/>
      <c r="S33" s="1043"/>
      <c r="T33" s="1043"/>
      <c r="U33" s="360" t="s">
        <v>25</v>
      </c>
      <c r="V33" s="360"/>
      <c r="W33" s="360"/>
      <c r="X33" s="360"/>
      <c r="Y33" s="360"/>
      <c r="Z33" s="360"/>
    </row>
    <row r="34" spans="1:26" s="363" customFormat="1" ht="13.5" hidden="1" customHeight="1">
      <c r="A34" s="360"/>
      <c r="B34" s="360"/>
      <c r="C34" s="360"/>
      <c r="D34" s="360"/>
      <c r="E34" s="360"/>
      <c r="F34" s="360" t="s">
        <v>85</v>
      </c>
      <c r="G34" s="361"/>
      <c r="H34" s="360" t="s">
        <v>86</v>
      </c>
      <c r="I34" s="360"/>
      <c r="J34" s="360"/>
      <c r="K34" s="360"/>
      <c r="L34" s="360"/>
      <c r="M34" s="360" t="s">
        <v>76</v>
      </c>
      <c r="N34" s="1043"/>
      <c r="O34" s="1043"/>
      <c r="P34" s="1043"/>
      <c r="Q34" s="1043"/>
      <c r="R34" s="1043"/>
      <c r="S34" s="1043"/>
      <c r="T34" s="1043"/>
      <c r="U34" s="360" t="s">
        <v>25</v>
      </c>
      <c r="V34" s="360"/>
      <c r="W34" s="360"/>
      <c r="X34" s="360"/>
      <c r="Y34" s="360"/>
      <c r="Z34" s="360"/>
    </row>
    <row r="35" spans="1:26" s="363" customFormat="1" ht="13.5" hidden="1" customHeight="1">
      <c r="A35" s="360"/>
      <c r="B35" s="360"/>
      <c r="C35" s="360"/>
      <c r="D35" s="360"/>
      <c r="E35" s="360"/>
      <c r="F35" s="360" t="s">
        <v>85</v>
      </c>
      <c r="G35" s="361"/>
      <c r="H35" s="360" t="s">
        <v>86</v>
      </c>
      <c r="I35" s="360"/>
      <c r="J35" s="360"/>
      <c r="K35" s="360"/>
      <c r="L35" s="360"/>
      <c r="M35" s="360" t="s">
        <v>76</v>
      </c>
      <c r="N35" s="1043"/>
      <c r="O35" s="1043"/>
      <c r="P35" s="1043"/>
      <c r="Q35" s="1043"/>
      <c r="R35" s="1043"/>
      <c r="S35" s="1043"/>
      <c r="T35" s="1043"/>
      <c r="U35" s="360" t="s">
        <v>25</v>
      </c>
      <c r="V35" s="360"/>
      <c r="W35" s="360"/>
      <c r="X35" s="360"/>
      <c r="Y35" s="360"/>
      <c r="Z35" s="360"/>
    </row>
    <row r="36" spans="1:26" s="363" customFormat="1" ht="13.5" hidden="1" customHeight="1">
      <c r="A36" s="360"/>
      <c r="B36" s="360"/>
      <c r="C36" s="360"/>
      <c r="D36" s="360"/>
      <c r="E36" s="360"/>
      <c r="F36" s="360" t="s">
        <v>85</v>
      </c>
      <c r="G36" s="361"/>
      <c r="H36" s="360" t="s">
        <v>86</v>
      </c>
      <c r="I36" s="360"/>
      <c r="J36" s="360"/>
      <c r="K36" s="360"/>
      <c r="L36" s="360"/>
      <c r="M36" s="360" t="s">
        <v>76</v>
      </c>
      <c r="N36" s="1043"/>
      <c r="O36" s="1043"/>
      <c r="P36" s="1043"/>
      <c r="Q36" s="1043"/>
      <c r="R36" s="1043"/>
      <c r="S36" s="1043"/>
      <c r="T36" s="1043"/>
      <c r="U36" s="360" t="s">
        <v>25</v>
      </c>
      <c r="V36" s="360"/>
      <c r="W36" s="360"/>
      <c r="X36" s="360"/>
      <c r="Y36" s="360"/>
      <c r="Z36" s="360"/>
    </row>
    <row r="37" spans="1:26" s="363" customFormat="1" ht="13.5" hidden="1" customHeight="1">
      <c r="A37" s="360"/>
      <c r="B37" s="360"/>
      <c r="C37" s="360"/>
      <c r="D37" s="360"/>
      <c r="E37" s="360"/>
      <c r="F37" s="360" t="s">
        <v>85</v>
      </c>
      <c r="G37" s="361"/>
      <c r="H37" s="360" t="s">
        <v>86</v>
      </c>
      <c r="I37" s="360"/>
      <c r="J37" s="360"/>
      <c r="K37" s="360"/>
      <c r="L37" s="360"/>
      <c r="M37" s="360" t="s">
        <v>76</v>
      </c>
      <c r="N37" s="1043"/>
      <c r="O37" s="1043"/>
      <c r="P37" s="1043"/>
      <c r="Q37" s="1043"/>
      <c r="R37" s="1043"/>
      <c r="S37" s="1043"/>
      <c r="T37" s="1043"/>
      <c r="U37" s="360" t="s">
        <v>25</v>
      </c>
      <c r="V37" s="360"/>
      <c r="W37" s="360"/>
      <c r="X37" s="360"/>
      <c r="Y37" s="360"/>
      <c r="Z37" s="360"/>
    </row>
    <row r="38" spans="1:26" s="363" customFormat="1" ht="13.5" hidden="1" customHeight="1">
      <c r="A38" s="360"/>
      <c r="B38" s="360"/>
      <c r="C38" s="360"/>
      <c r="D38" s="360"/>
      <c r="E38" s="360"/>
      <c r="F38" s="360" t="s">
        <v>85</v>
      </c>
      <c r="G38" s="361"/>
      <c r="H38" s="360" t="s">
        <v>86</v>
      </c>
      <c r="I38" s="360"/>
      <c r="J38" s="360"/>
      <c r="K38" s="360"/>
      <c r="L38" s="360"/>
      <c r="M38" s="360" t="s">
        <v>76</v>
      </c>
      <c r="N38" s="1043"/>
      <c r="O38" s="1043"/>
      <c r="P38" s="1043"/>
      <c r="Q38" s="1043"/>
      <c r="R38" s="1043"/>
      <c r="S38" s="1043"/>
      <c r="T38" s="1043"/>
      <c r="U38" s="360" t="s">
        <v>25</v>
      </c>
      <c r="V38" s="360"/>
      <c r="W38" s="360"/>
      <c r="X38" s="360"/>
      <c r="Y38" s="360"/>
      <c r="Z38" s="360"/>
    </row>
    <row r="39" spans="1:26" s="363" customFormat="1" ht="13.5" hidden="1" customHeight="1">
      <c r="A39" s="360"/>
      <c r="B39" s="360"/>
      <c r="C39" s="360"/>
      <c r="D39" s="360"/>
      <c r="E39" s="360"/>
      <c r="F39" s="360" t="s">
        <v>85</v>
      </c>
      <c r="G39" s="361"/>
      <c r="H39" s="360" t="s">
        <v>86</v>
      </c>
      <c r="I39" s="360"/>
      <c r="J39" s="360"/>
      <c r="K39" s="360"/>
      <c r="L39" s="360"/>
      <c r="M39" s="360" t="s">
        <v>76</v>
      </c>
      <c r="N39" s="1043"/>
      <c r="O39" s="1043"/>
      <c r="P39" s="1043"/>
      <c r="Q39" s="1043"/>
      <c r="R39" s="1043"/>
      <c r="S39" s="1043"/>
      <c r="T39" s="1043"/>
      <c r="U39" s="360" t="s">
        <v>25</v>
      </c>
      <c r="V39" s="360"/>
      <c r="W39" s="360"/>
      <c r="X39" s="360"/>
      <c r="Y39" s="360"/>
      <c r="Z39" s="360"/>
    </row>
    <row r="40" spans="1:26" s="363" customFormat="1" ht="13.5" hidden="1" customHeight="1">
      <c r="A40" s="360"/>
      <c r="B40" s="360"/>
      <c r="C40" s="360"/>
      <c r="D40" s="360"/>
      <c r="E40" s="360"/>
      <c r="F40" s="360" t="s">
        <v>85</v>
      </c>
      <c r="G40" s="361"/>
      <c r="H40" s="360" t="s">
        <v>86</v>
      </c>
      <c r="I40" s="360"/>
      <c r="J40" s="360"/>
      <c r="K40" s="360"/>
      <c r="L40" s="360"/>
      <c r="M40" s="360" t="s">
        <v>76</v>
      </c>
      <c r="N40" s="1043"/>
      <c r="O40" s="1043"/>
      <c r="P40" s="1043"/>
      <c r="Q40" s="1043"/>
      <c r="R40" s="1043"/>
      <c r="S40" s="1043"/>
      <c r="T40" s="1043"/>
      <c r="U40" s="360" t="s">
        <v>25</v>
      </c>
      <c r="V40" s="360"/>
      <c r="W40" s="360"/>
      <c r="X40" s="360"/>
      <c r="Y40" s="360"/>
      <c r="Z40" s="360"/>
    </row>
    <row r="41" spans="1:26" s="363" customFormat="1" ht="13.5" hidden="1" customHeight="1">
      <c r="A41" s="360"/>
      <c r="B41" s="360"/>
      <c r="C41" s="360"/>
      <c r="D41" s="360"/>
      <c r="E41" s="360"/>
      <c r="F41" s="360" t="s">
        <v>85</v>
      </c>
      <c r="G41" s="361"/>
      <c r="H41" s="360" t="s">
        <v>86</v>
      </c>
      <c r="I41" s="360"/>
      <c r="J41" s="360"/>
      <c r="K41" s="360"/>
      <c r="L41" s="360"/>
      <c r="M41" s="360" t="s">
        <v>76</v>
      </c>
      <c r="N41" s="1043"/>
      <c r="O41" s="1043"/>
      <c r="P41" s="1043"/>
      <c r="Q41" s="1043"/>
      <c r="R41" s="1043"/>
      <c r="S41" s="1043"/>
      <c r="T41" s="1043"/>
      <c r="U41" s="360" t="s">
        <v>25</v>
      </c>
      <c r="V41" s="360"/>
      <c r="W41" s="360"/>
      <c r="X41" s="360"/>
      <c r="Y41" s="360"/>
      <c r="Z41" s="360"/>
    </row>
    <row r="42" spans="1:26" s="363" customFormat="1" ht="13.5" hidden="1" customHeight="1">
      <c r="A42" s="360"/>
      <c r="B42" s="360"/>
      <c r="C42" s="360"/>
      <c r="D42" s="360"/>
      <c r="E42" s="360" t="s">
        <v>87</v>
      </c>
      <c r="F42" s="360"/>
      <c r="G42" s="360"/>
      <c r="H42" s="360"/>
      <c r="I42" s="360"/>
      <c r="J42" s="360"/>
      <c r="K42" s="360"/>
      <c r="L42" s="360"/>
      <c r="M42" s="360" t="s">
        <v>76</v>
      </c>
      <c r="N42" s="1075"/>
      <c r="O42" s="1075"/>
      <c r="P42" s="1075"/>
      <c r="Q42" s="1075"/>
      <c r="R42" s="1075"/>
      <c r="S42" s="1075"/>
      <c r="T42" s="1075"/>
      <c r="U42" s="360" t="s">
        <v>25</v>
      </c>
      <c r="V42" s="360"/>
      <c r="W42" s="360"/>
      <c r="X42" s="360"/>
      <c r="Y42" s="360"/>
      <c r="Z42" s="360"/>
    </row>
    <row r="43" spans="1:26" s="363" customFormat="1" ht="13.5" hidden="1" customHeight="1">
      <c r="A43" s="360"/>
      <c r="B43" s="360"/>
      <c r="C43" s="360"/>
      <c r="D43" s="360"/>
      <c r="E43" s="360"/>
      <c r="F43" s="360" t="s">
        <v>85</v>
      </c>
      <c r="G43" s="361"/>
      <c r="H43" s="360" t="s">
        <v>88</v>
      </c>
      <c r="I43" s="360"/>
      <c r="J43" s="360"/>
      <c r="K43" s="360"/>
      <c r="L43" s="360"/>
      <c r="M43" s="360" t="s">
        <v>76</v>
      </c>
      <c r="N43" s="1043"/>
      <c r="O43" s="1043"/>
      <c r="P43" s="1043"/>
      <c r="Q43" s="1043"/>
      <c r="R43" s="1043"/>
      <c r="S43" s="1043"/>
      <c r="T43" s="1043"/>
      <c r="U43" s="360" t="s">
        <v>25</v>
      </c>
      <c r="V43" s="360"/>
      <c r="W43" s="360"/>
      <c r="X43" s="360"/>
      <c r="Y43" s="360"/>
      <c r="Z43" s="360"/>
    </row>
    <row r="44" spans="1:26" s="363" customFormat="1" ht="13.5" hidden="1" customHeight="1">
      <c r="A44" s="360"/>
      <c r="B44" s="360"/>
      <c r="C44" s="360"/>
      <c r="D44" s="360"/>
      <c r="E44" s="360"/>
      <c r="F44" s="360" t="s">
        <v>85</v>
      </c>
      <c r="G44" s="361"/>
      <c r="H44" s="360" t="s">
        <v>88</v>
      </c>
      <c r="I44" s="360"/>
      <c r="J44" s="360"/>
      <c r="K44" s="360"/>
      <c r="L44" s="360"/>
      <c r="M44" s="360" t="s">
        <v>76</v>
      </c>
      <c r="N44" s="1043"/>
      <c r="O44" s="1043"/>
      <c r="P44" s="1043"/>
      <c r="Q44" s="1043"/>
      <c r="R44" s="1043"/>
      <c r="S44" s="1043"/>
      <c r="T44" s="1043"/>
      <c r="U44" s="360" t="s">
        <v>25</v>
      </c>
      <c r="V44" s="360"/>
      <c r="W44" s="360"/>
      <c r="X44" s="360"/>
      <c r="Y44" s="360"/>
      <c r="Z44" s="360"/>
    </row>
    <row r="45" spans="1:26" s="363" customFormat="1" ht="13.5" hidden="1" customHeight="1">
      <c r="A45" s="360"/>
      <c r="B45" s="360"/>
      <c r="C45" s="360"/>
      <c r="D45" s="360"/>
      <c r="E45" s="360"/>
      <c r="F45" s="360" t="s">
        <v>85</v>
      </c>
      <c r="G45" s="361"/>
      <c r="H45" s="360" t="s">
        <v>88</v>
      </c>
      <c r="I45" s="360"/>
      <c r="J45" s="360"/>
      <c r="K45" s="360"/>
      <c r="L45" s="360"/>
      <c r="M45" s="360" t="s">
        <v>76</v>
      </c>
      <c r="N45" s="1043"/>
      <c r="O45" s="1043"/>
      <c r="P45" s="1043"/>
      <c r="Q45" s="1043"/>
      <c r="R45" s="1043"/>
      <c r="S45" s="1043"/>
      <c r="T45" s="1043"/>
      <c r="U45" s="360" t="s">
        <v>25</v>
      </c>
      <c r="V45" s="360"/>
      <c r="W45" s="360"/>
      <c r="X45" s="360"/>
      <c r="Y45" s="360"/>
      <c r="Z45" s="360"/>
    </row>
    <row r="46" spans="1:26" s="363" customFormat="1" ht="13.5" hidden="1" customHeight="1">
      <c r="A46" s="360"/>
      <c r="B46" s="360"/>
      <c r="C46" s="360"/>
      <c r="D46" s="360"/>
      <c r="E46" s="360"/>
      <c r="F46" s="360" t="s">
        <v>85</v>
      </c>
      <c r="G46" s="361"/>
      <c r="H46" s="360" t="s">
        <v>88</v>
      </c>
      <c r="I46" s="360"/>
      <c r="J46" s="360"/>
      <c r="K46" s="360"/>
      <c r="L46" s="360"/>
      <c r="M46" s="360" t="s">
        <v>76</v>
      </c>
      <c r="N46" s="1043"/>
      <c r="O46" s="1043"/>
      <c r="P46" s="1043"/>
      <c r="Q46" s="1043"/>
      <c r="R46" s="1043"/>
      <c r="S46" s="1043"/>
      <c r="T46" s="1043"/>
      <c r="U46" s="360" t="s">
        <v>25</v>
      </c>
      <c r="V46" s="360"/>
      <c r="W46" s="360"/>
      <c r="X46" s="360"/>
      <c r="Y46" s="360"/>
      <c r="Z46" s="360"/>
    </row>
    <row r="47" spans="1:26" s="363" customFormat="1" ht="13.5" hidden="1" customHeight="1">
      <c r="A47" s="360"/>
      <c r="B47" s="360"/>
      <c r="C47" s="360"/>
      <c r="D47" s="360"/>
      <c r="E47" s="360"/>
      <c r="F47" s="360" t="s">
        <v>85</v>
      </c>
      <c r="G47" s="361"/>
      <c r="H47" s="360" t="s">
        <v>88</v>
      </c>
      <c r="I47" s="360"/>
      <c r="J47" s="360"/>
      <c r="K47" s="360"/>
      <c r="L47" s="360"/>
      <c r="M47" s="360" t="s">
        <v>76</v>
      </c>
      <c r="N47" s="1043"/>
      <c r="O47" s="1043"/>
      <c r="P47" s="1043"/>
      <c r="Q47" s="1043"/>
      <c r="R47" s="1043"/>
      <c r="S47" s="1043"/>
      <c r="T47" s="1043"/>
      <c r="U47" s="360" t="s">
        <v>25</v>
      </c>
      <c r="V47" s="360"/>
      <c r="W47" s="360"/>
      <c r="X47" s="360"/>
      <c r="Y47" s="360"/>
      <c r="Z47" s="360"/>
    </row>
    <row r="48" spans="1:26" s="363" customFormat="1" ht="13.5" hidden="1" customHeight="1">
      <c r="A48" s="360"/>
      <c r="B48" s="360"/>
      <c r="C48" s="360"/>
      <c r="D48" s="360"/>
      <c r="E48" s="360"/>
      <c r="F48" s="360" t="s">
        <v>85</v>
      </c>
      <c r="G48" s="361"/>
      <c r="H48" s="360" t="s">
        <v>88</v>
      </c>
      <c r="I48" s="360"/>
      <c r="J48" s="360"/>
      <c r="K48" s="360"/>
      <c r="L48" s="360"/>
      <c r="M48" s="360" t="s">
        <v>76</v>
      </c>
      <c r="N48" s="1043"/>
      <c r="O48" s="1043"/>
      <c r="P48" s="1043"/>
      <c r="Q48" s="1043"/>
      <c r="R48" s="1043"/>
      <c r="S48" s="1043"/>
      <c r="T48" s="1043"/>
      <c r="U48" s="360" t="s">
        <v>25</v>
      </c>
      <c r="V48" s="360"/>
      <c r="W48" s="360"/>
      <c r="X48" s="360"/>
      <c r="Y48" s="360"/>
      <c r="Z48" s="360"/>
    </row>
    <row r="49" spans="1:26" s="363" customFormat="1" ht="13.5" hidden="1" customHeight="1">
      <c r="A49" s="360"/>
      <c r="B49" s="360"/>
      <c r="C49" s="360"/>
      <c r="D49" s="360"/>
      <c r="E49" s="360"/>
      <c r="F49" s="360" t="s">
        <v>85</v>
      </c>
      <c r="G49" s="361"/>
      <c r="H49" s="360" t="s">
        <v>88</v>
      </c>
      <c r="I49" s="360"/>
      <c r="J49" s="360"/>
      <c r="K49" s="360"/>
      <c r="L49" s="360"/>
      <c r="M49" s="360" t="s">
        <v>76</v>
      </c>
      <c r="N49" s="1043"/>
      <c r="O49" s="1043"/>
      <c r="P49" s="1043"/>
      <c r="Q49" s="1043"/>
      <c r="R49" s="1043"/>
      <c r="S49" s="1043"/>
      <c r="T49" s="1043"/>
      <c r="U49" s="360" t="s">
        <v>25</v>
      </c>
      <c r="V49" s="360"/>
      <c r="W49" s="360"/>
      <c r="X49" s="360"/>
      <c r="Y49" s="360"/>
      <c r="Z49" s="360"/>
    </row>
    <row r="50" spans="1:26" s="363" customFormat="1" ht="13.5" hidden="1" customHeight="1">
      <c r="A50" s="360"/>
      <c r="B50" s="360"/>
      <c r="C50" s="360"/>
      <c r="D50" s="360"/>
      <c r="E50" s="360"/>
      <c r="F50" s="360" t="s">
        <v>85</v>
      </c>
      <c r="G50" s="361"/>
      <c r="H50" s="360" t="s">
        <v>88</v>
      </c>
      <c r="I50" s="360"/>
      <c r="J50" s="360"/>
      <c r="K50" s="360"/>
      <c r="L50" s="360"/>
      <c r="M50" s="360" t="s">
        <v>76</v>
      </c>
      <c r="N50" s="1043"/>
      <c r="O50" s="1043"/>
      <c r="P50" s="1043"/>
      <c r="Q50" s="1043"/>
      <c r="R50" s="1043"/>
      <c r="S50" s="1043"/>
      <c r="T50" s="1043"/>
      <c r="U50" s="360" t="s">
        <v>25</v>
      </c>
      <c r="V50" s="360"/>
      <c r="W50" s="360"/>
      <c r="X50" s="360"/>
      <c r="Y50" s="360"/>
      <c r="Z50" s="360"/>
    </row>
    <row r="51" spans="1:26" s="363" customFormat="1" ht="13.5" hidden="1" customHeight="1">
      <c r="A51" s="360"/>
      <c r="B51" s="360"/>
      <c r="C51" s="360"/>
      <c r="D51" s="360"/>
      <c r="E51" s="360"/>
      <c r="F51" s="360" t="s">
        <v>85</v>
      </c>
      <c r="G51" s="361"/>
      <c r="H51" s="360" t="s">
        <v>88</v>
      </c>
      <c r="I51" s="360"/>
      <c r="J51" s="360"/>
      <c r="K51" s="360"/>
      <c r="L51" s="360"/>
      <c r="M51" s="360" t="s">
        <v>76</v>
      </c>
      <c r="N51" s="1043"/>
      <c r="O51" s="1043"/>
      <c r="P51" s="1043"/>
      <c r="Q51" s="1043"/>
      <c r="R51" s="1043"/>
      <c r="S51" s="1043"/>
      <c r="T51" s="1043"/>
      <c r="U51" s="360" t="s">
        <v>25</v>
      </c>
      <c r="V51" s="360"/>
      <c r="W51" s="360"/>
      <c r="X51" s="360"/>
      <c r="Y51" s="360"/>
      <c r="Z51" s="360"/>
    </row>
    <row r="52" spans="1:26" s="363" customFormat="1" ht="13.5" hidden="1" customHeight="1">
      <c r="A52" s="360"/>
      <c r="B52" s="360"/>
      <c r="C52" s="360"/>
      <c r="D52" s="360"/>
      <c r="E52" s="360"/>
      <c r="F52" s="360" t="s">
        <v>85</v>
      </c>
      <c r="G52" s="361"/>
      <c r="H52" s="360" t="s">
        <v>88</v>
      </c>
      <c r="I52" s="360"/>
      <c r="J52" s="360"/>
      <c r="K52" s="360"/>
      <c r="L52" s="360"/>
      <c r="M52" s="360" t="s">
        <v>76</v>
      </c>
      <c r="N52" s="1043"/>
      <c r="O52" s="1043"/>
      <c r="P52" s="1043"/>
      <c r="Q52" s="1043"/>
      <c r="R52" s="1043"/>
      <c r="S52" s="1043"/>
      <c r="T52" s="1043"/>
      <c r="U52" s="360" t="s">
        <v>25</v>
      </c>
      <c r="V52" s="360"/>
      <c r="W52" s="360"/>
      <c r="X52" s="360"/>
      <c r="Y52" s="360"/>
      <c r="Z52" s="360"/>
    </row>
    <row r="53" spans="1:26" s="363" customFormat="1" ht="13.5" hidden="1" customHeight="1">
      <c r="A53" s="360"/>
      <c r="B53" s="360"/>
      <c r="C53" s="360"/>
      <c r="D53" s="360"/>
      <c r="E53" s="360"/>
      <c r="F53" s="360" t="s">
        <v>85</v>
      </c>
      <c r="G53" s="361"/>
      <c r="H53" s="360" t="s">
        <v>88</v>
      </c>
      <c r="I53" s="360"/>
      <c r="J53" s="360"/>
      <c r="K53" s="360"/>
      <c r="L53" s="360"/>
      <c r="M53" s="360" t="s">
        <v>76</v>
      </c>
      <c r="N53" s="1043"/>
      <c r="O53" s="1043"/>
      <c r="P53" s="1043"/>
      <c r="Q53" s="1043"/>
      <c r="R53" s="1043"/>
      <c r="S53" s="1043"/>
      <c r="T53" s="1043"/>
      <c r="U53" s="360" t="s">
        <v>25</v>
      </c>
      <c r="V53" s="360"/>
      <c r="W53" s="360"/>
      <c r="X53" s="360"/>
      <c r="Y53" s="360"/>
      <c r="Z53" s="360"/>
    </row>
    <row r="54" spans="1:26" s="363" customFormat="1" ht="13.5" hidden="1" customHeight="1">
      <c r="A54" s="360"/>
      <c r="B54" s="360"/>
      <c r="C54" s="360"/>
      <c r="D54" s="360"/>
      <c r="E54" s="360"/>
      <c r="F54" s="360" t="s">
        <v>85</v>
      </c>
      <c r="G54" s="361"/>
      <c r="H54" s="360" t="s">
        <v>88</v>
      </c>
      <c r="I54" s="360"/>
      <c r="J54" s="360"/>
      <c r="K54" s="360"/>
      <c r="L54" s="360"/>
      <c r="M54" s="360" t="s">
        <v>76</v>
      </c>
      <c r="N54" s="1043"/>
      <c r="O54" s="1043"/>
      <c r="P54" s="1043"/>
      <c r="Q54" s="1043"/>
      <c r="R54" s="1043"/>
      <c r="S54" s="1043"/>
      <c r="T54" s="1043"/>
      <c r="U54" s="360" t="s">
        <v>25</v>
      </c>
      <c r="V54" s="360"/>
      <c r="W54" s="360"/>
      <c r="X54" s="360"/>
      <c r="Y54" s="360"/>
      <c r="Z54" s="360"/>
    </row>
    <row r="55" spans="1:26" s="363" customFormat="1" ht="13.5" hidden="1" customHeight="1">
      <c r="A55" s="360"/>
      <c r="B55" s="360"/>
      <c r="C55" s="360"/>
      <c r="D55" s="360" t="s">
        <v>89</v>
      </c>
      <c r="E55" s="360"/>
      <c r="F55" s="360"/>
      <c r="G55" s="360"/>
      <c r="H55" s="360"/>
      <c r="I55" s="360"/>
      <c r="J55" s="360"/>
      <c r="K55" s="360"/>
      <c r="L55" s="360"/>
      <c r="M55" s="360" t="s">
        <v>76</v>
      </c>
      <c r="N55" s="1075" t="str">
        <f>IF(SUM(N56,N57,N70)=0,"",SUM(N56,N57,N70))</f>
        <v/>
      </c>
      <c r="O55" s="1075"/>
      <c r="P55" s="1075"/>
      <c r="Q55" s="1075"/>
      <c r="R55" s="1075"/>
      <c r="S55" s="1075"/>
      <c r="T55" s="1075"/>
      <c r="U55" s="360" t="s">
        <v>25</v>
      </c>
      <c r="V55" s="360"/>
      <c r="W55" s="360"/>
      <c r="X55" s="360"/>
      <c r="Y55" s="360"/>
      <c r="Z55" s="360"/>
    </row>
    <row r="56" spans="1:26" s="363" customFormat="1" ht="13.5" hidden="1" customHeight="1">
      <c r="A56" s="360"/>
      <c r="B56" s="360"/>
      <c r="C56" s="360"/>
      <c r="D56" s="360"/>
      <c r="E56" s="360" t="s">
        <v>83</v>
      </c>
      <c r="F56" s="360"/>
      <c r="G56" s="360"/>
      <c r="H56" s="360"/>
      <c r="I56" s="360"/>
      <c r="J56" s="360"/>
      <c r="K56" s="360"/>
      <c r="L56" s="360"/>
      <c r="M56" s="360" t="s">
        <v>76</v>
      </c>
      <c r="N56" s="1075"/>
      <c r="O56" s="1075"/>
      <c r="P56" s="1075"/>
      <c r="Q56" s="1075"/>
      <c r="R56" s="1075"/>
      <c r="S56" s="1075"/>
      <c r="T56" s="1075"/>
      <c r="U56" s="360" t="s">
        <v>25</v>
      </c>
      <c r="V56" s="360"/>
      <c r="W56" s="360"/>
      <c r="X56" s="360"/>
      <c r="Y56" s="360"/>
      <c r="Z56" s="360"/>
    </row>
    <row r="57" spans="1:26" s="363" customFormat="1" ht="13.5" hidden="1" customHeight="1">
      <c r="A57" s="360"/>
      <c r="B57" s="360"/>
      <c r="C57" s="360"/>
      <c r="D57" s="360"/>
      <c r="E57" s="360" t="s">
        <v>84</v>
      </c>
      <c r="F57" s="360"/>
      <c r="G57" s="360"/>
      <c r="H57" s="360"/>
      <c r="I57" s="360"/>
      <c r="J57" s="360"/>
      <c r="K57" s="360"/>
      <c r="L57" s="360"/>
      <c r="M57" s="360" t="s">
        <v>76</v>
      </c>
      <c r="N57" s="1075" t="str">
        <f>IF(SUM(N58:T69)=0,"",SUM(N58:T69))</f>
        <v/>
      </c>
      <c r="O57" s="1075"/>
      <c r="P57" s="1075"/>
      <c r="Q57" s="1075"/>
      <c r="R57" s="1075"/>
      <c r="S57" s="1075"/>
      <c r="T57" s="1075"/>
      <c r="U57" s="360" t="s">
        <v>25</v>
      </c>
      <c r="V57" s="360"/>
      <c r="W57" s="360"/>
      <c r="X57" s="360"/>
      <c r="Y57" s="360"/>
      <c r="Z57" s="360"/>
    </row>
    <row r="58" spans="1:26" s="363" customFormat="1" ht="13.5" hidden="1" customHeight="1">
      <c r="A58" s="360"/>
      <c r="B58" s="360"/>
      <c r="C58" s="360"/>
      <c r="D58" s="360"/>
      <c r="E58" s="360"/>
      <c r="F58" s="360" t="s">
        <v>85</v>
      </c>
      <c r="G58" s="361"/>
      <c r="H58" s="360" t="s">
        <v>86</v>
      </c>
      <c r="I58" s="360"/>
      <c r="J58" s="360"/>
      <c r="K58" s="360"/>
      <c r="L58" s="360"/>
      <c r="M58" s="360" t="s">
        <v>76</v>
      </c>
      <c r="N58" s="1043"/>
      <c r="O58" s="1043"/>
      <c r="P58" s="1043"/>
      <c r="Q58" s="1043"/>
      <c r="R58" s="1043"/>
      <c r="S58" s="1043"/>
      <c r="T58" s="1043"/>
      <c r="U58" s="360" t="s">
        <v>25</v>
      </c>
      <c r="V58" s="360"/>
      <c r="W58" s="360"/>
      <c r="X58" s="360"/>
      <c r="Y58" s="360"/>
      <c r="Z58" s="360"/>
    </row>
    <row r="59" spans="1:26" s="363" customFormat="1" ht="13.5" hidden="1" customHeight="1">
      <c r="A59" s="360"/>
      <c r="B59" s="360"/>
      <c r="C59" s="360"/>
      <c r="D59" s="360"/>
      <c r="E59" s="360"/>
      <c r="F59" s="360" t="s">
        <v>85</v>
      </c>
      <c r="G59" s="361"/>
      <c r="H59" s="360" t="s">
        <v>86</v>
      </c>
      <c r="I59" s="360"/>
      <c r="J59" s="360"/>
      <c r="K59" s="360"/>
      <c r="L59" s="360"/>
      <c r="M59" s="360" t="s">
        <v>76</v>
      </c>
      <c r="N59" s="1043"/>
      <c r="O59" s="1043"/>
      <c r="P59" s="1043"/>
      <c r="Q59" s="1043"/>
      <c r="R59" s="1043"/>
      <c r="S59" s="1043"/>
      <c r="T59" s="1043"/>
      <c r="U59" s="360" t="s">
        <v>25</v>
      </c>
      <c r="V59" s="360"/>
      <c r="W59" s="360"/>
      <c r="X59" s="360"/>
      <c r="Y59" s="360"/>
      <c r="Z59" s="360"/>
    </row>
    <row r="60" spans="1:26" s="363" customFormat="1" ht="13.5" hidden="1" customHeight="1">
      <c r="A60" s="360"/>
      <c r="B60" s="360"/>
      <c r="C60" s="360"/>
      <c r="D60" s="360"/>
      <c r="E60" s="360"/>
      <c r="F60" s="360" t="s">
        <v>85</v>
      </c>
      <c r="G60" s="361"/>
      <c r="H60" s="360" t="s">
        <v>86</v>
      </c>
      <c r="I60" s="360"/>
      <c r="J60" s="360"/>
      <c r="K60" s="360"/>
      <c r="L60" s="360"/>
      <c r="M60" s="360" t="s">
        <v>76</v>
      </c>
      <c r="N60" s="1043"/>
      <c r="O60" s="1043"/>
      <c r="P60" s="1043"/>
      <c r="Q60" s="1043"/>
      <c r="R60" s="1043"/>
      <c r="S60" s="1043"/>
      <c r="T60" s="1043"/>
      <c r="U60" s="360" t="s">
        <v>25</v>
      </c>
      <c r="V60" s="360"/>
      <c r="W60" s="360"/>
      <c r="X60" s="360"/>
      <c r="Y60" s="360"/>
      <c r="Z60" s="360"/>
    </row>
    <row r="61" spans="1:26" s="363" customFormat="1" ht="13.5" hidden="1" customHeight="1">
      <c r="A61" s="360"/>
      <c r="B61" s="360"/>
      <c r="C61" s="360"/>
      <c r="D61" s="360"/>
      <c r="E61" s="360"/>
      <c r="F61" s="360" t="s">
        <v>85</v>
      </c>
      <c r="G61" s="361"/>
      <c r="H61" s="360" t="s">
        <v>86</v>
      </c>
      <c r="I61" s="360"/>
      <c r="J61" s="360"/>
      <c r="K61" s="360"/>
      <c r="L61" s="360"/>
      <c r="M61" s="360" t="s">
        <v>76</v>
      </c>
      <c r="N61" s="1043"/>
      <c r="O61" s="1043"/>
      <c r="P61" s="1043"/>
      <c r="Q61" s="1043"/>
      <c r="R61" s="1043"/>
      <c r="S61" s="1043"/>
      <c r="T61" s="1043"/>
      <c r="U61" s="360" t="s">
        <v>25</v>
      </c>
      <c r="V61" s="360"/>
      <c r="W61" s="360"/>
      <c r="X61" s="360"/>
      <c r="Y61" s="360"/>
      <c r="Z61" s="360"/>
    </row>
    <row r="62" spans="1:26" s="363" customFormat="1" ht="13.5" hidden="1" customHeight="1">
      <c r="A62" s="360"/>
      <c r="B62" s="360"/>
      <c r="C62" s="360"/>
      <c r="D62" s="360"/>
      <c r="E62" s="360"/>
      <c r="F62" s="360" t="s">
        <v>85</v>
      </c>
      <c r="G62" s="361"/>
      <c r="H62" s="360" t="s">
        <v>86</v>
      </c>
      <c r="I62" s="360"/>
      <c r="J62" s="360"/>
      <c r="K62" s="360"/>
      <c r="L62" s="360"/>
      <c r="M62" s="360" t="s">
        <v>76</v>
      </c>
      <c r="N62" s="1043"/>
      <c r="O62" s="1043"/>
      <c r="P62" s="1043"/>
      <c r="Q62" s="1043"/>
      <c r="R62" s="1043"/>
      <c r="S62" s="1043"/>
      <c r="T62" s="1043"/>
      <c r="U62" s="360" t="s">
        <v>25</v>
      </c>
      <c r="V62" s="360"/>
      <c r="W62" s="360"/>
      <c r="X62" s="360"/>
      <c r="Y62" s="360"/>
      <c r="Z62" s="360"/>
    </row>
    <row r="63" spans="1:26" s="363" customFormat="1" ht="13.5" hidden="1" customHeight="1">
      <c r="A63" s="360"/>
      <c r="B63" s="360"/>
      <c r="C63" s="360"/>
      <c r="D63" s="360"/>
      <c r="E63" s="360"/>
      <c r="F63" s="360" t="s">
        <v>85</v>
      </c>
      <c r="G63" s="361"/>
      <c r="H63" s="360" t="s">
        <v>86</v>
      </c>
      <c r="I63" s="360"/>
      <c r="J63" s="360"/>
      <c r="K63" s="360"/>
      <c r="L63" s="360"/>
      <c r="M63" s="360" t="s">
        <v>76</v>
      </c>
      <c r="N63" s="1043"/>
      <c r="O63" s="1043"/>
      <c r="P63" s="1043"/>
      <c r="Q63" s="1043"/>
      <c r="R63" s="1043"/>
      <c r="S63" s="1043"/>
      <c r="T63" s="1043"/>
      <c r="U63" s="360" t="s">
        <v>25</v>
      </c>
      <c r="V63" s="360"/>
      <c r="W63" s="360"/>
      <c r="X63" s="360"/>
      <c r="Y63" s="360"/>
      <c r="Z63" s="360"/>
    </row>
    <row r="64" spans="1:26" s="363" customFormat="1" ht="13.5" hidden="1" customHeight="1">
      <c r="A64" s="360"/>
      <c r="B64" s="360"/>
      <c r="C64" s="360"/>
      <c r="D64" s="360"/>
      <c r="E64" s="360"/>
      <c r="F64" s="360" t="s">
        <v>85</v>
      </c>
      <c r="G64" s="361"/>
      <c r="H64" s="360" t="s">
        <v>86</v>
      </c>
      <c r="I64" s="360"/>
      <c r="J64" s="360"/>
      <c r="K64" s="360"/>
      <c r="L64" s="360"/>
      <c r="M64" s="360" t="s">
        <v>76</v>
      </c>
      <c r="N64" s="1043"/>
      <c r="O64" s="1043"/>
      <c r="P64" s="1043"/>
      <c r="Q64" s="1043"/>
      <c r="R64" s="1043"/>
      <c r="S64" s="1043"/>
      <c r="T64" s="1043"/>
      <c r="U64" s="360" t="s">
        <v>25</v>
      </c>
      <c r="V64" s="360"/>
      <c r="W64" s="360"/>
      <c r="X64" s="360"/>
      <c r="Y64" s="360"/>
      <c r="Z64" s="360"/>
    </row>
    <row r="65" spans="1:26" s="363" customFormat="1" ht="13.5" hidden="1" customHeight="1">
      <c r="A65" s="360"/>
      <c r="B65" s="360"/>
      <c r="C65" s="360"/>
      <c r="D65" s="360"/>
      <c r="E65" s="360"/>
      <c r="F65" s="360" t="s">
        <v>85</v>
      </c>
      <c r="G65" s="361"/>
      <c r="H65" s="360" t="s">
        <v>86</v>
      </c>
      <c r="I65" s="360"/>
      <c r="J65" s="360"/>
      <c r="K65" s="360"/>
      <c r="L65" s="360"/>
      <c r="M65" s="360" t="s">
        <v>76</v>
      </c>
      <c r="N65" s="1043"/>
      <c r="O65" s="1043"/>
      <c r="P65" s="1043"/>
      <c r="Q65" s="1043"/>
      <c r="R65" s="1043"/>
      <c r="S65" s="1043"/>
      <c r="T65" s="1043"/>
      <c r="U65" s="360" t="s">
        <v>25</v>
      </c>
      <c r="V65" s="360"/>
      <c r="W65" s="360"/>
      <c r="X65" s="360"/>
      <c r="Y65" s="360"/>
      <c r="Z65" s="360"/>
    </row>
    <row r="66" spans="1:26" s="363" customFormat="1" ht="13.5" hidden="1" customHeight="1">
      <c r="A66" s="360"/>
      <c r="B66" s="360"/>
      <c r="C66" s="360"/>
      <c r="D66" s="360"/>
      <c r="E66" s="360"/>
      <c r="F66" s="360" t="s">
        <v>85</v>
      </c>
      <c r="G66" s="361"/>
      <c r="H66" s="360" t="s">
        <v>86</v>
      </c>
      <c r="I66" s="360"/>
      <c r="J66" s="360"/>
      <c r="K66" s="360"/>
      <c r="L66" s="360"/>
      <c r="M66" s="360" t="s">
        <v>76</v>
      </c>
      <c r="N66" s="1043"/>
      <c r="O66" s="1043"/>
      <c r="P66" s="1043"/>
      <c r="Q66" s="1043"/>
      <c r="R66" s="1043"/>
      <c r="S66" s="1043"/>
      <c r="T66" s="1043"/>
      <c r="U66" s="360" t="s">
        <v>25</v>
      </c>
      <c r="V66" s="360"/>
      <c r="W66" s="360"/>
      <c r="X66" s="360"/>
      <c r="Y66" s="360"/>
      <c r="Z66" s="360"/>
    </row>
    <row r="67" spans="1:26" s="363" customFormat="1" ht="13.5" hidden="1" customHeight="1">
      <c r="A67" s="360"/>
      <c r="B67" s="360"/>
      <c r="C67" s="360"/>
      <c r="D67" s="360"/>
      <c r="E67" s="360"/>
      <c r="F67" s="360" t="s">
        <v>85</v>
      </c>
      <c r="G67" s="361"/>
      <c r="H67" s="360" t="s">
        <v>86</v>
      </c>
      <c r="I67" s="360"/>
      <c r="J67" s="360"/>
      <c r="K67" s="360"/>
      <c r="L67" s="360"/>
      <c r="M67" s="360" t="s">
        <v>76</v>
      </c>
      <c r="N67" s="1043"/>
      <c r="O67" s="1043"/>
      <c r="P67" s="1043"/>
      <c r="Q67" s="1043"/>
      <c r="R67" s="1043"/>
      <c r="S67" s="1043"/>
      <c r="T67" s="1043"/>
      <c r="U67" s="360" t="s">
        <v>25</v>
      </c>
      <c r="V67" s="360"/>
      <c r="W67" s="360"/>
      <c r="X67" s="360"/>
      <c r="Y67" s="360"/>
      <c r="Z67" s="360"/>
    </row>
    <row r="68" spans="1:26" s="363" customFormat="1" ht="13.5" hidden="1" customHeight="1">
      <c r="A68" s="360"/>
      <c r="B68" s="360"/>
      <c r="C68" s="360"/>
      <c r="D68" s="360"/>
      <c r="E68" s="360"/>
      <c r="F68" s="360" t="s">
        <v>85</v>
      </c>
      <c r="G68" s="361"/>
      <c r="H68" s="360" t="s">
        <v>86</v>
      </c>
      <c r="I68" s="360"/>
      <c r="J68" s="360"/>
      <c r="K68" s="360"/>
      <c r="L68" s="360"/>
      <c r="M68" s="360" t="s">
        <v>76</v>
      </c>
      <c r="N68" s="1043"/>
      <c r="O68" s="1043"/>
      <c r="P68" s="1043"/>
      <c r="Q68" s="1043"/>
      <c r="R68" s="1043"/>
      <c r="S68" s="1043"/>
      <c r="T68" s="1043"/>
      <c r="U68" s="360" t="s">
        <v>25</v>
      </c>
      <c r="V68" s="360"/>
      <c r="W68" s="360"/>
      <c r="X68" s="360"/>
      <c r="Y68" s="360"/>
      <c r="Z68" s="360"/>
    </row>
    <row r="69" spans="1:26" s="363" customFormat="1" ht="13.5" hidden="1" customHeight="1">
      <c r="A69" s="360"/>
      <c r="B69" s="360"/>
      <c r="C69" s="360"/>
      <c r="D69" s="360"/>
      <c r="E69" s="360"/>
      <c r="F69" s="360" t="s">
        <v>85</v>
      </c>
      <c r="G69" s="361"/>
      <c r="H69" s="360" t="s">
        <v>86</v>
      </c>
      <c r="I69" s="360"/>
      <c r="J69" s="360"/>
      <c r="K69" s="360"/>
      <c r="L69" s="360"/>
      <c r="M69" s="360" t="s">
        <v>76</v>
      </c>
      <c r="N69" s="1043"/>
      <c r="O69" s="1043"/>
      <c r="P69" s="1043"/>
      <c r="Q69" s="1043"/>
      <c r="R69" s="1043"/>
      <c r="S69" s="1043"/>
      <c r="T69" s="1043"/>
      <c r="U69" s="360" t="s">
        <v>25</v>
      </c>
      <c r="V69" s="360"/>
      <c r="W69" s="360"/>
      <c r="X69" s="360"/>
      <c r="Y69" s="360"/>
      <c r="Z69" s="360"/>
    </row>
    <row r="70" spans="1:26" s="363" customFormat="1" ht="13.5" hidden="1" customHeight="1">
      <c r="A70" s="360"/>
      <c r="B70" s="360"/>
      <c r="C70" s="360"/>
      <c r="D70" s="360"/>
      <c r="E70" s="360" t="s">
        <v>87</v>
      </c>
      <c r="F70" s="360"/>
      <c r="G70" s="360"/>
      <c r="H70" s="360"/>
      <c r="I70" s="360"/>
      <c r="J70" s="360"/>
      <c r="K70" s="360"/>
      <c r="L70" s="360"/>
      <c r="M70" s="360" t="s">
        <v>76</v>
      </c>
      <c r="N70" s="1075" t="str">
        <f>IF(SUM(N71:T82)=0,"",SUM(N71:T82))</f>
        <v/>
      </c>
      <c r="O70" s="1075"/>
      <c r="P70" s="1075"/>
      <c r="Q70" s="1075"/>
      <c r="R70" s="1075"/>
      <c r="S70" s="1075"/>
      <c r="T70" s="1075"/>
      <c r="U70" s="360" t="s">
        <v>25</v>
      </c>
      <c r="V70" s="360"/>
      <c r="W70" s="360"/>
      <c r="X70" s="360"/>
      <c r="Y70" s="360"/>
      <c r="Z70" s="360"/>
    </row>
    <row r="71" spans="1:26" s="363" customFormat="1" ht="13.5" hidden="1" customHeight="1">
      <c r="A71" s="360"/>
      <c r="B71" s="360"/>
      <c r="C71" s="360"/>
      <c r="D71" s="360"/>
      <c r="E71" s="360"/>
      <c r="F71" s="360" t="s">
        <v>85</v>
      </c>
      <c r="G71" s="361"/>
      <c r="H71" s="360" t="s">
        <v>88</v>
      </c>
      <c r="I71" s="360"/>
      <c r="J71" s="360"/>
      <c r="K71" s="360"/>
      <c r="L71" s="360"/>
      <c r="M71" s="360" t="s">
        <v>76</v>
      </c>
      <c r="N71" s="1043"/>
      <c r="O71" s="1043"/>
      <c r="P71" s="1043"/>
      <c r="Q71" s="1043"/>
      <c r="R71" s="1043"/>
      <c r="S71" s="1043"/>
      <c r="T71" s="1043"/>
      <c r="U71" s="360" t="s">
        <v>25</v>
      </c>
      <c r="V71" s="360"/>
      <c r="W71" s="360"/>
      <c r="X71" s="360"/>
      <c r="Y71" s="360"/>
      <c r="Z71" s="360"/>
    </row>
    <row r="72" spans="1:26" s="363" customFormat="1" ht="13.5" hidden="1" customHeight="1">
      <c r="A72" s="360"/>
      <c r="B72" s="360"/>
      <c r="C72" s="360"/>
      <c r="D72" s="360"/>
      <c r="E72" s="360"/>
      <c r="F72" s="360" t="s">
        <v>85</v>
      </c>
      <c r="G72" s="361"/>
      <c r="H72" s="360" t="s">
        <v>88</v>
      </c>
      <c r="I72" s="360"/>
      <c r="J72" s="360"/>
      <c r="K72" s="360"/>
      <c r="L72" s="360"/>
      <c r="M72" s="360" t="s">
        <v>76</v>
      </c>
      <c r="N72" s="1043"/>
      <c r="O72" s="1043"/>
      <c r="P72" s="1043"/>
      <c r="Q72" s="1043"/>
      <c r="R72" s="1043"/>
      <c r="S72" s="1043"/>
      <c r="T72" s="1043"/>
      <c r="U72" s="360" t="s">
        <v>25</v>
      </c>
      <c r="V72" s="360"/>
      <c r="W72" s="360"/>
      <c r="X72" s="360"/>
      <c r="Y72" s="360"/>
      <c r="Z72" s="360"/>
    </row>
    <row r="73" spans="1:26" s="363" customFormat="1" ht="13.5" hidden="1" customHeight="1">
      <c r="A73" s="360"/>
      <c r="B73" s="360"/>
      <c r="C73" s="360"/>
      <c r="D73" s="360"/>
      <c r="E73" s="360"/>
      <c r="F73" s="360" t="s">
        <v>85</v>
      </c>
      <c r="G73" s="361"/>
      <c r="H73" s="360" t="s">
        <v>88</v>
      </c>
      <c r="I73" s="360"/>
      <c r="J73" s="360"/>
      <c r="K73" s="360"/>
      <c r="L73" s="360"/>
      <c r="M73" s="360" t="s">
        <v>76</v>
      </c>
      <c r="N73" s="1043"/>
      <c r="O73" s="1043"/>
      <c r="P73" s="1043"/>
      <c r="Q73" s="1043"/>
      <c r="R73" s="1043"/>
      <c r="S73" s="1043"/>
      <c r="T73" s="1043"/>
      <c r="U73" s="360" t="s">
        <v>25</v>
      </c>
      <c r="V73" s="360"/>
      <c r="W73" s="360"/>
      <c r="X73" s="360"/>
      <c r="Y73" s="360"/>
      <c r="Z73" s="360"/>
    </row>
    <row r="74" spans="1:26" s="363" customFormat="1" ht="13.5" hidden="1" customHeight="1">
      <c r="A74" s="360"/>
      <c r="B74" s="360"/>
      <c r="C74" s="360"/>
      <c r="D74" s="360"/>
      <c r="E74" s="360"/>
      <c r="F74" s="360" t="s">
        <v>85</v>
      </c>
      <c r="G74" s="361"/>
      <c r="H74" s="360" t="s">
        <v>88</v>
      </c>
      <c r="I74" s="360"/>
      <c r="J74" s="360"/>
      <c r="K74" s="360"/>
      <c r="L74" s="360"/>
      <c r="M74" s="360" t="s">
        <v>76</v>
      </c>
      <c r="N74" s="1043"/>
      <c r="O74" s="1043"/>
      <c r="P74" s="1043"/>
      <c r="Q74" s="1043"/>
      <c r="R74" s="1043"/>
      <c r="S74" s="1043"/>
      <c r="T74" s="1043"/>
      <c r="U74" s="360" t="s">
        <v>25</v>
      </c>
      <c r="V74" s="360"/>
      <c r="W74" s="360"/>
      <c r="X74" s="360"/>
      <c r="Y74" s="360"/>
      <c r="Z74" s="360"/>
    </row>
    <row r="75" spans="1:26" s="363" customFormat="1" ht="13.5" hidden="1" customHeight="1">
      <c r="A75" s="360"/>
      <c r="B75" s="360"/>
      <c r="C75" s="360"/>
      <c r="D75" s="360"/>
      <c r="E75" s="360"/>
      <c r="F75" s="360" t="s">
        <v>85</v>
      </c>
      <c r="G75" s="361"/>
      <c r="H75" s="360" t="s">
        <v>88</v>
      </c>
      <c r="I75" s="360"/>
      <c r="J75" s="360"/>
      <c r="K75" s="360"/>
      <c r="L75" s="360"/>
      <c r="M75" s="360" t="s">
        <v>76</v>
      </c>
      <c r="N75" s="1043"/>
      <c r="O75" s="1043"/>
      <c r="P75" s="1043"/>
      <c r="Q75" s="1043"/>
      <c r="R75" s="1043"/>
      <c r="S75" s="1043"/>
      <c r="T75" s="1043"/>
      <c r="U75" s="360" t="s">
        <v>25</v>
      </c>
      <c r="V75" s="360"/>
      <c r="W75" s="360"/>
      <c r="X75" s="360"/>
      <c r="Y75" s="360"/>
      <c r="Z75" s="360"/>
    </row>
    <row r="76" spans="1:26" s="363" customFormat="1" ht="13.5" hidden="1" customHeight="1">
      <c r="A76" s="360"/>
      <c r="B76" s="360"/>
      <c r="C76" s="360"/>
      <c r="D76" s="360"/>
      <c r="E76" s="360"/>
      <c r="F76" s="360" t="s">
        <v>85</v>
      </c>
      <c r="G76" s="361"/>
      <c r="H76" s="360" t="s">
        <v>88</v>
      </c>
      <c r="I76" s="360"/>
      <c r="J76" s="360"/>
      <c r="K76" s="360"/>
      <c r="L76" s="360"/>
      <c r="M76" s="360" t="s">
        <v>76</v>
      </c>
      <c r="N76" s="1043"/>
      <c r="O76" s="1043"/>
      <c r="P76" s="1043"/>
      <c r="Q76" s="1043"/>
      <c r="R76" s="1043"/>
      <c r="S76" s="1043"/>
      <c r="T76" s="1043"/>
      <c r="U76" s="360" t="s">
        <v>25</v>
      </c>
      <c r="V76" s="360"/>
      <c r="W76" s="360"/>
      <c r="X76" s="360"/>
      <c r="Y76" s="360"/>
      <c r="Z76" s="360"/>
    </row>
    <row r="77" spans="1:26" s="363" customFormat="1" ht="13.5" hidden="1" customHeight="1">
      <c r="A77" s="360"/>
      <c r="B77" s="360"/>
      <c r="C77" s="360"/>
      <c r="D77" s="360"/>
      <c r="E77" s="360"/>
      <c r="F77" s="360" t="s">
        <v>85</v>
      </c>
      <c r="G77" s="361"/>
      <c r="H77" s="360" t="s">
        <v>88</v>
      </c>
      <c r="I77" s="360"/>
      <c r="J77" s="360"/>
      <c r="K77" s="360"/>
      <c r="L77" s="360"/>
      <c r="M77" s="360" t="s">
        <v>76</v>
      </c>
      <c r="N77" s="1043"/>
      <c r="O77" s="1043"/>
      <c r="P77" s="1043"/>
      <c r="Q77" s="1043"/>
      <c r="R77" s="1043"/>
      <c r="S77" s="1043"/>
      <c r="T77" s="1043"/>
      <c r="U77" s="360" t="s">
        <v>25</v>
      </c>
      <c r="V77" s="360"/>
      <c r="W77" s="360"/>
      <c r="X77" s="360"/>
      <c r="Y77" s="360"/>
      <c r="Z77" s="360"/>
    </row>
    <row r="78" spans="1:26" s="363" customFormat="1" ht="13.5" hidden="1" customHeight="1">
      <c r="A78" s="360"/>
      <c r="B78" s="360"/>
      <c r="C78" s="360"/>
      <c r="D78" s="360"/>
      <c r="E78" s="360"/>
      <c r="F78" s="360" t="s">
        <v>85</v>
      </c>
      <c r="G78" s="361"/>
      <c r="H78" s="360" t="s">
        <v>88</v>
      </c>
      <c r="I78" s="360"/>
      <c r="J78" s="360"/>
      <c r="K78" s="360"/>
      <c r="L78" s="360"/>
      <c r="M78" s="360" t="s">
        <v>76</v>
      </c>
      <c r="N78" s="1043"/>
      <c r="O78" s="1043"/>
      <c r="P78" s="1043"/>
      <c r="Q78" s="1043"/>
      <c r="R78" s="1043"/>
      <c r="S78" s="1043"/>
      <c r="T78" s="1043"/>
      <c r="U78" s="360" t="s">
        <v>25</v>
      </c>
      <c r="V78" s="360"/>
      <c r="W78" s="360"/>
      <c r="X78" s="360"/>
      <c r="Y78" s="360"/>
      <c r="Z78" s="360"/>
    </row>
    <row r="79" spans="1:26" s="363" customFormat="1" ht="13.5" hidden="1" customHeight="1">
      <c r="A79" s="360"/>
      <c r="B79" s="360"/>
      <c r="C79" s="360"/>
      <c r="D79" s="360"/>
      <c r="E79" s="360"/>
      <c r="F79" s="360" t="s">
        <v>85</v>
      </c>
      <c r="G79" s="361"/>
      <c r="H79" s="360" t="s">
        <v>88</v>
      </c>
      <c r="I79" s="360"/>
      <c r="J79" s="360"/>
      <c r="K79" s="360"/>
      <c r="L79" s="360"/>
      <c r="M79" s="360" t="s">
        <v>76</v>
      </c>
      <c r="N79" s="1043"/>
      <c r="O79" s="1043"/>
      <c r="P79" s="1043"/>
      <c r="Q79" s="1043"/>
      <c r="R79" s="1043"/>
      <c r="S79" s="1043"/>
      <c r="T79" s="1043"/>
      <c r="U79" s="360" t="s">
        <v>25</v>
      </c>
      <c r="V79" s="360"/>
      <c r="W79" s="360"/>
      <c r="X79" s="360"/>
      <c r="Y79" s="360"/>
      <c r="Z79" s="360"/>
    </row>
    <row r="80" spans="1:26" s="363" customFormat="1" ht="13.5" hidden="1" customHeight="1">
      <c r="A80" s="360"/>
      <c r="B80" s="360"/>
      <c r="C80" s="360"/>
      <c r="D80" s="360"/>
      <c r="E80" s="360"/>
      <c r="F80" s="360" t="s">
        <v>85</v>
      </c>
      <c r="G80" s="361"/>
      <c r="H80" s="360" t="s">
        <v>88</v>
      </c>
      <c r="I80" s="360"/>
      <c r="J80" s="360"/>
      <c r="K80" s="360"/>
      <c r="L80" s="360"/>
      <c r="M80" s="360" t="s">
        <v>76</v>
      </c>
      <c r="N80" s="1043"/>
      <c r="O80" s="1043"/>
      <c r="P80" s="1043"/>
      <c r="Q80" s="1043"/>
      <c r="R80" s="1043"/>
      <c r="S80" s="1043"/>
      <c r="T80" s="1043"/>
      <c r="U80" s="360" t="s">
        <v>25</v>
      </c>
      <c r="V80" s="360"/>
      <c r="W80" s="360"/>
      <c r="X80" s="360"/>
      <c r="Y80" s="360"/>
      <c r="Z80" s="360"/>
    </row>
    <row r="81" spans="1:32" s="363" customFormat="1" ht="13.5" hidden="1" customHeight="1">
      <c r="A81" s="360"/>
      <c r="B81" s="360"/>
      <c r="C81" s="360"/>
      <c r="D81" s="360"/>
      <c r="E81" s="360"/>
      <c r="F81" s="360" t="s">
        <v>85</v>
      </c>
      <c r="G81" s="361"/>
      <c r="H81" s="360" t="s">
        <v>88</v>
      </c>
      <c r="I81" s="360"/>
      <c r="J81" s="360"/>
      <c r="K81" s="360"/>
      <c r="L81" s="360"/>
      <c r="M81" s="360" t="s">
        <v>76</v>
      </c>
      <c r="N81" s="1043"/>
      <c r="O81" s="1043"/>
      <c r="P81" s="1043"/>
      <c r="Q81" s="1043"/>
      <c r="R81" s="1043"/>
      <c r="S81" s="1043"/>
      <c r="T81" s="1043"/>
      <c r="U81" s="360" t="s">
        <v>25</v>
      </c>
      <c r="V81" s="360"/>
      <c r="W81" s="360"/>
      <c r="X81" s="360"/>
      <c r="Y81" s="360"/>
      <c r="Z81" s="360"/>
    </row>
    <row r="82" spans="1:32" s="363" customFormat="1" ht="13.5" hidden="1" customHeight="1">
      <c r="A82" s="360"/>
      <c r="B82" s="360"/>
      <c r="C82" s="360"/>
      <c r="D82" s="360"/>
      <c r="E82" s="360"/>
      <c r="F82" s="360" t="s">
        <v>85</v>
      </c>
      <c r="G82" s="361"/>
      <c r="H82" s="360" t="s">
        <v>88</v>
      </c>
      <c r="I82" s="360"/>
      <c r="J82" s="360"/>
      <c r="K82" s="360"/>
      <c r="L82" s="360"/>
      <c r="M82" s="360" t="s">
        <v>76</v>
      </c>
      <c r="N82" s="1043"/>
      <c r="O82" s="1043"/>
      <c r="P82" s="1043"/>
      <c r="Q82" s="1043"/>
      <c r="R82" s="1043"/>
      <c r="S82" s="1043"/>
      <c r="T82" s="1043"/>
      <c r="U82" s="360" t="s">
        <v>25</v>
      </c>
      <c r="V82" s="360"/>
      <c r="W82" s="360"/>
      <c r="X82" s="360"/>
      <c r="Y82" s="360"/>
      <c r="Z82" s="360"/>
    </row>
    <row r="83" spans="1:32" s="363" customFormat="1" ht="13.5" customHeight="1">
      <c r="A83" s="360"/>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row>
    <row r="84" spans="1:32" s="363" customFormat="1" ht="13.5" customHeight="1">
      <c r="A84" s="360" t="s">
        <v>90</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row>
    <row r="85" spans="1:32" s="363" customFormat="1" ht="13.5" hidden="1" customHeight="1">
      <c r="A85" s="360"/>
      <c r="B85" s="360" t="s">
        <v>91</v>
      </c>
      <c r="C85" s="360"/>
      <c r="D85" s="360"/>
      <c r="E85" s="360"/>
      <c r="F85" s="360"/>
      <c r="G85" s="360"/>
      <c r="H85" s="1061" t="s">
        <v>752</v>
      </c>
      <c r="I85" s="1061"/>
      <c r="J85" s="1061"/>
      <c r="K85" s="1061"/>
      <c r="L85" s="1061"/>
      <c r="M85" s="1061"/>
      <c r="N85" s="1061"/>
      <c r="O85" s="1061"/>
      <c r="P85" s="1061"/>
      <c r="Q85" s="1061"/>
      <c r="R85" s="1061"/>
      <c r="S85" s="1061"/>
      <c r="T85" s="1061"/>
      <c r="U85" s="1061"/>
      <c r="V85" s="1061"/>
      <c r="W85" s="1061"/>
      <c r="X85" s="360"/>
      <c r="Y85" s="360"/>
      <c r="Z85" s="360"/>
      <c r="AA85" s="362" t="s">
        <v>20</v>
      </c>
      <c r="AB85" s="364" t="s">
        <v>93</v>
      </c>
      <c r="AC85" s="364" t="s">
        <v>92</v>
      </c>
      <c r="AD85" s="364" t="s">
        <v>619</v>
      </c>
    </row>
    <row r="86" spans="1:32" s="363" customFormat="1" ht="13.5" customHeight="1">
      <c r="A86" s="360"/>
      <c r="B86" s="1076" t="s">
        <v>630</v>
      </c>
      <c r="C86" s="1076"/>
      <c r="D86" s="1076"/>
      <c r="E86" s="1076"/>
      <c r="F86" s="1077" t="s">
        <v>631</v>
      </c>
      <c r="G86" s="1077"/>
      <c r="H86" s="1077"/>
      <c r="I86" s="1077"/>
      <c r="J86" s="1077"/>
      <c r="K86" s="1077"/>
      <c r="L86" s="1077"/>
      <c r="M86" s="1077"/>
      <c r="N86" s="1077"/>
      <c r="O86" s="1077"/>
      <c r="P86" s="1077"/>
      <c r="Q86" s="1077"/>
      <c r="R86" s="1077"/>
      <c r="S86" s="1077"/>
      <c r="T86" s="1077"/>
      <c r="U86" s="1077"/>
      <c r="V86" s="1077"/>
      <c r="W86" s="1077"/>
      <c r="X86" s="1077"/>
      <c r="Y86" s="371"/>
      <c r="Z86" s="360"/>
    </row>
    <row r="87" spans="1:32" s="363" customFormat="1" ht="13.5" customHeight="1">
      <c r="A87" s="360"/>
      <c r="B87" s="1076" t="s">
        <v>26</v>
      </c>
      <c r="C87" s="1076"/>
      <c r="D87" s="1076"/>
      <c r="E87" s="1076"/>
      <c r="F87" s="1077" t="s">
        <v>63</v>
      </c>
      <c r="G87" s="1077"/>
      <c r="H87" s="1077"/>
      <c r="I87" s="1077"/>
      <c r="J87" s="1077"/>
      <c r="K87" s="1077"/>
      <c r="L87" s="1077"/>
      <c r="M87" s="1077"/>
      <c r="N87" s="1077"/>
      <c r="O87" s="1077"/>
      <c r="P87" s="1077"/>
      <c r="Q87" s="1077"/>
      <c r="R87" s="1077"/>
      <c r="S87" s="1077"/>
      <c r="T87" s="1077"/>
      <c r="U87" s="1077"/>
      <c r="V87" s="1077"/>
      <c r="W87" s="1077"/>
      <c r="X87" s="1077"/>
      <c r="Y87" s="371"/>
      <c r="Z87" s="360"/>
    </row>
    <row r="88" spans="1:32" s="363" customFormat="1" ht="13.5" customHeight="1">
      <c r="A88" s="360"/>
      <c r="B88" s="1054" t="s">
        <v>27</v>
      </c>
      <c r="C88" s="1055"/>
      <c r="D88" s="1055"/>
      <c r="E88" s="1055"/>
      <c r="F88" s="1058" t="s">
        <v>94</v>
      </c>
      <c r="G88" s="1059"/>
      <c r="H88" s="1059"/>
      <c r="I88" s="1059"/>
      <c r="J88" s="1059"/>
      <c r="K88" s="1059"/>
      <c r="L88" s="1059"/>
      <c r="M88" s="1059"/>
      <c r="N88" s="1059" t="s">
        <v>32</v>
      </c>
      <c r="O88" s="1062"/>
      <c r="P88" s="372"/>
      <c r="Q88" s="1064" t="s">
        <v>95</v>
      </c>
      <c r="R88" s="1064"/>
      <c r="S88" s="1064"/>
      <c r="T88" s="1064"/>
      <c r="U88" s="1064"/>
      <c r="V88" s="372"/>
      <c r="W88" s="1065" t="s">
        <v>722</v>
      </c>
      <c r="X88" s="1066"/>
      <c r="Y88" s="371"/>
      <c r="Z88" s="360"/>
      <c r="AA88" s="362" t="s">
        <v>32</v>
      </c>
      <c r="AB88" s="362" t="s">
        <v>34</v>
      </c>
      <c r="AC88" s="362" t="s">
        <v>36</v>
      </c>
    </row>
    <row r="89" spans="1:32" s="363" customFormat="1" ht="13.5" customHeight="1">
      <c r="A89" s="360"/>
      <c r="B89" s="1056"/>
      <c r="C89" s="1057"/>
      <c r="D89" s="1057"/>
      <c r="E89" s="1057"/>
      <c r="F89" s="1060"/>
      <c r="G89" s="1061"/>
      <c r="H89" s="1061"/>
      <c r="I89" s="1061"/>
      <c r="J89" s="1061"/>
      <c r="K89" s="1061"/>
      <c r="L89" s="1061"/>
      <c r="M89" s="1061"/>
      <c r="N89" s="1061"/>
      <c r="O89" s="1063"/>
      <c r="P89" s="373"/>
      <c r="Q89" s="1061"/>
      <c r="R89" s="1061"/>
      <c r="S89" s="1061"/>
      <c r="T89" s="1061"/>
      <c r="U89" s="1061"/>
      <c r="V89" s="373"/>
      <c r="W89" s="1016"/>
      <c r="X89" s="1067"/>
      <c r="Y89" s="371"/>
      <c r="Z89" s="360"/>
      <c r="AA89" s="362" t="s">
        <v>722</v>
      </c>
      <c r="AB89" s="362" t="s">
        <v>723</v>
      </c>
    </row>
    <row r="90" spans="1:32" s="363" customFormat="1" ht="13.5" customHeight="1">
      <c r="A90" s="360"/>
      <c r="B90" s="1056"/>
      <c r="C90" s="1057"/>
      <c r="D90" s="1057"/>
      <c r="E90" s="1057"/>
      <c r="F90" s="1068" t="s">
        <v>28</v>
      </c>
      <c r="G90" s="1069"/>
      <c r="H90" s="1069"/>
      <c r="I90" s="1069"/>
      <c r="J90" s="1069"/>
      <c r="K90" s="1070"/>
      <c r="L90" s="1078">
        <v>1111</v>
      </c>
      <c r="M90" s="1079"/>
      <c r="N90" s="1079"/>
      <c r="O90" s="1080"/>
      <c r="P90" s="374"/>
      <c r="Q90" s="1068" t="s">
        <v>29</v>
      </c>
      <c r="R90" s="1069"/>
      <c r="S90" s="1069"/>
      <c r="T90" s="1070"/>
      <c r="U90" s="1078">
        <v>111</v>
      </c>
      <c r="V90" s="1079"/>
      <c r="W90" s="1079"/>
      <c r="X90" s="1080"/>
      <c r="Y90" s="375"/>
      <c r="Z90" s="360"/>
    </row>
    <row r="91" spans="1:32" s="363" customFormat="1" ht="13.5" customHeight="1">
      <c r="A91" s="360"/>
      <c r="B91" s="1068" t="s">
        <v>30</v>
      </c>
      <c r="C91" s="1069"/>
      <c r="D91" s="1069"/>
      <c r="E91" s="1069"/>
      <c r="F91" s="1078" t="s">
        <v>33</v>
      </c>
      <c r="G91" s="1079"/>
      <c r="H91" s="1079"/>
      <c r="I91" s="1079"/>
      <c r="J91" s="1079"/>
      <c r="K91" s="1080"/>
      <c r="L91" s="1068" t="s">
        <v>31</v>
      </c>
      <c r="M91" s="1069"/>
      <c r="N91" s="1070"/>
      <c r="O91" s="1078">
        <v>1111111</v>
      </c>
      <c r="P91" s="1079"/>
      <c r="Q91" s="1079"/>
      <c r="R91" s="1079"/>
      <c r="S91" s="1079"/>
      <c r="T91" s="1079"/>
      <c r="U91" s="1079"/>
      <c r="V91" s="1079"/>
      <c r="W91" s="1079"/>
      <c r="X91" s="1080"/>
      <c r="Y91" s="375"/>
      <c r="Z91" s="360"/>
      <c r="AA91" s="362" t="s">
        <v>33</v>
      </c>
      <c r="AB91" s="362" t="s">
        <v>35</v>
      </c>
    </row>
    <row r="92" spans="1:32" s="363" customFormat="1" ht="37.5" customHeight="1">
      <c r="A92" s="510"/>
      <c r="B92" s="1193" t="s">
        <v>920</v>
      </c>
      <c r="C92" s="1194"/>
      <c r="D92" s="1194"/>
      <c r="E92" s="1194"/>
      <c r="F92" s="1195">
        <v>1111</v>
      </c>
      <c r="G92" s="1196"/>
      <c r="H92" s="1196"/>
      <c r="I92" s="1196"/>
      <c r="J92" s="1196"/>
      <c r="K92" s="1196"/>
      <c r="L92" s="1196"/>
      <c r="M92" s="1196"/>
      <c r="N92" s="1196"/>
      <c r="O92" s="1196"/>
      <c r="P92" s="1196"/>
      <c r="Q92" s="1196"/>
      <c r="R92" s="1196"/>
      <c r="S92" s="1196"/>
      <c r="T92" s="1196"/>
      <c r="U92" s="1196"/>
      <c r="V92" s="1196"/>
      <c r="W92" s="1196"/>
      <c r="X92" s="1197"/>
      <c r="Y92" s="375"/>
      <c r="Z92" s="510"/>
    </row>
    <row r="93" spans="1:32" s="363" customFormat="1" ht="13.5" customHeight="1">
      <c r="A93" s="360" t="s">
        <v>96</v>
      </c>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row>
    <row r="94" spans="1:32" s="363" customFormat="1" ht="13.5" customHeight="1">
      <c r="B94" s="1044" t="s">
        <v>97</v>
      </c>
      <c r="C94" s="1045"/>
      <c r="D94" s="1045"/>
      <c r="E94" s="1045"/>
      <c r="F94" s="1045"/>
      <c r="G94" s="1045"/>
      <c r="H94" s="1045"/>
      <c r="I94" s="1045"/>
      <c r="J94" s="1045"/>
      <c r="K94" s="1045"/>
      <c r="L94" s="1045"/>
      <c r="M94" s="1045"/>
      <c r="N94" s="1045"/>
      <c r="O94" s="1045"/>
      <c r="P94" s="1045"/>
      <c r="Q94" s="1045"/>
      <c r="R94" s="1045"/>
      <c r="S94" s="1045"/>
      <c r="T94" s="1045"/>
      <c r="U94" s="1045"/>
      <c r="V94" s="1045"/>
      <c r="W94" s="1045"/>
      <c r="X94" s="1045"/>
      <c r="Y94" s="1045"/>
      <c r="Z94" s="1046"/>
      <c r="AA94" s="362"/>
      <c r="AB94" s="362" t="s">
        <v>98</v>
      </c>
      <c r="AC94" s="362" t="s">
        <v>620</v>
      </c>
      <c r="AD94" s="362" t="s">
        <v>99</v>
      </c>
      <c r="AE94" s="362" t="s">
        <v>834</v>
      </c>
      <c r="AF94" s="376" t="s">
        <v>100</v>
      </c>
    </row>
    <row r="95" spans="1:32" s="363" customFormat="1" ht="13.5" customHeight="1">
      <c r="B95" s="1044" t="s">
        <v>833</v>
      </c>
      <c r="C95" s="1045"/>
      <c r="D95" s="1045"/>
      <c r="E95" s="1045"/>
      <c r="F95" s="1045"/>
      <c r="G95" s="1045"/>
      <c r="H95" s="1045"/>
      <c r="I95" s="1045"/>
      <c r="J95" s="1045"/>
      <c r="K95" s="1045"/>
      <c r="L95" s="1045"/>
      <c r="M95" s="1045"/>
      <c r="N95" s="1045"/>
      <c r="O95" s="1045"/>
      <c r="P95" s="1045"/>
      <c r="Q95" s="1045"/>
      <c r="R95" s="1045"/>
      <c r="S95" s="1045"/>
      <c r="T95" s="1045"/>
      <c r="U95" s="1045"/>
      <c r="V95" s="1045"/>
      <c r="W95" s="1045"/>
      <c r="X95" s="1045"/>
      <c r="Y95" s="1045"/>
      <c r="Z95" s="1046"/>
    </row>
    <row r="97" spans="1:255" s="378" customFormat="1" ht="13.5" customHeight="1">
      <c r="A97" s="377" t="s">
        <v>2</v>
      </c>
      <c r="B97" s="377"/>
      <c r="C97" s="377"/>
      <c r="D97" s="377"/>
      <c r="E97" s="377"/>
      <c r="F97" s="377"/>
      <c r="G97" s="377"/>
      <c r="H97" s="377"/>
      <c r="I97" s="377"/>
      <c r="J97" s="377"/>
      <c r="K97" s="377"/>
      <c r="L97" s="377"/>
      <c r="M97" s="377"/>
      <c r="N97" s="377"/>
      <c r="O97" s="377"/>
      <c r="P97" s="377"/>
      <c r="Q97" s="360"/>
    </row>
    <row r="98" spans="1:255" s="378" customFormat="1" ht="13.5" hidden="1" customHeight="1">
      <c r="A98" s="627" t="s">
        <v>43</v>
      </c>
      <c r="B98" s="627"/>
      <c r="C98" s="627"/>
      <c r="D98" s="627"/>
      <c r="E98" s="627"/>
      <c r="F98" s="1047" t="str">
        <f>O12</f>
        <v>○○○○○○○○○○○○○</v>
      </c>
      <c r="G98" s="1048"/>
      <c r="H98" s="1048"/>
      <c r="I98" s="1048"/>
      <c r="J98" s="1048"/>
      <c r="K98" s="1048"/>
      <c r="L98" s="1048"/>
      <c r="M98" s="1048"/>
      <c r="N98" s="1048"/>
      <c r="O98" s="1048"/>
      <c r="P98" s="1049"/>
      <c r="Q98" s="379"/>
    </row>
    <row r="99" spans="1:255" s="378" customFormat="1" ht="13.5" customHeight="1">
      <c r="A99" s="627" t="s">
        <v>399</v>
      </c>
      <c r="B99" s="627"/>
      <c r="C99" s="627"/>
      <c r="D99" s="627"/>
      <c r="E99" s="627"/>
      <c r="F99" s="1051"/>
      <c r="G99" s="1052"/>
      <c r="H99" s="1052"/>
      <c r="I99" s="1052"/>
      <c r="J99" s="1052"/>
      <c r="K99" s="1052"/>
      <c r="L99" s="1052"/>
      <c r="M99" s="1052"/>
      <c r="N99" s="1052"/>
      <c r="O99" s="1052"/>
      <c r="P99" s="1053"/>
    </row>
    <row r="100" spans="1:255" s="378" customFormat="1" ht="13.5" customHeight="1">
      <c r="A100" s="627" t="s">
        <v>400</v>
      </c>
      <c r="B100" s="627"/>
      <c r="C100" s="627"/>
      <c r="D100" s="627"/>
      <c r="E100" s="627"/>
      <c r="F100" s="693">
        <f>SUM(K100,O100)</f>
        <v>0</v>
      </c>
      <c r="G100" s="693"/>
      <c r="H100" s="693"/>
      <c r="I100" s="694" t="s">
        <v>402</v>
      </c>
      <c r="J100" s="694"/>
      <c r="K100" s="1050"/>
      <c r="L100" s="1050"/>
      <c r="M100" s="694" t="s">
        <v>599</v>
      </c>
      <c r="N100" s="694"/>
      <c r="O100" s="1050"/>
      <c r="P100" s="1050"/>
    </row>
    <row r="101" spans="1:255" s="378" customFormat="1" ht="13.5" hidden="1" customHeight="1">
      <c r="A101" s="627" t="s">
        <v>401</v>
      </c>
      <c r="B101" s="627"/>
      <c r="C101" s="627"/>
      <c r="D101" s="627"/>
      <c r="E101" s="627"/>
      <c r="F101" s="693">
        <f>SUM(K101,O101)</f>
        <v>0</v>
      </c>
      <c r="G101" s="693"/>
      <c r="H101" s="693"/>
      <c r="I101" s="694" t="s">
        <v>402</v>
      </c>
      <c r="J101" s="694"/>
      <c r="K101" s="1050"/>
      <c r="L101" s="1050"/>
      <c r="M101" s="694" t="s">
        <v>599</v>
      </c>
      <c r="N101" s="694"/>
      <c r="O101" s="1050"/>
      <c r="P101" s="1050"/>
    </row>
    <row r="102" spans="1:255" s="378" customFormat="1" ht="13.5" hidden="1" customHeight="1">
      <c r="A102" s="627" t="s">
        <v>539</v>
      </c>
      <c r="B102" s="627"/>
      <c r="C102" s="627"/>
      <c r="D102" s="627"/>
      <c r="E102" s="627"/>
      <c r="F102" s="693">
        <f>SUM(K102,O102)</f>
        <v>0</v>
      </c>
      <c r="G102" s="693"/>
      <c r="H102" s="693"/>
      <c r="I102" s="694" t="s">
        <v>402</v>
      </c>
      <c r="J102" s="694"/>
      <c r="K102" s="693">
        <f>SUM(K100:L101)</f>
        <v>0</v>
      </c>
      <c r="L102" s="693"/>
      <c r="M102" s="694" t="s">
        <v>599</v>
      </c>
      <c r="N102" s="694"/>
      <c r="O102" s="693">
        <f>SUM(O100:P101)</f>
        <v>0</v>
      </c>
      <c r="P102" s="693"/>
    </row>
    <row r="103" spans="1:255" s="378" customFormat="1" ht="13.5" customHeight="1">
      <c r="A103" s="627" t="s">
        <v>1</v>
      </c>
      <c r="B103" s="627"/>
      <c r="C103" s="627"/>
      <c r="D103" s="627"/>
      <c r="E103" s="627"/>
      <c r="F103" s="628"/>
      <c r="G103" s="629"/>
      <c r="H103" s="629"/>
      <c r="I103" s="629"/>
      <c r="J103" s="629"/>
      <c r="K103" s="629"/>
      <c r="L103" s="629"/>
      <c r="M103" s="629"/>
      <c r="N103" s="629"/>
      <c r="O103" s="629"/>
      <c r="P103" s="630"/>
      <c r="AA103" s="380" t="s">
        <v>11</v>
      </c>
      <c r="AB103" s="380" t="s">
        <v>12</v>
      </c>
      <c r="AC103" s="380" t="s">
        <v>13</v>
      </c>
      <c r="AD103" s="380" t="s">
        <v>14</v>
      </c>
      <c r="AE103" s="380" t="s">
        <v>15</v>
      </c>
      <c r="AF103" s="380" t="s">
        <v>16</v>
      </c>
      <c r="AG103" s="380" t="s">
        <v>17</v>
      </c>
      <c r="AH103" s="380" t="s">
        <v>18</v>
      </c>
    </row>
    <row r="104" spans="1:255" s="378" customFormat="1" ht="13.5" customHeight="1">
      <c r="A104" s="381"/>
      <c r="B104" s="381"/>
      <c r="C104" s="381"/>
      <c r="D104" s="382"/>
      <c r="E104" s="382"/>
      <c r="F104" s="382"/>
      <c r="G104" s="382"/>
      <c r="H104" s="382"/>
      <c r="I104" s="382"/>
      <c r="J104" s="382"/>
      <c r="K104" s="382"/>
      <c r="L104" s="382"/>
      <c r="M104" s="382"/>
      <c r="N104" s="382"/>
      <c r="O104" s="382"/>
      <c r="P104" s="382"/>
      <c r="Q104" s="382"/>
      <c r="R104" s="382"/>
      <c r="S104" s="382"/>
    </row>
    <row r="105" spans="1:255" s="378" customFormat="1" ht="13.5" hidden="1" customHeight="1">
      <c r="A105" s="377" t="s">
        <v>403</v>
      </c>
      <c r="B105" s="377"/>
      <c r="C105" s="377"/>
      <c r="D105" s="377"/>
      <c r="E105" s="377"/>
      <c r="F105" s="377"/>
      <c r="G105" s="377"/>
      <c r="H105" s="377"/>
      <c r="I105" s="377"/>
      <c r="J105" s="377"/>
      <c r="K105" s="377"/>
      <c r="L105" s="377"/>
      <c r="M105" s="377"/>
      <c r="N105" s="377"/>
      <c r="O105" s="377"/>
      <c r="P105" s="377"/>
      <c r="Q105" s="360"/>
      <c r="R105" s="382"/>
      <c r="S105" s="382"/>
    </row>
    <row r="106" spans="1:255" s="378" customFormat="1" ht="13.5" hidden="1" customHeight="1">
      <c r="A106" s="631" t="s">
        <v>38</v>
      </c>
      <c r="B106" s="632"/>
      <c r="C106" s="632"/>
      <c r="D106" s="632"/>
      <c r="E106" s="632"/>
      <c r="F106" s="632"/>
      <c r="G106" s="632"/>
      <c r="H106" s="632"/>
      <c r="I106" s="632"/>
      <c r="J106" s="632"/>
      <c r="K106" s="633"/>
      <c r="L106" s="529"/>
      <c r="M106" s="530"/>
      <c r="N106" s="383" t="s">
        <v>54</v>
      </c>
      <c r="O106" s="530"/>
      <c r="P106" s="530"/>
      <c r="Q106" s="379"/>
      <c r="R106" s="382"/>
      <c r="S106" s="382"/>
      <c r="T106" s="382"/>
      <c r="U106" s="382"/>
      <c r="V106" s="382"/>
      <c r="AA106" s="384">
        <v>0.20833333333333334</v>
      </c>
      <c r="AB106" s="384">
        <v>0.21180555555555555</v>
      </c>
      <c r="AC106" s="384">
        <v>0.21527777777777801</v>
      </c>
      <c r="AD106" s="384">
        <v>0.21875</v>
      </c>
      <c r="AE106" s="384">
        <v>0.22222222222222199</v>
      </c>
      <c r="AF106" s="384">
        <v>0.225694444444444</v>
      </c>
      <c r="AG106" s="384">
        <v>0.22916666666666699</v>
      </c>
      <c r="AH106" s="384">
        <v>0.23263888888888901</v>
      </c>
      <c r="AI106" s="384">
        <v>0.23611111111111099</v>
      </c>
      <c r="AJ106" s="384">
        <v>0.23958333333333301</v>
      </c>
      <c r="AK106" s="384">
        <v>0.243055555555555</v>
      </c>
      <c r="AL106" s="384">
        <v>0.24652777777777801</v>
      </c>
      <c r="AM106" s="384">
        <v>0.25</v>
      </c>
      <c r="AN106" s="384">
        <v>0.25347222222222199</v>
      </c>
      <c r="AO106" s="384">
        <v>0.25694444444444398</v>
      </c>
      <c r="AP106" s="384">
        <v>0.26041666666666602</v>
      </c>
      <c r="AQ106" s="384">
        <v>0.26388888888888901</v>
      </c>
      <c r="AR106" s="384">
        <v>0.26736111111111099</v>
      </c>
      <c r="AS106" s="384">
        <v>0.27083333333333298</v>
      </c>
      <c r="AT106" s="384">
        <v>0.27430555555555503</v>
      </c>
      <c r="AU106" s="384">
        <v>0.27777777777777801</v>
      </c>
      <c r="AV106" s="384">
        <v>0.28125</v>
      </c>
      <c r="AW106" s="384">
        <v>0.28472222222222199</v>
      </c>
      <c r="AX106" s="384">
        <v>0.28819444444444398</v>
      </c>
      <c r="AY106" s="384">
        <v>0.29166666666666602</v>
      </c>
      <c r="AZ106" s="384">
        <v>0.29513888888888901</v>
      </c>
      <c r="BA106" s="384">
        <v>0.29861111111111099</v>
      </c>
      <c r="BB106" s="384">
        <v>0.30208333333333298</v>
      </c>
      <c r="BC106" s="384">
        <v>0.30555555555555503</v>
      </c>
      <c r="BD106" s="384">
        <v>0.30902777777777701</v>
      </c>
      <c r="BE106" s="384">
        <v>0.312499999999999</v>
      </c>
      <c r="BF106" s="384">
        <v>0.31597222222222199</v>
      </c>
      <c r="BG106" s="384">
        <v>0.31944444444444398</v>
      </c>
      <c r="BH106" s="384">
        <v>0.32291666666666602</v>
      </c>
      <c r="BI106" s="384">
        <v>0.32638888888888801</v>
      </c>
      <c r="BJ106" s="384">
        <v>0.32986111111110999</v>
      </c>
      <c r="BK106" s="384">
        <v>0.33333333333333298</v>
      </c>
      <c r="BL106" s="384">
        <v>0.33680555555555503</v>
      </c>
      <c r="BM106" s="384">
        <v>0.34027777777777701</v>
      </c>
      <c r="BN106" s="384">
        <v>0.343749999999999</v>
      </c>
      <c r="BO106" s="384">
        <v>0.34722222222222099</v>
      </c>
      <c r="BP106" s="384">
        <v>0.35069444444444398</v>
      </c>
      <c r="BQ106" s="384">
        <v>0.35416666666666602</v>
      </c>
      <c r="BR106" s="384">
        <v>0.35763888888888801</v>
      </c>
      <c r="BS106" s="384">
        <v>0.36111111111110999</v>
      </c>
      <c r="BT106" s="384">
        <v>0.36458333333333198</v>
      </c>
      <c r="BU106" s="384">
        <v>0.36805555555555503</v>
      </c>
      <c r="BV106" s="384">
        <v>0.37152777777777701</v>
      </c>
      <c r="BW106" s="384">
        <v>0.374999999999999</v>
      </c>
      <c r="BX106" s="384">
        <v>0.37847222222222099</v>
      </c>
      <c r="BY106" s="384">
        <v>0.38194444444444298</v>
      </c>
      <c r="BZ106" s="384">
        <v>0.38541666666666602</v>
      </c>
      <c r="CA106" s="384">
        <v>0.38888888888888801</v>
      </c>
      <c r="CB106" s="384">
        <v>0.39236111111110999</v>
      </c>
      <c r="CC106" s="384">
        <v>0.39583333333333198</v>
      </c>
      <c r="CD106" s="384">
        <v>0.39930555555555503</v>
      </c>
      <c r="CE106" s="384">
        <v>0.40277777777777701</v>
      </c>
      <c r="CF106" s="384">
        <v>0.406249999999999</v>
      </c>
      <c r="CG106" s="384">
        <v>0.40972222222222099</v>
      </c>
      <c r="CH106" s="384">
        <v>0.41319444444444298</v>
      </c>
      <c r="CI106" s="384">
        <v>0.41666666666666602</v>
      </c>
      <c r="CJ106" s="384">
        <v>0.42013888888888801</v>
      </c>
      <c r="CK106" s="384">
        <v>0.42361111111110999</v>
      </c>
      <c r="CL106" s="384">
        <v>0.42708333333333198</v>
      </c>
      <c r="CM106" s="384">
        <v>0.43055555555555403</v>
      </c>
      <c r="CN106" s="384">
        <v>0.43402777777777701</v>
      </c>
      <c r="CO106" s="384">
        <v>0.437499999999999</v>
      </c>
      <c r="CP106" s="384">
        <v>0.44097222222222099</v>
      </c>
      <c r="CQ106" s="384">
        <v>0.44444444444444298</v>
      </c>
      <c r="CR106" s="384">
        <v>0.44791666666666502</v>
      </c>
      <c r="CS106" s="384">
        <v>0.45138888888888801</v>
      </c>
      <c r="CT106" s="384">
        <v>0.45486111111110999</v>
      </c>
      <c r="CU106" s="384">
        <v>0.45833333333333198</v>
      </c>
      <c r="CV106" s="384">
        <v>0.46180555555555403</v>
      </c>
      <c r="CW106" s="384">
        <v>0.46527777777777701</v>
      </c>
      <c r="CX106" s="384">
        <v>0.468749999999999</v>
      </c>
      <c r="CY106" s="384">
        <v>0.47222222222222099</v>
      </c>
      <c r="CZ106" s="384">
        <v>0.47569444444444298</v>
      </c>
      <c r="DA106" s="384">
        <v>0.47916666666666502</v>
      </c>
      <c r="DB106" s="384">
        <v>0.48263888888888801</v>
      </c>
      <c r="DC106" s="384">
        <v>0.48611111111110999</v>
      </c>
      <c r="DD106" s="384">
        <v>0.48958333333333198</v>
      </c>
      <c r="DE106" s="384">
        <v>0.49305555555555403</v>
      </c>
      <c r="DF106" s="384">
        <v>0.49652777777777601</v>
      </c>
      <c r="DG106" s="384">
        <v>0.499999999999999</v>
      </c>
      <c r="DH106" s="384">
        <v>0.50347222222222099</v>
      </c>
      <c r="DI106" s="384">
        <v>0.50694444444444298</v>
      </c>
      <c r="DJ106" s="384">
        <v>0.51041666666666496</v>
      </c>
      <c r="DK106" s="384">
        <v>0.51388888888888695</v>
      </c>
      <c r="DL106" s="384">
        <v>0.51736111111111005</v>
      </c>
      <c r="DM106" s="384">
        <v>0.52083333333333204</v>
      </c>
      <c r="DN106" s="384">
        <v>0.52430555555555403</v>
      </c>
      <c r="DO106" s="384">
        <v>0.52777777777777601</v>
      </c>
      <c r="DP106" s="384">
        <v>0.531249999999999</v>
      </c>
      <c r="DQ106" s="384">
        <v>0.53472222222222099</v>
      </c>
      <c r="DR106" s="384">
        <v>0.53819444444444298</v>
      </c>
      <c r="DS106" s="384">
        <v>0.54166666666666496</v>
      </c>
      <c r="DT106" s="384">
        <v>0.54513888888888695</v>
      </c>
      <c r="DU106" s="384">
        <v>0.54861111111111005</v>
      </c>
      <c r="DV106" s="384">
        <v>0.55208333333333204</v>
      </c>
      <c r="DW106" s="384">
        <v>0.55555555555555403</v>
      </c>
      <c r="DX106" s="384">
        <v>0.55902777777777601</v>
      </c>
      <c r="DY106" s="384">
        <v>0.562499999999998</v>
      </c>
      <c r="DZ106" s="384">
        <v>0.56597222222222099</v>
      </c>
      <c r="EA106" s="384">
        <v>0.56944444444444298</v>
      </c>
      <c r="EB106" s="384">
        <v>0.57291666666666496</v>
      </c>
      <c r="EC106" s="384">
        <v>0.57638888888888695</v>
      </c>
      <c r="ED106" s="384">
        <v>0.57986111111110905</v>
      </c>
      <c r="EE106" s="384">
        <v>0.58333333333333204</v>
      </c>
      <c r="EF106" s="384">
        <v>0.58680555555555403</v>
      </c>
      <c r="EG106" s="384">
        <v>0.59027777777777601</v>
      </c>
      <c r="EH106" s="384">
        <v>0.593749999999998</v>
      </c>
      <c r="EI106" s="384">
        <v>0.59722222222222099</v>
      </c>
      <c r="EJ106" s="384">
        <v>0.60069444444444298</v>
      </c>
      <c r="EK106" s="384">
        <v>0.60416666666666496</v>
      </c>
      <c r="EL106" s="384">
        <v>0.60763888888888695</v>
      </c>
      <c r="EM106" s="384">
        <v>0.61111111111110905</v>
      </c>
      <c r="EN106" s="384">
        <v>0.61458333333333204</v>
      </c>
      <c r="EO106" s="384">
        <v>0.61805555555555403</v>
      </c>
      <c r="EP106" s="384">
        <v>0.62152777777777601</v>
      </c>
      <c r="EQ106" s="384">
        <v>0.624999999999998</v>
      </c>
      <c r="ER106" s="384">
        <v>0.62847222222221999</v>
      </c>
      <c r="ES106" s="384">
        <v>0.63194444444444298</v>
      </c>
      <c r="ET106" s="384">
        <v>0.63541666666666496</v>
      </c>
      <c r="EU106" s="384">
        <v>0.63888888888888695</v>
      </c>
      <c r="EV106" s="384">
        <v>0.64236111111110905</v>
      </c>
      <c r="EW106" s="384">
        <v>0.64583333333333104</v>
      </c>
      <c r="EX106" s="384">
        <v>0.64930555555555403</v>
      </c>
      <c r="EY106" s="384">
        <v>0.65277777777777601</v>
      </c>
      <c r="EZ106" s="384">
        <v>0.656249999999998</v>
      </c>
      <c r="FA106" s="384">
        <v>0.65972222222221999</v>
      </c>
      <c r="FB106" s="384">
        <v>0.66319444444444198</v>
      </c>
      <c r="FC106" s="384">
        <v>0.66666666666666496</v>
      </c>
      <c r="FD106" s="384">
        <v>0.67013888888888695</v>
      </c>
      <c r="FE106" s="384">
        <v>0.67361111111110905</v>
      </c>
      <c r="FF106" s="384">
        <v>0.67708333333333104</v>
      </c>
      <c r="FG106" s="384">
        <v>0.68055555555555403</v>
      </c>
      <c r="FH106" s="384">
        <v>0.68402777777777601</v>
      </c>
      <c r="FI106" s="384">
        <v>0.687499999999998</v>
      </c>
      <c r="FJ106" s="384">
        <v>0.69097222222221999</v>
      </c>
      <c r="FK106" s="384">
        <v>0.69444444444444198</v>
      </c>
      <c r="FL106" s="384">
        <v>0.69791666666666496</v>
      </c>
      <c r="FM106" s="384">
        <v>0.70138888888888695</v>
      </c>
      <c r="FN106" s="384">
        <v>0.70486111111110905</v>
      </c>
      <c r="FO106" s="384">
        <v>0.70833333333333104</v>
      </c>
      <c r="FP106" s="384">
        <v>0.71180555555555303</v>
      </c>
      <c r="FQ106" s="384">
        <v>0.71527777777777601</v>
      </c>
      <c r="FR106" s="384">
        <v>0.718749999999998</v>
      </c>
      <c r="FS106" s="384">
        <v>0.72222222222221999</v>
      </c>
      <c r="FT106" s="384">
        <v>0.72569444444444198</v>
      </c>
      <c r="FU106" s="384">
        <v>0.72916666666666397</v>
      </c>
      <c r="FV106" s="384">
        <v>0.73263888888888695</v>
      </c>
      <c r="FW106" s="384">
        <v>0.73611111111110905</v>
      </c>
      <c r="FX106" s="384">
        <v>0.73958333333333104</v>
      </c>
      <c r="FY106" s="384">
        <v>0.74305555555555303</v>
      </c>
      <c r="FZ106" s="384">
        <v>0.74652777777777601</v>
      </c>
      <c r="GA106" s="384">
        <v>0.749999999999998</v>
      </c>
      <c r="GB106" s="384">
        <v>0.75347222222221999</v>
      </c>
      <c r="GC106" s="384">
        <v>0.75694444444444198</v>
      </c>
      <c r="GD106" s="384">
        <v>0.76041666666666397</v>
      </c>
      <c r="GE106" s="384">
        <v>0.76388888888888695</v>
      </c>
      <c r="GF106" s="384">
        <v>0.76736111111110905</v>
      </c>
      <c r="GG106" s="384">
        <v>0.77083333333333104</v>
      </c>
      <c r="GH106" s="384">
        <v>0.77430555555555303</v>
      </c>
      <c r="GI106" s="384">
        <v>0.77777777777777501</v>
      </c>
      <c r="GJ106" s="384">
        <v>0.781249999999998</v>
      </c>
      <c r="GK106" s="384">
        <v>0.78472222222221999</v>
      </c>
      <c r="GL106" s="384">
        <v>0.78819444444444198</v>
      </c>
      <c r="GM106" s="384">
        <v>0.79166666666666397</v>
      </c>
      <c r="GN106" s="384">
        <v>0.79513888888888595</v>
      </c>
      <c r="GO106" s="384">
        <v>0.79861111111110905</v>
      </c>
      <c r="GP106" s="384">
        <v>0.80208333333333104</v>
      </c>
      <c r="GQ106" s="384">
        <v>0.80555555555555303</v>
      </c>
      <c r="GR106" s="384">
        <v>0.80902777777777501</v>
      </c>
      <c r="GS106" s="384">
        <v>0.812499999999998</v>
      </c>
      <c r="GT106" s="384">
        <v>0.81597222222221999</v>
      </c>
      <c r="GU106" s="384">
        <v>0.81944444444444198</v>
      </c>
      <c r="GV106" s="384">
        <v>0.82291666666666397</v>
      </c>
      <c r="GW106" s="384">
        <v>0.82638888888888595</v>
      </c>
      <c r="GX106" s="384">
        <v>0.82986111111110905</v>
      </c>
      <c r="GY106" s="384">
        <v>0.83333333333333104</v>
      </c>
      <c r="GZ106" s="384">
        <v>0.83680555555555303</v>
      </c>
      <c r="HA106" s="384">
        <v>0.84027777777777501</v>
      </c>
      <c r="HB106" s="384">
        <v>0.843749999999997</v>
      </c>
      <c r="HC106" s="384">
        <v>0.84722222222221999</v>
      </c>
      <c r="HD106" s="384">
        <v>0.85069444444444198</v>
      </c>
      <c r="HE106" s="384">
        <v>0.85416666666666397</v>
      </c>
      <c r="HF106" s="384">
        <v>0.85763888888888595</v>
      </c>
      <c r="HG106" s="384">
        <v>0.86111111111110805</v>
      </c>
      <c r="HH106" s="384">
        <v>0.86458333333333104</v>
      </c>
      <c r="HI106" s="384">
        <v>0.86805555555555303</v>
      </c>
      <c r="HJ106" s="384">
        <v>0.87152777777777501</v>
      </c>
      <c r="HK106" s="384">
        <v>0.874999999999997</v>
      </c>
      <c r="HL106" s="384">
        <v>0.87847222222221999</v>
      </c>
      <c r="HM106" s="384">
        <v>0.88194444444444198</v>
      </c>
      <c r="HN106" s="384">
        <v>0.88541666666666397</v>
      </c>
      <c r="HO106" s="384">
        <v>0.88888888888888595</v>
      </c>
      <c r="HP106" s="384">
        <v>0.89236111111110805</v>
      </c>
      <c r="HQ106" s="384">
        <v>0.89583333333333104</v>
      </c>
      <c r="HR106" s="384">
        <v>0.89930555555555303</v>
      </c>
      <c r="HS106" s="384">
        <v>0.90277777777777501</v>
      </c>
      <c r="HT106" s="384">
        <v>0.906249999999997</v>
      </c>
      <c r="HU106" s="384">
        <v>0.90972222222221899</v>
      </c>
      <c r="HV106" s="384">
        <v>0.91319444444444198</v>
      </c>
      <c r="HW106" s="384">
        <v>0.91666666666666397</v>
      </c>
      <c r="HX106" s="384">
        <v>0.92013888888888595</v>
      </c>
      <c r="HY106" s="384">
        <v>0.92361111111110805</v>
      </c>
      <c r="HZ106" s="384">
        <v>0.92708333333333004</v>
      </c>
      <c r="IA106" s="384">
        <v>0.93055555555555303</v>
      </c>
      <c r="IB106" s="384">
        <v>0.93402777777777501</v>
      </c>
      <c r="IC106" s="384">
        <v>0.937499999999997</v>
      </c>
      <c r="ID106" s="384">
        <v>0.94097222222221899</v>
      </c>
      <c r="IE106" s="384">
        <v>0.94444444444444098</v>
      </c>
      <c r="IF106" s="384">
        <v>0.94791666666666397</v>
      </c>
      <c r="IG106" s="384">
        <v>0.95138888888888595</v>
      </c>
      <c r="IH106" s="384">
        <v>0.95486111111110805</v>
      </c>
      <c r="II106" s="384">
        <v>0.95833333333333004</v>
      </c>
      <c r="IJ106" s="384">
        <v>0.96180555555555303</v>
      </c>
      <c r="IK106" s="384">
        <v>0.96527777777777501</v>
      </c>
      <c r="IL106" s="384">
        <v>0.968749999999997</v>
      </c>
      <c r="IM106" s="384">
        <v>0.97222222222221899</v>
      </c>
      <c r="IN106" s="384">
        <v>0.97569444444444098</v>
      </c>
      <c r="IO106" s="384">
        <v>0.97916666666666397</v>
      </c>
      <c r="IP106" s="384">
        <v>0.98263888888888595</v>
      </c>
      <c r="IQ106" s="384">
        <v>0.98611111111110805</v>
      </c>
      <c r="IR106" s="384">
        <v>0.98958333333333004</v>
      </c>
      <c r="IS106" s="384">
        <v>0.99305555555555203</v>
      </c>
      <c r="IT106" s="384">
        <v>0.99652777777777501</v>
      </c>
      <c r="IU106" s="384">
        <v>0.999999999999997</v>
      </c>
    </row>
    <row r="107" spans="1:255" s="378" customFormat="1" ht="13.5" hidden="1" customHeight="1">
      <c r="A107" s="631" t="s">
        <v>143</v>
      </c>
      <c r="B107" s="632"/>
      <c r="C107" s="632"/>
      <c r="D107" s="632"/>
      <c r="E107" s="632"/>
      <c r="F107" s="632"/>
      <c r="G107" s="632"/>
      <c r="H107" s="632"/>
      <c r="I107" s="632"/>
      <c r="J107" s="632"/>
      <c r="K107" s="633"/>
      <c r="L107" s="529"/>
      <c r="M107" s="530"/>
      <c r="N107" s="383" t="s">
        <v>54</v>
      </c>
      <c r="O107" s="530"/>
      <c r="P107" s="530"/>
      <c r="Q107" s="379"/>
      <c r="R107" s="382"/>
      <c r="S107" s="382"/>
      <c r="T107" s="382"/>
      <c r="U107" s="382"/>
      <c r="V107" s="382"/>
    </row>
    <row r="108" spans="1:255" s="378" customFormat="1" ht="13.5" hidden="1" customHeight="1">
      <c r="A108" s="627" t="s">
        <v>101</v>
      </c>
      <c r="B108" s="627"/>
      <c r="C108" s="627"/>
      <c r="D108" s="627"/>
      <c r="E108" s="627"/>
      <c r="F108" s="627"/>
      <c r="G108" s="627"/>
      <c r="H108" s="627"/>
      <c r="I108" s="627"/>
      <c r="J108" s="627"/>
      <c r="K108" s="627"/>
      <c r="L108" s="529"/>
      <c r="M108" s="530"/>
      <c r="N108" s="383" t="s">
        <v>54</v>
      </c>
      <c r="O108" s="530"/>
      <c r="P108" s="1013"/>
      <c r="Q108" s="382"/>
      <c r="R108" s="382"/>
      <c r="S108" s="382"/>
      <c r="T108" s="382"/>
      <c r="U108" s="382"/>
      <c r="V108" s="382"/>
      <c r="W108" s="382"/>
      <c r="X108" s="382"/>
      <c r="Y108" s="382"/>
      <c r="Z108" s="382"/>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85"/>
      <c r="BG108" s="385"/>
      <c r="BH108" s="385"/>
      <c r="BI108" s="385"/>
      <c r="BJ108" s="385"/>
      <c r="BK108" s="385"/>
      <c r="BL108" s="385"/>
      <c r="BM108" s="385"/>
      <c r="BN108" s="385"/>
      <c r="BO108" s="385"/>
      <c r="BP108" s="385"/>
      <c r="BQ108" s="385"/>
      <c r="BR108" s="385"/>
      <c r="BS108" s="385"/>
      <c r="BT108" s="385"/>
      <c r="BU108" s="385"/>
      <c r="BV108" s="385"/>
      <c r="BW108" s="385"/>
      <c r="BX108" s="385"/>
      <c r="BY108" s="385"/>
      <c r="BZ108" s="385"/>
      <c r="CA108" s="385"/>
      <c r="CB108" s="385"/>
      <c r="CC108" s="385"/>
      <c r="CD108" s="385"/>
      <c r="CE108" s="385"/>
      <c r="CF108" s="385"/>
      <c r="CG108" s="385"/>
      <c r="CH108" s="385"/>
      <c r="CI108" s="385"/>
      <c r="CJ108" s="385"/>
      <c r="CK108" s="385"/>
      <c r="CL108" s="385"/>
      <c r="CM108" s="385"/>
      <c r="CN108" s="385"/>
      <c r="CO108" s="385"/>
      <c r="CP108" s="385"/>
      <c r="CQ108" s="385"/>
      <c r="CR108" s="385"/>
      <c r="CS108" s="385"/>
      <c r="CT108" s="385"/>
      <c r="CU108" s="385"/>
      <c r="CV108" s="385"/>
      <c r="CW108" s="385"/>
      <c r="CX108" s="385"/>
      <c r="CY108" s="385"/>
      <c r="CZ108" s="385"/>
      <c r="DA108" s="385"/>
      <c r="DB108" s="385"/>
      <c r="DC108" s="385"/>
      <c r="DD108" s="385"/>
      <c r="DE108" s="385"/>
      <c r="DF108" s="385"/>
      <c r="DG108" s="385"/>
      <c r="DH108" s="385"/>
      <c r="DI108" s="385"/>
      <c r="DJ108" s="385"/>
      <c r="DK108" s="385"/>
      <c r="DL108" s="385"/>
      <c r="DM108" s="385"/>
      <c r="DN108" s="385"/>
      <c r="DO108" s="385"/>
      <c r="DP108" s="385"/>
      <c r="DQ108" s="385"/>
      <c r="DR108" s="385"/>
      <c r="DS108" s="385"/>
      <c r="DT108" s="385"/>
      <c r="DU108" s="385"/>
      <c r="DV108" s="385"/>
      <c r="DW108" s="385"/>
      <c r="DX108" s="385"/>
      <c r="DY108" s="385"/>
      <c r="DZ108" s="385"/>
      <c r="EA108" s="385"/>
      <c r="EB108" s="385"/>
      <c r="EC108" s="385"/>
      <c r="ED108" s="385"/>
      <c r="EE108" s="385"/>
      <c r="EF108" s="385"/>
      <c r="EG108" s="385"/>
      <c r="EH108" s="385"/>
      <c r="EI108" s="385"/>
      <c r="EJ108" s="385"/>
      <c r="EK108" s="385"/>
      <c r="EL108" s="385"/>
      <c r="EM108" s="385"/>
      <c r="EN108" s="385"/>
      <c r="EO108" s="385"/>
      <c r="EP108" s="385"/>
      <c r="EQ108" s="385"/>
      <c r="ER108" s="385"/>
      <c r="ES108" s="385"/>
      <c r="ET108" s="385"/>
      <c r="EU108" s="385"/>
      <c r="EV108" s="385"/>
      <c r="EW108" s="385"/>
      <c r="EX108" s="385"/>
      <c r="EY108" s="385"/>
      <c r="EZ108" s="385"/>
      <c r="FA108" s="385"/>
      <c r="FB108" s="385"/>
      <c r="FC108" s="385"/>
      <c r="FD108" s="385"/>
      <c r="FE108" s="385"/>
      <c r="FF108" s="385"/>
      <c r="FG108" s="385"/>
      <c r="FH108" s="385"/>
      <c r="FI108" s="385"/>
      <c r="FJ108" s="385"/>
      <c r="FK108" s="385"/>
      <c r="FL108" s="385"/>
      <c r="FM108" s="385"/>
      <c r="FN108" s="385"/>
      <c r="FO108" s="385"/>
    </row>
    <row r="109" spans="1:255" s="378" customFormat="1" ht="13.5" hidden="1" customHeight="1">
      <c r="A109" s="627" t="s">
        <v>423</v>
      </c>
      <c r="B109" s="627"/>
      <c r="C109" s="627"/>
      <c r="D109" s="627"/>
      <c r="E109" s="627"/>
      <c r="F109" s="627"/>
      <c r="G109" s="627"/>
      <c r="H109" s="627"/>
      <c r="I109" s="627"/>
      <c r="J109" s="627"/>
      <c r="K109" s="627"/>
      <c r="L109" s="529"/>
      <c r="M109" s="530"/>
      <c r="N109" s="383" t="s">
        <v>54</v>
      </c>
      <c r="O109" s="530"/>
      <c r="P109" s="1013"/>
      <c r="Q109" s="382"/>
      <c r="R109" s="382"/>
      <c r="S109" s="382"/>
      <c r="T109" s="382"/>
      <c r="U109" s="382"/>
      <c r="V109" s="382"/>
      <c r="W109" s="382"/>
      <c r="X109" s="382"/>
      <c r="Y109" s="382"/>
      <c r="Z109" s="382"/>
    </row>
    <row r="110" spans="1:255" s="378" customFormat="1" ht="13.5" hidden="1" customHeight="1">
      <c r="A110" s="382"/>
      <c r="B110" s="382"/>
      <c r="C110" s="382"/>
      <c r="D110" s="382"/>
      <c r="E110" s="382"/>
      <c r="F110" s="382"/>
      <c r="G110" s="382"/>
      <c r="H110" s="382"/>
      <c r="I110" s="382"/>
      <c r="J110" s="382"/>
      <c r="K110" s="382"/>
      <c r="L110" s="382"/>
      <c r="M110" s="382"/>
      <c r="N110" s="382"/>
      <c r="O110" s="382"/>
      <c r="P110" s="382"/>
      <c r="Q110" s="382"/>
      <c r="R110" s="382"/>
      <c r="S110" s="382"/>
      <c r="U110" s="382"/>
      <c r="V110" s="382"/>
      <c r="W110" s="382"/>
      <c r="X110" s="382"/>
      <c r="Y110" s="382"/>
      <c r="Z110" s="382"/>
    </row>
    <row r="111" spans="1:255" s="378" customFormat="1" ht="13.5" customHeight="1">
      <c r="A111" s="1016" t="s">
        <v>102</v>
      </c>
      <c r="B111" s="1016"/>
      <c r="C111" s="1016"/>
      <c r="D111" s="1016"/>
      <c r="E111" s="1016"/>
      <c r="F111" s="1016"/>
      <c r="G111" s="1016"/>
      <c r="H111" s="1015" t="s">
        <v>103</v>
      </c>
      <c r="I111" s="1015"/>
      <c r="J111" s="1015"/>
      <c r="K111" s="1015"/>
      <c r="L111" s="1015"/>
      <c r="M111" s="1015"/>
      <c r="N111" s="1015"/>
      <c r="O111" s="1015"/>
      <c r="P111" s="1015"/>
      <c r="Q111" s="1015"/>
      <c r="R111" s="1015"/>
      <c r="S111" s="386"/>
      <c r="AA111" s="387">
        <v>4</v>
      </c>
      <c r="AB111" s="387">
        <v>5</v>
      </c>
      <c r="AC111" s="387">
        <v>6</v>
      </c>
      <c r="AD111" s="387">
        <v>7</v>
      </c>
      <c r="AE111" s="387">
        <v>8</v>
      </c>
      <c r="AF111" s="387">
        <v>9</v>
      </c>
      <c r="AG111" s="387">
        <v>10</v>
      </c>
      <c r="AH111" s="387">
        <v>11</v>
      </c>
      <c r="AI111" s="387">
        <v>12</v>
      </c>
      <c r="AJ111" s="387">
        <v>1</v>
      </c>
      <c r="AK111" s="387">
        <v>2</v>
      </c>
      <c r="AL111" s="387">
        <v>3</v>
      </c>
    </row>
    <row r="112" spans="1:255" s="378" customFormat="1" ht="13.5" customHeight="1">
      <c r="A112" s="1014" t="s">
        <v>424</v>
      </c>
      <c r="B112" s="1010">
        <v>4</v>
      </c>
      <c r="C112" s="1011"/>
      <c r="D112" s="1010">
        <v>5</v>
      </c>
      <c r="E112" s="1011"/>
      <c r="F112" s="1010">
        <v>6</v>
      </c>
      <c r="G112" s="1011"/>
      <c r="H112" s="1010">
        <v>7</v>
      </c>
      <c r="I112" s="1011"/>
      <c r="J112" s="1010">
        <v>8</v>
      </c>
      <c r="K112" s="1011"/>
      <c r="L112" s="1010">
        <v>9</v>
      </c>
      <c r="M112" s="1011"/>
      <c r="N112" s="388"/>
      <c r="O112" s="1014" t="s">
        <v>424</v>
      </c>
      <c r="P112" s="389" t="s">
        <v>104</v>
      </c>
      <c r="Q112" s="390"/>
      <c r="R112" s="390" t="str">
        <f>U126&amp;"月"&amp;IF(X126=U126,"）","～"&amp;X126&amp;"月）")</f>
        <v>4月）</v>
      </c>
      <c r="S112" s="390"/>
      <c r="T112" s="390"/>
      <c r="U112" s="390"/>
      <c r="V112" s="390" t="s">
        <v>105</v>
      </c>
      <c r="W112" s="390"/>
      <c r="X112" s="391"/>
      <c r="Y112" s="386"/>
      <c r="Z112" s="386"/>
      <c r="AA112" s="392">
        <f>B113</f>
        <v>0</v>
      </c>
      <c r="AB112" s="392">
        <f>D113</f>
        <v>0</v>
      </c>
      <c r="AC112" s="392">
        <f>F113</f>
        <v>0</v>
      </c>
      <c r="AD112" s="392">
        <f>H113</f>
        <v>0</v>
      </c>
      <c r="AE112" s="392">
        <f>J113</f>
        <v>0</v>
      </c>
      <c r="AF112" s="392">
        <f>L113</f>
        <v>0</v>
      </c>
      <c r="AG112" s="392">
        <f>B115</f>
        <v>0</v>
      </c>
      <c r="AH112" s="392">
        <f>D115</f>
        <v>0</v>
      </c>
      <c r="AI112" s="392">
        <f>F115</f>
        <v>0</v>
      </c>
      <c r="AJ112" s="392">
        <f>H115</f>
        <v>0</v>
      </c>
      <c r="AK112" s="392">
        <f>J115</f>
        <v>0</v>
      </c>
      <c r="AL112" s="392">
        <f>L115</f>
        <v>0</v>
      </c>
    </row>
    <row r="113" spans="1:38" s="378" customFormat="1" ht="13.5" customHeight="1">
      <c r="A113" s="1014"/>
      <c r="B113" s="1012"/>
      <c r="C113" s="1012"/>
      <c r="D113" s="948"/>
      <c r="E113" s="949"/>
      <c r="F113" s="948"/>
      <c r="G113" s="949"/>
      <c r="H113" s="948"/>
      <c r="I113" s="949"/>
      <c r="J113" s="948"/>
      <c r="K113" s="949"/>
      <c r="L113" s="948"/>
      <c r="M113" s="949"/>
      <c r="N113" s="388"/>
      <c r="O113" s="1014"/>
      <c r="P113" s="393" t="s">
        <v>106</v>
      </c>
      <c r="Q113" s="394"/>
      <c r="R113" s="394"/>
      <c r="S113" s="394"/>
      <c r="T113" s="394"/>
      <c r="U113" s="394"/>
      <c r="V113" s="394"/>
      <c r="W113" s="394"/>
      <c r="X113" s="395"/>
      <c r="Y113" s="371"/>
      <c r="Z113" s="386"/>
    </row>
    <row r="114" spans="1:38" s="378" customFormat="1" ht="13.5" customHeight="1">
      <c r="A114" s="1014"/>
      <c r="B114" s="1010">
        <v>10</v>
      </c>
      <c r="C114" s="1011"/>
      <c r="D114" s="1010">
        <v>11</v>
      </c>
      <c r="E114" s="1011"/>
      <c r="F114" s="1010">
        <v>12</v>
      </c>
      <c r="G114" s="1011"/>
      <c r="H114" s="1010">
        <v>1</v>
      </c>
      <c r="I114" s="1011"/>
      <c r="J114" s="1010">
        <v>2</v>
      </c>
      <c r="K114" s="1011"/>
      <c r="L114" s="1010">
        <v>3</v>
      </c>
      <c r="M114" s="1011"/>
      <c r="N114" s="388"/>
      <c r="O114" s="1014"/>
      <c r="P114" s="604">
        <f>HLOOKUP(U126,AA111:AL112,2,FALSE)</f>
        <v>0</v>
      </c>
      <c r="Q114" s="605"/>
      <c r="R114" s="605"/>
      <c r="S114" s="605"/>
      <c r="T114" s="558" t="s">
        <v>724</v>
      </c>
      <c r="U114" s="558"/>
      <c r="V114" s="558"/>
      <c r="W114" s="560"/>
      <c r="X114" s="386"/>
      <c r="Y114" s="386"/>
    </row>
    <row r="115" spans="1:38" s="378" customFormat="1" ht="13.5" customHeight="1">
      <c r="A115" s="1014"/>
      <c r="B115" s="1012"/>
      <c r="C115" s="1012"/>
      <c r="D115" s="948"/>
      <c r="E115" s="949"/>
      <c r="F115" s="948"/>
      <c r="G115" s="949"/>
      <c r="H115" s="948"/>
      <c r="I115" s="949"/>
      <c r="J115" s="948"/>
      <c r="K115" s="949"/>
      <c r="L115" s="948"/>
      <c r="M115" s="949"/>
      <c r="N115" s="388"/>
      <c r="O115" s="1014"/>
      <c r="P115" s="606"/>
      <c r="Q115" s="607"/>
      <c r="R115" s="607"/>
      <c r="S115" s="607"/>
      <c r="T115" s="559">
        <v>0</v>
      </c>
      <c r="U115" s="559"/>
      <c r="V115" s="559"/>
      <c r="W115" s="561"/>
      <c r="X115" s="386"/>
      <c r="Y115" s="386"/>
      <c r="AA115" s="387">
        <v>4</v>
      </c>
      <c r="AB115" s="387">
        <v>5</v>
      </c>
      <c r="AC115" s="387">
        <v>6</v>
      </c>
      <c r="AD115" s="387">
        <v>7</v>
      </c>
      <c r="AE115" s="387">
        <v>8</v>
      </c>
      <c r="AF115" s="387">
        <v>9</v>
      </c>
      <c r="AG115" s="387">
        <v>10</v>
      </c>
      <c r="AH115" s="387">
        <v>11</v>
      </c>
      <c r="AI115" s="387">
        <v>12</v>
      </c>
      <c r="AJ115" s="387">
        <v>1</v>
      </c>
      <c r="AK115" s="387">
        <v>2</v>
      </c>
      <c r="AL115" s="387">
        <v>3</v>
      </c>
    </row>
    <row r="116" spans="1:38" s="378" customFormat="1" ht="13.5" customHeight="1">
      <c r="A116" s="1014" t="s">
        <v>425</v>
      </c>
      <c r="B116" s="1010">
        <v>4</v>
      </c>
      <c r="C116" s="1011"/>
      <c r="D116" s="1010">
        <v>5</v>
      </c>
      <c r="E116" s="1011"/>
      <c r="F116" s="1010">
        <v>6</v>
      </c>
      <c r="G116" s="1011"/>
      <c r="H116" s="1010">
        <v>7</v>
      </c>
      <c r="I116" s="1011"/>
      <c r="J116" s="1010">
        <v>8</v>
      </c>
      <c r="K116" s="1011"/>
      <c r="L116" s="1010">
        <v>9</v>
      </c>
      <c r="M116" s="1011"/>
      <c r="N116" s="388"/>
      <c r="O116" s="1014" t="s">
        <v>425</v>
      </c>
      <c r="P116" s="395" t="s">
        <v>104</v>
      </c>
      <c r="Q116" s="371"/>
      <c r="R116" s="390" t="str">
        <f>U126&amp;"月"&amp;IF(X126=U126,"）","～"&amp;X126&amp;"月）")</f>
        <v>4月）</v>
      </c>
      <c r="S116" s="371"/>
      <c r="T116" s="371"/>
      <c r="U116" s="371"/>
      <c r="V116" s="371" t="s">
        <v>105</v>
      </c>
      <c r="W116" s="371"/>
      <c r="X116" s="396"/>
      <c r="Y116" s="396"/>
      <c r="Z116" s="397"/>
      <c r="AA116" s="398">
        <f>B117</f>
        <v>0</v>
      </c>
      <c r="AB116" s="392">
        <f>D117</f>
        <v>0</v>
      </c>
      <c r="AC116" s="392">
        <f>F117</f>
        <v>0</v>
      </c>
      <c r="AD116" s="392">
        <f>H117</f>
        <v>0</v>
      </c>
      <c r="AE116" s="392">
        <f>J117</f>
        <v>0</v>
      </c>
      <c r="AF116" s="392">
        <f>L117</f>
        <v>0</v>
      </c>
      <c r="AG116" s="392">
        <f>B119</f>
        <v>0</v>
      </c>
      <c r="AH116" s="392">
        <f>D119</f>
        <v>0</v>
      </c>
      <c r="AI116" s="392">
        <f>F119</f>
        <v>0</v>
      </c>
      <c r="AJ116" s="392">
        <f>H119</f>
        <v>0</v>
      </c>
      <c r="AK116" s="392">
        <f>J119</f>
        <v>0</v>
      </c>
      <c r="AL116" s="392">
        <f>L119</f>
        <v>0</v>
      </c>
    </row>
    <row r="117" spans="1:38" s="378" customFormat="1" ht="13.5" customHeight="1">
      <c r="A117" s="1014"/>
      <c r="B117" s="1012"/>
      <c r="C117" s="1012"/>
      <c r="D117" s="948"/>
      <c r="E117" s="949"/>
      <c r="F117" s="948"/>
      <c r="G117" s="949"/>
      <c r="H117" s="948"/>
      <c r="I117" s="949"/>
      <c r="J117" s="948"/>
      <c r="K117" s="949"/>
      <c r="L117" s="948"/>
      <c r="M117" s="949"/>
      <c r="N117" s="388"/>
      <c r="O117" s="1014"/>
      <c r="P117" s="393" t="s">
        <v>106</v>
      </c>
      <c r="Q117" s="394"/>
      <c r="R117" s="394"/>
      <c r="S117" s="394"/>
      <c r="T117" s="394"/>
      <c r="U117" s="394"/>
      <c r="V117" s="394"/>
      <c r="W117" s="394"/>
      <c r="X117" s="394"/>
      <c r="Y117" s="394"/>
      <c r="Z117" s="399"/>
    </row>
    <row r="118" spans="1:38" s="378" customFormat="1" ht="13.5" customHeight="1">
      <c r="A118" s="1014"/>
      <c r="B118" s="1010">
        <v>10</v>
      </c>
      <c r="C118" s="1011"/>
      <c r="D118" s="1010">
        <v>11</v>
      </c>
      <c r="E118" s="1011"/>
      <c r="F118" s="1010">
        <v>12</v>
      </c>
      <c r="G118" s="1011"/>
      <c r="H118" s="1010">
        <v>1</v>
      </c>
      <c r="I118" s="1011"/>
      <c r="J118" s="1010">
        <v>2</v>
      </c>
      <c r="K118" s="1011"/>
      <c r="L118" s="1010">
        <v>3</v>
      </c>
      <c r="M118" s="1011"/>
      <c r="N118" s="388"/>
      <c r="O118" s="1014"/>
      <c r="P118" s="604">
        <f>HLOOKUP(U126,AA115:AL116,2,FALSE)</f>
        <v>0</v>
      </c>
      <c r="Q118" s="605"/>
      <c r="R118" s="605"/>
      <c r="S118" s="605"/>
      <c r="T118" s="558" t="s">
        <v>747</v>
      </c>
      <c r="U118" s="558"/>
      <c r="V118" s="558"/>
      <c r="W118" s="558" t="s">
        <v>724</v>
      </c>
      <c r="X118" s="558"/>
      <c r="Y118" s="558"/>
      <c r="Z118" s="560"/>
    </row>
    <row r="119" spans="1:38" s="378" customFormat="1" ht="13.5" customHeight="1">
      <c r="A119" s="1014"/>
      <c r="B119" s="1012"/>
      <c r="C119" s="1012"/>
      <c r="D119" s="948"/>
      <c r="E119" s="949"/>
      <c r="F119" s="948"/>
      <c r="G119" s="949"/>
      <c r="H119" s="948"/>
      <c r="I119" s="949"/>
      <c r="J119" s="948"/>
      <c r="K119" s="949"/>
      <c r="L119" s="948"/>
      <c r="M119" s="949"/>
      <c r="N119" s="388"/>
      <c r="O119" s="1014"/>
      <c r="P119" s="606"/>
      <c r="Q119" s="607"/>
      <c r="R119" s="607"/>
      <c r="S119" s="607"/>
      <c r="T119" s="559"/>
      <c r="U119" s="559"/>
      <c r="V119" s="559"/>
      <c r="W119" s="559"/>
      <c r="X119" s="559"/>
      <c r="Y119" s="559"/>
      <c r="Z119" s="561"/>
    </row>
    <row r="120" spans="1:38" s="378" customFormat="1" ht="13.5" customHeight="1"/>
    <row r="121" spans="1:38" s="378" customFormat="1" ht="13.5" customHeight="1">
      <c r="A121" s="400" t="s">
        <v>641</v>
      </c>
      <c r="B121" s="363"/>
      <c r="C121" s="363"/>
      <c r="D121" s="363"/>
      <c r="E121" s="363"/>
      <c r="F121" s="363"/>
    </row>
    <row r="122" spans="1:38" s="378" customFormat="1" ht="13.5" customHeight="1">
      <c r="A122" s="1202" t="s">
        <v>835</v>
      </c>
      <c r="B122" s="1203"/>
      <c r="C122" s="1203"/>
      <c r="D122" s="1203"/>
      <c r="E122" s="1203"/>
      <c r="F122" s="1203"/>
      <c r="G122" s="1203"/>
      <c r="H122" s="1203"/>
      <c r="I122" s="1203"/>
      <c r="J122" s="1203"/>
      <c r="K122" s="1203"/>
      <c r="L122" s="1203"/>
      <c r="M122" s="1203"/>
      <c r="N122" s="1203"/>
      <c r="O122" s="1203"/>
      <c r="P122" s="1203"/>
      <c r="Q122" s="1203"/>
      <c r="R122" s="1203"/>
      <c r="S122" s="1203"/>
      <c r="T122" s="1203"/>
      <c r="U122" s="1203"/>
      <c r="V122" s="1203"/>
      <c r="W122" s="1203"/>
      <c r="X122" s="1203"/>
      <c r="Y122" s="1203"/>
      <c r="Z122" s="1204"/>
    </row>
    <row r="123" spans="1:38" s="378" customFormat="1" ht="13.5" customHeight="1">
      <c r="A123" s="1205"/>
      <c r="B123" s="1206"/>
      <c r="C123" s="1206"/>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7"/>
    </row>
    <row r="124" spans="1:38" s="378" customFormat="1" ht="13.5" customHeight="1">
      <c r="A124" s="1208"/>
      <c r="B124" s="1209"/>
      <c r="C124" s="1209"/>
      <c r="D124" s="1209"/>
      <c r="E124" s="1209"/>
      <c r="F124" s="1209"/>
      <c r="G124" s="1209"/>
      <c r="H124" s="1209"/>
      <c r="I124" s="1209"/>
      <c r="J124" s="1209"/>
      <c r="K124" s="1209"/>
      <c r="L124" s="1209"/>
      <c r="M124" s="1209"/>
      <c r="N124" s="1209"/>
      <c r="O124" s="1209"/>
      <c r="P124" s="1209"/>
      <c r="Q124" s="1209"/>
      <c r="R124" s="1209"/>
      <c r="S124" s="1209"/>
      <c r="T124" s="1209"/>
      <c r="U124" s="1209"/>
      <c r="V124" s="1209"/>
      <c r="W124" s="1209"/>
      <c r="X124" s="1209"/>
      <c r="Y124" s="1209"/>
      <c r="Z124" s="1210"/>
    </row>
    <row r="125" spans="1:38" s="378" customFormat="1" ht="26.25" customHeight="1">
      <c r="A125" s="613" t="s">
        <v>759</v>
      </c>
      <c r="B125" s="613"/>
      <c r="C125" s="613"/>
      <c r="D125" s="613"/>
      <c r="E125" s="613"/>
      <c r="F125" s="613"/>
      <c r="G125" s="613"/>
      <c r="H125" s="613"/>
      <c r="I125" s="613"/>
      <c r="J125" s="613"/>
      <c r="K125" s="613"/>
      <c r="L125" s="613"/>
      <c r="M125" s="613"/>
      <c r="N125" s="613"/>
      <c r="O125" s="613"/>
      <c r="P125" s="613"/>
      <c r="Q125" s="613"/>
      <c r="R125" s="613"/>
      <c r="S125" s="613"/>
      <c r="T125" s="613"/>
      <c r="U125" s="613"/>
      <c r="V125" s="613"/>
      <c r="W125" s="360"/>
      <c r="X125" s="360"/>
      <c r="Y125" s="360"/>
      <c r="Z125" s="360"/>
      <c r="AA125" s="401" t="s">
        <v>759</v>
      </c>
      <c r="AB125" s="401" t="s">
        <v>760</v>
      </c>
      <c r="AC125" s="401" t="s">
        <v>761</v>
      </c>
      <c r="AD125" s="401" t="s">
        <v>762</v>
      </c>
    </row>
    <row r="126" spans="1:38" ht="13.5" customHeight="1">
      <c r="U126" s="505">
        <f>M4</f>
        <v>4</v>
      </c>
      <c r="V126" s="505" t="s">
        <v>22</v>
      </c>
      <c r="W126" s="506" t="s">
        <v>54</v>
      </c>
      <c r="X126" s="505">
        <f>P4</f>
        <v>4</v>
      </c>
      <c r="Y126" s="363" t="s">
        <v>757</v>
      </c>
      <c r="Z126" s="378"/>
      <c r="AA126" s="403">
        <v>1</v>
      </c>
      <c r="AB126" s="404">
        <v>2</v>
      </c>
      <c r="AC126" s="404">
        <v>3</v>
      </c>
      <c r="AD126" s="404">
        <v>4</v>
      </c>
      <c r="AE126" s="404">
        <v>5</v>
      </c>
      <c r="AF126" s="404">
        <v>6</v>
      </c>
      <c r="AG126" s="404">
        <v>7</v>
      </c>
      <c r="AH126" s="404">
        <v>8</v>
      </c>
      <c r="AI126" s="404">
        <v>9</v>
      </c>
      <c r="AJ126" s="404">
        <v>10</v>
      </c>
      <c r="AK126" s="404">
        <v>11</v>
      </c>
      <c r="AL126" s="404">
        <v>12</v>
      </c>
    </row>
    <row r="127" spans="1:38" s="378" customFormat="1" ht="13.5" customHeight="1">
      <c r="A127" s="405" t="s">
        <v>536</v>
      </c>
      <c r="B127" s="405"/>
      <c r="C127" s="405"/>
      <c r="D127" s="405"/>
      <c r="E127" s="405"/>
      <c r="F127" s="405"/>
      <c r="G127" s="405"/>
      <c r="H127" s="405"/>
      <c r="I127" s="405"/>
      <c r="J127" s="405"/>
      <c r="K127" s="405"/>
      <c r="L127" s="405"/>
      <c r="M127" s="405"/>
      <c r="N127" s="405"/>
      <c r="O127" s="405"/>
      <c r="P127" s="405"/>
      <c r="Q127" s="405"/>
      <c r="R127" s="405"/>
      <c r="S127" s="405"/>
      <c r="T127" s="950"/>
      <c r="U127" s="950"/>
      <c r="V127" s="950"/>
      <c r="W127" s="950"/>
      <c r="X127" s="405"/>
      <c r="Y127" s="405"/>
      <c r="Z127" s="405"/>
    </row>
    <row r="128" spans="1:38" s="378" customFormat="1" ht="13.5" customHeight="1">
      <c r="A128" s="614" t="s">
        <v>3</v>
      </c>
      <c r="B128" s="611"/>
      <c r="C128" s="611"/>
      <c r="D128" s="611"/>
      <c r="E128" s="611"/>
      <c r="F128" s="611"/>
      <c r="G128" s="611"/>
      <c r="H128" s="612"/>
      <c r="I128" s="614" t="s">
        <v>6</v>
      </c>
      <c r="J128" s="611"/>
      <c r="K128" s="611"/>
      <c r="L128" s="612"/>
      <c r="M128" s="611" t="s">
        <v>107</v>
      </c>
      <c r="N128" s="612"/>
      <c r="O128" s="614" t="s">
        <v>108</v>
      </c>
      <c r="P128" s="611"/>
      <c r="Q128" s="612"/>
      <c r="R128" s="614" t="s">
        <v>109</v>
      </c>
      <c r="S128" s="611"/>
      <c r="T128" s="612"/>
      <c r="U128" s="614" t="s">
        <v>404</v>
      </c>
      <c r="V128" s="611"/>
      <c r="W128" s="612"/>
      <c r="X128" s="614" t="s">
        <v>405</v>
      </c>
      <c r="Y128" s="611"/>
      <c r="Z128" s="612"/>
    </row>
    <row r="129" spans="1:44" s="378" customFormat="1" ht="13.5" customHeight="1">
      <c r="A129" s="406" t="s">
        <v>37</v>
      </c>
      <c r="B129" s="979" t="s">
        <v>8</v>
      </c>
      <c r="C129" s="980"/>
      <c r="D129" s="980"/>
      <c r="E129" s="980"/>
      <c r="F129" s="980"/>
      <c r="G129" s="980"/>
      <c r="H129" s="981"/>
      <c r="I129" s="997"/>
      <c r="J129" s="998"/>
      <c r="K129" s="998"/>
      <c r="L129" s="998"/>
      <c r="M129" s="998"/>
      <c r="N129" s="1037"/>
      <c r="O129" s="571" t="e">
        <f ca="1">INDIRECT(計算用!$D$3)</f>
        <v>#N/A</v>
      </c>
      <c r="P129" s="572"/>
      <c r="Q129" s="572"/>
      <c r="R129" s="572"/>
      <c r="S129" s="572"/>
      <c r="T129" s="544"/>
      <c r="U129" s="571" t="e">
        <f ca="1">OFFSET(INDIRECT(計算用!$D$3),1,0)</f>
        <v>#N/A</v>
      </c>
      <c r="V129" s="572"/>
      <c r="W129" s="572"/>
      <c r="X129" s="572"/>
      <c r="Y129" s="572"/>
      <c r="Z129" s="544"/>
    </row>
    <row r="130" spans="1:44" s="378" customFormat="1" ht="13.5" customHeight="1">
      <c r="A130" s="407"/>
      <c r="B130" s="407"/>
      <c r="C130" s="407"/>
      <c r="D130" s="407"/>
      <c r="E130" s="407"/>
      <c r="F130" s="407"/>
      <c r="G130" s="407"/>
      <c r="H130" s="407"/>
      <c r="I130" s="408"/>
      <c r="J130" s="408"/>
      <c r="K130" s="408"/>
      <c r="L130" s="408"/>
      <c r="M130" s="408"/>
      <c r="N130" s="408"/>
      <c r="O130" s="409"/>
      <c r="P130" s="409"/>
      <c r="Q130" s="409"/>
      <c r="R130" s="409"/>
      <c r="S130" s="409"/>
      <c r="T130" s="409"/>
      <c r="U130" s="409"/>
      <c r="V130" s="409"/>
      <c r="W130" s="409"/>
      <c r="X130" s="409"/>
      <c r="Y130" s="409"/>
      <c r="Z130" s="409"/>
    </row>
    <row r="131" spans="1:44" s="378" customFormat="1" ht="13.5" customHeight="1">
      <c r="A131" s="410" t="s">
        <v>633</v>
      </c>
      <c r="B131" s="411"/>
      <c r="C131" s="411"/>
      <c r="D131" s="411"/>
      <c r="E131" s="411"/>
      <c r="F131" s="411"/>
      <c r="G131" s="411"/>
      <c r="H131" s="411"/>
      <c r="I131" s="411"/>
      <c r="J131" s="411"/>
      <c r="K131" s="411"/>
      <c r="L131" s="411"/>
      <c r="M131" s="411"/>
      <c r="N131" s="411"/>
      <c r="O131" s="411"/>
      <c r="P131" s="411"/>
      <c r="Q131" s="411"/>
      <c r="R131" s="411"/>
      <c r="S131" s="411"/>
      <c r="T131" s="411"/>
      <c r="U131" s="411"/>
      <c r="V131" s="411"/>
      <c r="W131" s="411"/>
      <c r="X131" s="411"/>
      <c r="Y131" s="411"/>
      <c r="Z131" s="411"/>
    </row>
    <row r="132" spans="1:44" s="378" customFormat="1" ht="13.5" customHeight="1">
      <c r="A132" s="614" t="s">
        <v>3</v>
      </c>
      <c r="B132" s="611"/>
      <c r="C132" s="611"/>
      <c r="D132" s="611"/>
      <c r="E132" s="611"/>
      <c r="F132" s="611"/>
      <c r="G132" s="611"/>
      <c r="H132" s="612"/>
      <c r="I132" s="614" t="s">
        <v>6</v>
      </c>
      <c r="J132" s="611"/>
      <c r="K132" s="611"/>
      <c r="L132" s="612"/>
      <c r="M132" s="611" t="s">
        <v>107</v>
      </c>
      <c r="N132" s="612"/>
      <c r="O132" s="614" t="s">
        <v>108</v>
      </c>
      <c r="P132" s="611"/>
      <c r="Q132" s="612"/>
      <c r="R132" s="614" t="s">
        <v>109</v>
      </c>
      <c r="S132" s="611"/>
      <c r="T132" s="612"/>
      <c r="U132" s="614" t="s">
        <v>404</v>
      </c>
      <c r="V132" s="611"/>
      <c r="W132" s="612"/>
      <c r="X132" s="614" t="s">
        <v>405</v>
      </c>
      <c r="Y132" s="611"/>
      <c r="Z132" s="612"/>
    </row>
    <row r="133" spans="1:44" s="378" customFormat="1" ht="13.5" customHeight="1">
      <c r="A133" s="412"/>
      <c r="B133" s="623" t="s">
        <v>4</v>
      </c>
      <c r="C133" s="623"/>
      <c r="D133" s="623"/>
      <c r="E133" s="623"/>
      <c r="F133" s="623"/>
      <c r="G133" s="623"/>
      <c r="H133" s="624"/>
      <c r="I133" s="725" t="s">
        <v>111</v>
      </c>
      <c r="J133" s="1003"/>
      <c r="K133" s="1006"/>
      <c r="L133" s="1007"/>
      <c r="M133" s="1004"/>
      <c r="N133" s="1005"/>
      <c r="O133" s="686" t="e">
        <f ca="1">ROUNDDOWN(M134,-1)</f>
        <v>#N/A</v>
      </c>
      <c r="P133" s="687"/>
      <c r="Q133" s="687"/>
      <c r="R133" s="687"/>
      <c r="S133" s="687"/>
      <c r="T133" s="548"/>
      <c r="U133" s="686" t="e">
        <f ca="1">ROUNDDOWN(M135,-1)</f>
        <v>#N/A</v>
      </c>
      <c r="V133" s="687"/>
      <c r="W133" s="687"/>
      <c r="X133" s="687"/>
      <c r="Y133" s="687"/>
      <c r="Z133" s="548"/>
      <c r="AA133" s="413">
        <v>2</v>
      </c>
      <c r="AB133" s="387">
        <v>3</v>
      </c>
      <c r="AC133" s="387">
        <v>4</v>
      </c>
      <c r="AD133" s="387">
        <v>5</v>
      </c>
      <c r="AE133" s="387">
        <v>6</v>
      </c>
      <c r="AF133" s="387">
        <v>7</v>
      </c>
      <c r="AG133" s="387">
        <v>8</v>
      </c>
      <c r="AH133" s="387">
        <v>9</v>
      </c>
      <c r="AI133" s="387">
        <v>10</v>
      </c>
      <c r="AJ133" s="387">
        <v>11</v>
      </c>
      <c r="AK133" s="387">
        <v>12</v>
      </c>
      <c r="AL133" s="387">
        <v>13</v>
      </c>
      <c r="AM133" s="387">
        <v>14</v>
      </c>
      <c r="AN133" s="387">
        <v>15</v>
      </c>
      <c r="AO133" s="387">
        <v>16</v>
      </c>
      <c r="AP133" s="387">
        <v>17</v>
      </c>
      <c r="AQ133" s="387">
        <v>18</v>
      </c>
      <c r="AR133" s="387">
        <v>19</v>
      </c>
    </row>
    <row r="134" spans="1:44" s="378" customFormat="1" ht="13.5" customHeight="1">
      <c r="A134" s="414" t="s">
        <v>37</v>
      </c>
      <c r="B134" s="617"/>
      <c r="C134" s="617"/>
      <c r="D134" s="617"/>
      <c r="E134" s="617"/>
      <c r="F134" s="617"/>
      <c r="G134" s="617"/>
      <c r="H134" s="618"/>
      <c r="I134" s="997"/>
      <c r="J134" s="998"/>
      <c r="K134" s="1008" t="s">
        <v>112</v>
      </c>
      <c r="L134" s="1009"/>
      <c r="M134" s="999" t="e">
        <f ca="1">OFFSET(INDIRECT(計算用!$D$3),0,計算用!$D$15)*$K$133</f>
        <v>#N/A</v>
      </c>
      <c r="N134" s="1000"/>
      <c r="O134" s="639"/>
      <c r="P134" s="640"/>
      <c r="Q134" s="640"/>
      <c r="R134" s="640"/>
      <c r="S134" s="640"/>
      <c r="T134" s="640"/>
      <c r="U134" s="640"/>
      <c r="V134" s="640"/>
      <c r="W134" s="640"/>
      <c r="X134" s="640"/>
      <c r="Y134" s="640"/>
      <c r="Z134" s="641"/>
    </row>
    <row r="135" spans="1:44" s="378" customFormat="1" ht="13.5" customHeight="1">
      <c r="A135" s="415"/>
      <c r="B135" s="681"/>
      <c r="C135" s="681"/>
      <c r="D135" s="681"/>
      <c r="E135" s="681"/>
      <c r="F135" s="681"/>
      <c r="G135" s="681"/>
      <c r="H135" s="682"/>
      <c r="I135" s="668"/>
      <c r="J135" s="669"/>
      <c r="K135" s="625" t="s">
        <v>110</v>
      </c>
      <c r="L135" s="626"/>
      <c r="M135" s="1001" t="e">
        <f ca="1">OFFSET(INDIRECT(計算用!$D$3),1,計算用!$D$15)*$K$133</f>
        <v>#N/A</v>
      </c>
      <c r="N135" s="1002"/>
      <c r="O135" s="645"/>
      <c r="P135" s="646"/>
      <c r="Q135" s="646"/>
      <c r="R135" s="646"/>
      <c r="S135" s="646"/>
      <c r="T135" s="646"/>
      <c r="U135" s="646"/>
      <c r="V135" s="646"/>
      <c r="W135" s="646"/>
      <c r="X135" s="646"/>
      <c r="Y135" s="646"/>
      <c r="Z135" s="647"/>
    </row>
    <row r="136" spans="1:44" s="378" customFormat="1" ht="13.5" customHeight="1">
      <c r="A136" s="412" t="s">
        <v>37</v>
      </c>
      <c r="B136" s="620" t="s">
        <v>406</v>
      </c>
      <c r="C136" s="620"/>
      <c r="D136" s="620"/>
      <c r="E136" s="620"/>
      <c r="F136" s="620"/>
      <c r="G136" s="620"/>
      <c r="H136" s="621"/>
      <c r="I136" s="792"/>
      <c r="J136" s="951"/>
      <c r="K136" s="951"/>
      <c r="L136" s="793"/>
      <c r="M136" s="656" t="e">
        <f ca="1">M137+M138</f>
        <v>#N/A</v>
      </c>
      <c r="N136" s="657"/>
      <c r="O136" s="571">
        <f>IF(I136="適用",SUM(O137:Z138),0)</f>
        <v>0</v>
      </c>
      <c r="P136" s="572"/>
      <c r="Q136" s="572"/>
      <c r="R136" s="572"/>
      <c r="S136" s="572"/>
      <c r="T136" s="572"/>
      <c r="U136" s="572"/>
      <c r="V136" s="572"/>
      <c r="W136" s="572"/>
      <c r="X136" s="572"/>
      <c r="Y136" s="572"/>
      <c r="Z136" s="544"/>
      <c r="AA136" s="413" t="s">
        <v>114</v>
      </c>
      <c r="AB136" s="387" t="s">
        <v>113</v>
      </c>
    </row>
    <row r="137" spans="1:44" s="378" customFormat="1" ht="13.5" customHeight="1">
      <c r="A137" s="414"/>
      <c r="B137" s="794"/>
      <c r="C137" s="599" t="s">
        <v>115</v>
      </c>
      <c r="D137" s="600"/>
      <c r="E137" s="600"/>
      <c r="F137" s="600"/>
      <c r="G137" s="600"/>
      <c r="H137" s="601"/>
      <c r="I137" s="746"/>
      <c r="J137" s="796"/>
      <c r="K137" s="796"/>
      <c r="L137" s="747"/>
      <c r="M137" s="589" t="e">
        <f ca="1">OFFSET(INDIRECT(計算用!$D$3),0,計算用!$D$16)</f>
        <v>#N/A</v>
      </c>
      <c r="N137" s="590"/>
      <c r="O137" s="586">
        <f>IF(I136="適用",ROUNDDOWN(M137,-1),0)</f>
        <v>0</v>
      </c>
      <c r="P137" s="587"/>
      <c r="Q137" s="587"/>
      <c r="R137" s="587"/>
      <c r="S137" s="587"/>
      <c r="T137" s="587"/>
      <c r="U137" s="587"/>
      <c r="V137" s="587"/>
      <c r="W137" s="587"/>
      <c r="X137" s="587"/>
      <c r="Y137" s="587"/>
      <c r="Z137" s="588"/>
    </row>
    <row r="138" spans="1:44" s="378" customFormat="1" ht="13.5" customHeight="1">
      <c r="A138" s="415"/>
      <c r="B138" s="795"/>
      <c r="C138" s="797" t="s">
        <v>7</v>
      </c>
      <c r="D138" s="681"/>
      <c r="E138" s="681"/>
      <c r="F138" s="681"/>
      <c r="G138" s="681"/>
      <c r="H138" s="682"/>
      <c r="I138" s="668"/>
      <c r="J138" s="669"/>
      <c r="K138" s="669"/>
      <c r="L138" s="670"/>
      <c r="M138" s="594" t="e">
        <f ca="1">OFFSET(INDIRECT(計算用!$D$3),0,計算用!$D$17)*$K$133</f>
        <v>#N/A</v>
      </c>
      <c r="N138" s="595"/>
      <c r="O138" s="752">
        <f>IF(I136="適用",M138,0)</f>
        <v>0</v>
      </c>
      <c r="P138" s="753"/>
      <c r="Q138" s="753"/>
      <c r="R138" s="753"/>
      <c r="S138" s="753"/>
      <c r="T138" s="753"/>
      <c r="U138" s="753"/>
      <c r="V138" s="753"/>
      <c r="W138" s="753"/>
      <c r="X138" s="753"/>
      <c r="Y138" s="753"/>
      <c r="Z138" s="754"/>
    </row>
    <row r="139" spans="1:44" s="378" customFormat="1" ht="13.5" customHeight="1">
      <c r="A139" s="412" t="s">
        <v>37</v>
      </c>
      <c r="B139" s="620" t="s">
        <v>426</v>
      </c>
      <c r="C139" s="620"/>
      <c r="D139" s="620"/>
      <c r="E139" s="620"/>
      <c r="F139" s="620"/>
      <c r="G139" s="620"/>
      <c r="H139" s="621"/>
      <c r="I139" s="792"/>
      <c r="J139" s="951"/>
      <c r="K139" s="951"/>
      <c r="L139" s="793"/>
      <c r="M139" s="656" t="e">
        <f ca="1">M140+M141</f>
        <v>#N/A</v>
      </c>
      <c r="N139" s="657"/>
      <c r="O139" s="571">
        <f>IF(I139="適用",SUM(O140:Z141),0)</f>
        <v>0</v>
      </c>
      <c r="P139" s="572"/>
      <c r="Q139" s="572"/>
      <c r="R139" s="572"/>
      <c r="S139" s="572"/>
      <c r="T139" s="572"/>
      <c r="U139" s="572"/>
      <c r="V139" s="572"/>
      <c r="W139" s="572"/>
      <c r="X139" s="572"/>
      <c r="Y139" s="572"/>
      <c r="Z139" s="544"/>
    </row>
    <row r="140" spans="1:44" s="378" customFormat="1" ht="13.5" customHeight="1">
      <c r="A140" s="414"/>
      <c r="B140" s="794"/>
      <c r="C140" s="599" t="s">
        <v>115</v>
      </c>
      <c r="D140" s="600"/>
      <c r="E140" s="600"/>
      <c r="F140" s="600"/>
      <c r="G140" s="600"/>
      <c r="H140" s="601"/>
      <c r="I140" s="746"/>
      <c r="J140" s="796"/>
      <c r="K140" s="796"/>
      <c r="L140" s="747"/>
      <c r="M140" s="589" t="e">
        <f ca="1">OFFSET(INDIRECT(計算用!$D$3),0,計算用!$D$18)</f>
        <v>#N/A</v>
      </c>
      <c r="N140" s="590"/>
      <c r="O140" s="586">
        <f>IF(I139="適用",ROUNDDOWN(M140,-1),0)</f>
        <v>0</v>
      </c>
      <c r="P140" s="587"/>
      <c r="Q140" s="587"/>
      <c r="R140" s="587"/>
      <c r="S140" s="587"/>
      <c r="T140" s="587"/>
      <c r="U140" s="587"/>
      <c r="V140" s="587"/>
      <c r="W140" s="587"/>
      <c r="X140" s="587"/>
      <c r="Y140" s="587"/>
      <c r="Z140" s="588"/>
    </row>
    <row r="141" spans="1:44" s="378" customFormat="1" ht="13.5" customHeight="1">
      <c r="A141" s="415"/>
      <c r="B141" s="795"/>
      <c r="C141" s="797" t="s">
        <v>7</v>
      </c>
      <c r="D141" s="681"/>
      <c r="E141" s="681"/>
      <c r="F141" s="681"/>
      <c r="G141" s="681"/>
      <c r="H141" s="682"/>
      <c r="I141" s="668"/>
      <c r="J141" s="669"/>
      <c r="K141" s="669"/>
      <c r="L141" s="670"/>
      <c r="M141" s="594" t="e">
        <f ca="1">OFFSET(INDIRECT(計算用!$D$3),0,計算用!$D$19)*$K$133</f>
        <v>#N/A</v>
      </c>
      <c r="N141" s="595"/>
      <c r="O141" s="752">
        <f>IF(I139="適用",M141,0)</f>
        <v>0</v>
      </c>
      <c r="P141" s="753"/>
      <c r="Q141" s="753"/>
      <c r="R141" s="753"/>
      <c r="S141" s="753"/>
      <c r="T141" s="753"/>
      <c r="U141" s="753"/>
      <c r="V141" s="753"/>
      <c r="W141" s="753"/>
      <c r="X141" s="753"/>
      <c r="Y141" s="753"/>
      <c r="Z141" s="754"/>
    </row>
    <row r="142" spans="1:44" s="378" customFormat="1" ht="13.5" customHeight="1">
      <c r="A142" s="412" t="s">
        <v>37</v>
      </c>
      <c r="B142" s="617" t="s">
        <v>407</v>
      </c>
      <c r="C142" s="617"/>
      <c r="D142" s="617"/>
      <c r="E142" s="617"/>
      <c r="F142" s="617"/>
      <c r="G142" s="617"/>
      <c r="H142" s="618"/>
      <c r="I142" s="792"/>
      <c r="J142" s="951"/>
      <c r="K142" s="951"/>
      <c r="L142" s="793"/>
      <c r="M142" s="589" t="e">
        <f ca="1">M143+M144</f>
        <v>#N/A</v>
      </c>
      <c r="N142" s="590"/>
      <c r="O142" s="639"/>
      <c r="P142" s="640"/>
      <c r="Q142" s="640"/>
      <c r="R142" s="640"/>
      <c r="S142" s="640"/>
      <c r="T142" s="641"/>
      <c r="U142" s="635">
        <f>SUM(U143:Z144)</f>
        <v>0</v>
      </c>
      <c r="V142" s="636"/>
      <c r="W142" s="636"/>
      <c r="X142" s="636"/>
      <c r="Y142" s="636"/>
      <c r="Z142" s="658"/>
    </row>
    <row r="143" spans="1:44" s="378" customFormat="1" ht="13.5" customHeight="1">
      <c r="A143" s="414"/>
      <c r="B143" s="794"/>
      <c r="C143" s="599" t="s">
        <v>115</v>
      </c>
      <c r="D143" s="600"/>
      <c r="E143" s="600"/>
      <c r="F143" s="600"/>
      <c r="G143" s="600"/>
      <c r="H143" s="601"/>
      <c r="I143" s="746"/>
      <c r="J143" s="796"/>
      <c r="K143" s="796"/>
      <c r="L143" s="747"/>
      <c r="M143" s="589" t="e">
        <f ca="1">OFFSET(INDIRECT(計算用!$D$3),0,計算用!$D$20)</f>
        <v>#N/A</v>
      </c>
      <c r="N143" s="590"/>
      <c r="O143" s="642"/>
      <c r="P143" s="643"/>
      <c r="Q143" s="643"/>
      <c r="R143" s="643"/>
      <c r="S143" s="643"/>
      <c r="T143" s="644"/>
      <c r="U143" s="596">
        <f>IF(I142="適用",ROUNDDOWN($M$143,-1),0)</f>
        <v>0</v>
      </c>
      <c r="V143" s="597"/>
      <c r="W143" s="597"/>
      <c r="X143" s="597"/>
      <c r="Y143" s="597"/>
      <c r="Z143" s="598"/>
    </row>
    <row r="144" spans="1:44" s="378" customFormat="1" ht="13.5" customHeight="1">
      <c r="A144" s="415"/>
      <c r="B144" s="795"/>
      <c r="C144" s="797" t="s">
        <v>7</v>
      </c>
      <c r="D144" s="681"/>
      <c r="E144" s="681"/>
      <c r="F144" s="681"/>
      <c r="G144" s="681"/>
      <c r="H144" s="682"/>
      <c r="I144" s="668"/>
      <c r="J144" s="669"/>
      <c r="K144" s="669"/>
      <c r="L144" s="670"/>
      <c r="M144" s="594" t="e">
        <f ca="1">OFFSET(INDIRECT(計算用!$D$3),0,計算用!$D$21)*$K$133</f>
        <v>#N/A</v>
      </c>
      <c r="N144" s="595"/>
      <c r="O144" s="645"/>
      <c r="P144" s="646"/>
      <c r="Q144" s="646"/>
      <c r="R144" s="646"/>
      <c r="S144" s="646"/>
      <c r="T144" s="647"/>
      <c r="U144" s="637">
        <f>IF(I142="適用",ROUNDDOWN(M144,-1),0)</f>
        <v>0</v>
      </c>
      <c r="V144" s="638"/>
      <c r="W144" s="638"/>
      <c r="X144" s="638"/>
      <c r="Y144" s="638"/>
      <c r="Z144" s="812"/>
    </row>
    <row r="145" spans="1:40" s="378" customFormat="1" ht="13.5" customHeight="1">
      <c r="A145" s="412" t="s">
        <v>37</v>
      </c>
      <c r="B145" s="617" t="s">
        <v>408</v>
      </c>
      <c r="C145" s="617"/>
      <c r="D145" s="617"/>
      <c r="E145" s="617"/>
      <c r="F145" s="617"/>
      <c r="G145" s="617"/>
      <c r="H145" s="618"/>
      <c r="I145" s="792"/>
      <c r="J145" s="951"/>
      <c r="K145" s="951"/>
      <c r="L145" s="793"/>
      <c r="M145" s="589" t="e">
        <f ca="1">M146+M147</f>
        <v>#N/A</v>
      </c>
      <c r="N145" s="590"/>
      <c r="O145" s="639"/>
      <c r="P145" s="640"/>
      <c r="Q145" s="640"/>
      <c r="R145" s="640"/>
      <c r="S145" s="640"/>
      <c r="T145" s="640"/>
      <c r="U145" s="640"/>
      <c r="V145" s="640"/>
      <c r="W145" s="641"/>
      <c r="X145" s="571">
        <f>SUM(X146:Z147)</f>
        <v>0</v>
      </c>
      <c r="Y145" s="572"/>
      <c r="Z145" s="544"/>
    </row>
    <row r="146" spans="1:40" s="378" customFormat="1" ht="13.5" customHeight="1">
      <c r="A146" s="414"/>
      <c r="B146" s="794"/>
      <c r="C146" s="599" t="s">
        <v>115</v>
      </c>
      <c r="D146" s="600"/>
      <c r="E146" s="600"/>
      <c r="F146" s="600"/>
      <c r="G146" s="600"/>
      <c r="H146" s="601"/>
      <c r="I146" s="746"/>
      <c r="J146" s="796"/>
      <c r="K146" s="796"/>
      <c r="L146" s="747"/>
      <c r="M146" s="589" t="e">
        <f ca="1">IF(I142="適用",OFFSET(INDIRECT(計算用!$D$3),1,計算用!$D$24),OFFSET(INDIRECT(計算用!$D$3),1,計算用!$D$22))</f>
        <v>#N/A</v>
      </c>
      <c r="N146" s="590"/>
      <c r="O146" s="642"/>
      <c r="P146" s="643"/>
      <c r="Q146" s="643"/>
      <c r="R146" s="643"/>
      <c r="S146" s="643"/>
      <c r="T146" s="643"/>
      <c r="U146" s="643"/>
      <c r="V146" s="643"/>
      <c r="W146" s="644"/>
      <c r="X146" s="596">
        <f>IF(I145="適用",ROUNDDOWN(M146,-1),0)</f>
        <v>0</v>
      </c>
      <c r="Y146" s="597"/>
      <c r="Z146" s="598"/>
    </row>
    <row r="147" spans="1:40" s="378" customFormat="1" ht="13.5" customHeight="1">
      <c r="A147" s="415"/>
      <c r="B147" s="795"/>
      <c r="C147" s="797" t="s">
        <v>7</v>
      </c>
      <c r="D147" s="681"/>
      <c r="E147" s="681"/>
      <c r="F147" s="681"/>
      <c r="G147" s="681"/>
      <c r="H147" s="682"/>
      <c r="I147" s="668"/>
      <c r="J147" s="669"/>
      <c r="K147" s="669"/>
      <c r="L147" s="670"/>
      <c r="M147" s="594" t="e">
        <f ca="1">IF(I142="適用",OFFSET(INDIRECT(計算用!$D$3),1,計算用!$D$25),OFFSET(INDIRECT(計算用!$D$3),1,計算用!$D$23))*$K$133</f>
        <v>#N/A</v>
      </c>
      <c r="N147" s="595"/>
      <c r="O147" s="645"/>
      <c r="P147" s="646"/>
      <c r="Q147" s="646"/>
      <c r="R147" s="646"/>
      <c r="S147" s="646"/>
      <c r="T147" s="646"/>
      <c r="U147" s="646"/>
      <c r="V147" s="646"/>
      <c r="W147" s="647"/>
      <c r="X147" s="637">
        <f>IF(I145="適用",ROUNDDOWN(M147,-1),0)</f>
        <v>0</v>
      </c>
      <c r="Y147" s="638"/>
      <c r="Z147" s="812"/>
    </row>
    <row r="148" spans="1:40" s="378" customFormat="1" ht="13.5" customHeight="1">
      <c r="A148" s="412" t="s">
        <v>37</v>
      </c>
      <c r="B148" s="617" t="s">
        <v>409</v>
      </c>
      <c r="C148" s="617"/>
      <c r="D148" s="617"/>
      <c r="E148" s="617"/>
      <c r="F148" s="617"/>
      <c r="G148" s="617"/>
      <c r="H148" s="618"/>
      <c r="I148" s="792"/>
      <c r="J148" s="951"/>
      <c r="K148" s="951"/>
      <c r="L148" s="793"/>
      <c r="M148" s="589" t="str">
        <f ca="1">IFERROR(M149+M150,"－")</f>
        <v>－</v>
      </c>
      <c r="N148" s="590"/>
      <c r="O148" s="635">
        <f>IFERROR(SUM(O149:Z150),0)</f>
        <v>0</v>
      </c>
      <c r="P148" s="636"/>
      <c r="Q148" s="636"/>
      <c r="R148" s="636"/>
      <c r="S148" s="636"/>
      <c r="T148" s="636"/>
      <c r="U148" s="636"/>
      <c r="V148" s="636"/>
      <c r="W148" s="636"/>
      <c r="X148" s="636"/>
      <c r="Y148" s="636"/>
      <c r="Z148" s="658"/>
      <c r="AA148" s="363"/>
    </row>
    <row r="149" spans="1:40" s="378" customFormat="1" ht="13.5" customHeight="1">
      <c r="A149" s="414"/>
      <c r="B149" s="794"/>
      <c r="C149" s="599" t="s">
        <v>115</v>
      </c>
      <c r="D149" s="600"/>
      <c r="E149" s="600"/>
      <c r="F149" s="600"/>
      <c r="G149" s="600"/>
      <c r="H149" s="601"/>
      <c r="I149" s="746"/>
      <c r="J149" s="796"/>
      <c r="K149" s="796"/>
      <c r="L149" s="747"/>
      <c r="M149" s="589" t="e">
        <f ca="1">OFFSET(INDIRECT(計算用!$D$3),0,計算用!$D$26)</f>
        <v>#N/A</v>
      </c>
      <c r="N149" s="590"/>
      <c r="O149" s="596">
        <f>IFERROR(IF(I148="適用",ROUNDDOWN(M149,-1),0),0)</f>
        <v>0</v>
      </c>
      <c r="P149" s="597"/>
      <c r="Q149" s="597"/>
      <c r="R149" s="597"/>
      <c r="S149" s="597"/>
      <c r="T149" s="597"/>
      <c r="U149" s="597"/>
      <c r="V149" s="597"/>
      <c r="W149" s="597"/>
      <c r="X149" s="597"/>
      <c r="Y149" s="597"/>
      <c r="Z149" s="598"/>
    </row>
    <row r="150" spans="1:40" s="378" customFormat="1" ht="13.5" customHeight="1">
      <c r="A150" s="415"/>
      <c r="B150" s="795"/>
      <c r="C150" s="797" t="s">
        <v>7</v>
      </c>
      <c r="D150" s="681"/>
      <c r="E150" s="681"/>
      <c r="F150" s="681"/>
      <c r="G150" s="681"/>
      <c r="H150" s="682"/>
      <c r="I150" s="668"/>
      <c r="J150" s="669"/>
      <c r="K150" s="669"/>
      <c r="L150" s="670"/>
      <c r="M150" s="594" t="e">
        <f ca="1">OFFSET(INDIRECT(計算用!$D$3),0,計算用!$D$27)*$K$133</f>
        <v>#N/A</v>
      </c>
      <c r="N150" s="595"/>
      <c r="O150" s="637">
        <f>IFERROR(IF(I148="適用",ROUNDDOWN(M150,-1),0),0)</f>
        <v>0</v>
      </c>
      <c r="P150" s="638"/>
      <c r="Q150" s="638"/>
      <c r="R150" s="638"/>
      <c r="S150" s="638"/>
      <c r="T150" s="638"/>
      <c r="U150" s="638"/>
      <c r="V150" s="638"/>
      <c r="W150" s="638"/>
      <c r="X150" s="638"/>
      <c r="Y150" s="638"/>
      <c r="Z150" s="812"/>
    </row>
    <row r="151" spans="1:40" s="378" customFormat="1" ht="13.5" customHeight="1">
      <c r="A151" s="412" t="s">
        <v>37</v>
      </c>
      <c r="B151" s="617" t="s">
        <v>410</v>
      </c>
      <c r="C151" s="617"/>
      <c r="D151" s="617"/>
      <c r="E151" s="617"/>
      <c r="F151" s="617"/>
      <c r="G151" s="617"/>
      <c r="H151" s="618"/>
      <c r="I151" s="683" t="s">
        <v>46</v>
      </c>
      <c r="J151" s="685"/>
      <c r="K151" s="722">
        <v>0</v>
      </c>
      <c r="L151" s="723"/>
      <c r="M151" s="589" t="e">
        <f ca="1">M152+M153</f>
        <v>#N/A</v>
      </c>
      <c r="N151" s="590"/>
      <c r="O151" s="635" t="e">
        <f ca="1">SUM(O152:Z153)</f>
        <v>#N/A</v>
      </c>
      <c r="P151" s="636"/>
      <c r="Q151" s="636"/>
      <c r="R151" s="636"/>
      <c r="S151" s="636"/>
      <c r="T151" s="636"/>
      <c r="U151" s="636"/>
      <c r="V151" s="636"/>
      <c r="W151" s="636"/>
      <c r="X151" s="636"/>
      <c r="Y151" s="636"/>
      <c r="Z151" s="658"/>
      <c r="AA151" s="416">
        <v>0</v>
      </c>
      <c r="AB151" s="413">
        <v>1</v>
      </c>
      <c r="AC151" s="387">
        <v>2</v>
      </c>
      <c r="AD151" s="387">
        <v>3</v>
      </c>
      <c r="AE151" s="387">
        <v>3.5</v>
      </c>
      <c r="AF151" s="387">
        <v>4</v>
      </c>
      <c r="AG151" s="387">
        <v>4.5</v>
      </c>
      <c r="AH151" s="387">
        <v>5</v>
      </c>
      <c r="AI151" s="387">
        <v>5.5</v>
      </c>
      <c r="AJ151" s="387">
        <v>6</v>
      </c>
      <c r="AK151" s="387">
        <v>6.5</v>
      </c>
      <c r="AL151" s="387">
        <v>7</v>
      </c>
      <c r="AM151" s="387">
        <v>7.5</v>
      </c>
      <c r="AN151" s="387">
        <v>8</v>
      </c>
    </row>
    <row r="152" spans="1:40" s="378" customFormat="1" ht="13.5" customHeight="1">
      <c r="A152" s="414"/>
      <c r="B152" s="794"/>
      <c r="C152" s="599" t="s">
        <v>115</v>
      </c>
      <c r="D152" s="600"/>
      <c r="E152" s="600"/>
      <c r="F152" s="600"/>
      <c r="G152" s="600"/>
      <c r="H152" s="601"/>
      <c r="I152" s="746"/>
      <c r="J152" s="796"/>
      <c r="K152" s="796"/>
      <c r="L152" s="747"/>
      <c r="M152" s="589" t="e">
        <f ca="1">OFFSET(INDIRECT(計算用!$D$4),1,計算用!$D$28)</f>
        <v>#N/A</v>
      </c>
      <c r="N152" s="590"/>
      <c r="O152" s="596">
        <f>IF(K151&gt;0,ROUNDDOWN(M152*K151,-1),0)</f>
        <v>0</v>
      </c>
      <c r="P152" s="597"/>
      <c r="Q152" s="597"/>
      <c r="R152" s="597"/>
      <c r="S152" s="597"/>
      <c r="T152" s="597"/>
      <c r="U152" s="597"/>
      <c r="V152" s="597"/>
      <c r="W152" s="597"/>
      <c r="X152" s="597"/>
      <c r="Y152" s="597"/>
      <c r="Z152" s="598"/>
    </row>
    <row r="153" spans="1:40" s="378" customFormat="1" ht="13.5" customHeight="1">
      <c r="A153" s="415"/>
      <c r="B153" s="795"/>
      <c r="C153" s="797" t="s">
        <v>7</v>
      </c>
      <c r="D153" s="681"/>
      <c r="E153" s="681"/>
      <c r="F153" s="681"/>
      <c r="G153" s="681"/>
      <c r="H153" s="682"/>
      <c r="I153" s="668"/>
      <c r="J153" s="669"/>
      <c r="K153" s="669"/>
      <c r="L153" s="670"/>
      <c r="M153" s="594" t="e">
        <f ca="1">OFFSET(INDIRECT(計算用!$D$4),0,計算用!$D$29)*$K$133</f>
        <v>#N/A</v>
      </c>
      <c r="N153" s="595"/>
      <c r="O153" s="637" t="e">
        <f ca="1">ROUNDDOWN(M153*K151,-1)</f>
        <v>#N/A</v>
      </c>
      <c r="P153" s="638"/>
      <c r="Q153" s="638"/>
      <c r="R153" s="638"/>
      <c r="S153" s="638"/>
      <c r="T153" s="638"/>
      <c r="U153" s="638"/>
      <c r="V153" s="638"/>
      <c r="W153" s="638"/>
      <c r="X153" s="638"/>
      <c r="Y153" s="638"/>
      <c r="Z153" s="812"/>
    </row>
    <row r="154" spans="1:40" s="378" customFormat="1" ht="13.5" customHeight="1">
      <c r="A154" s="412" t="s">
        <v>37</v>
      </c>
      <c r="B154" s="617" t="s">
        <v>411</v>
      </c>
      <c r="C154" s="617"/>
      <c r="D154" s="617"/>
      <c r="E154" s="617"/>
      <c r="F154" s="617"/>
      <c r="G154" s="617"/>
      <c r="H154" s="618"/>
      <c r="I154" s="792"/>
      <c r="J154" s="951"/>
      <c r="K154" s="951"/>
      <c r="L154" s="793"/>
      <c r="M154" s="589" t="e">
        <f ca="1">M155+M156</f>
        <v>#N/A</v>
      </c>
      <c r="N154" s="590"/>
      <c r="O154" s="635">
        <f>SUM(O155:Z156)</f>
        <v>0</v>
      </c>
      <c r="P154" s="636"/>
      <c r="Q154" s="636"/>
      <c r="R154" s="636"/>
      <c r="S154" s="636"/>
      <c r="T154" s="636"/>
      <c r="U154" s="636"/>
      <c r="V154" s="636"/>
      <c r="W154" s="636"/>
      <c r="X154" s="636"/>
      <c r="Y154" s="636"/>
      <c r="Z154" s="658"/>
    </row>
    <row r="155" spans="1:40" s="378" customFormat="1" ht="13.5" customHeight="1">
      <c r="A155" s="414"/>
      <c r="B155" s="794"/>
      <c r="C155" s="599" t="s">
        <v>115</v>
      </c>
      <c r="D155" s="600"/>
      <c r="E155" s="600"/>
      <c r="F155" s="600"/>
      <c r="G155" s="600"/>
      <c r="H155" s="601"/>
      <c r="I155" s="746"/>
      <c r="J155" s="796"/>
      <c r="K155" s="796"/>
      <c r="L155" s="747"/>
      <c r="M155" s="589" t="e">
        <f ca="1">OFFSET(INDIRECT(計算用!$D$3),0,計算用!$D$30)</f>
        <v>#N/A</v>
      </c>
      <c r="N155" s="590"/>
      <c r="O155" s="596">
        <f>IF(I154="適用",ROUNDDOWN(M155,-1),0)</f>
        <v>0</v>
      </c>
      <c r="P155" s="597"/>
      <c r="Q155" s="597"/>
      <c r="R155" s="597"/>
      <c r="S155" s="597"/>
      <c r="T155" s="597"/>
      <c r="U155" s="597"/>
      <c r="V155" s="597"/>
      <c r="W155" s="597"/>
      <c r="X155" s="597"/>
      <c r="Y155" s="597"/>
      <c r="Z155" s="598"/>
    </row>
    <row r="156" spans="1:40" s="378" customFormat="1" ht="13.5" customHeight="1">
      <c r="A156" s="415"/>
      <c r="B156" s="795"/>
      <c r="C156" s="797" t="s">
        <v>7</v>
      </c>
      <c r="D156" s="681"/>
      <c r="E156" s="681"/>
      <c r="F156" s="681"/>
      <c r="G156" s="681"/>
      <c r="H156" s="682"/>
      <c r="I156" s="668"/>
      <c r="J156" s="669"/>
      <c r="K156" s="669"/>
      <c r="L156" s="670"/>
      <c r="M156" s="594" t="e">
        <f ca="1">OFFSET(INDIRECT(計算用!$D$3),0,計算用!$D$31)*$K$133</f>
        <v>#N/A</v>
      </c>
      <c r="N156" s="595"/>
      <c r="O156" s="637">
        <f>IF(I154="適用",ROUNDDOWN(M156,-1),0)</f>
        <v>0</v>
      </c>
      <c r="P156" s="638"/>
      <c r="Q156" s="638"/>
      <c r="R156" s="638"/>
      <c r="S156" s="638"/>
      <c r="T156" s="638"/>
      <c r="U156" s="638"/>
      <c r="V156" s="638"/>
      <c r="W156" s="638"/>
      <c r="X156" s="638"/>
      <c r="Y156" s="638"/>
      <c r="Z156" s="812"/>
    </row>
    <row r="157" spans="1:40" s="378" customFormat="1" ht="13.5" customHeight="1">
      <c r="A157" s="678" t="s">
        <v>37</v>
      </c>
      <c r="B157" s="617" t="s">
        <v>412</v>
      </c>
      <c r="C157" s="617"/>
      <c r="D157" s="617"/>
      <c r="E157" s="617"/>
      <c r="F157" s="617"/>
      <c r="G157" s="617"/>
      <c r="H157" s="618"/>
      <c r="I157" s="609" t="s">
        <v>393</v>
      </c>
      <c r="J157" s="610"/>
      <c r="K157" s="651"/>
      <c r="L157" s="653"/>
      <c r="M157" s="846" t="e">
        <f ca="1">M159+M160</f>
        <v>#N/A</v>
      </c>
      <c r="N157" s="847"/>
      <c r="O157" s="571" t="e">
        <f ca="1">SUM(O159:Z160)</f>
        <v>#N/A</v>
      </c>
      <c r="P157" s="572"/>
      <c r="Q157" s="572"/>
      <c r="R157" s="572"/>
      <c r="S157" s="572"/>
      <c r="T157" s="572"/>
      <c r="U157" s="572"/>
      <c r="V157" s="572"/>
      <c r="W157" s="572"/>
      <c r="X157" s="572"/>
      <c r="Y157" s="572"/>
      <c r="Z157" s="1026"/>
      <c r="AA157" s="387" t="s">
        <v>114</v>
      </c>
      <c r="AB157" s="387" t="s">
        <v>395</v>
      </c>
      <c r="AC157" s="387" t="s">
        <v>394</v>
      </c>
    </row>
    <row r="158" spans="1:40" s="378" customFormat="1" ht="13.5" customHeight="1">
      <c r="A158" s="615"/>
      <c r="B158" s="617"/>
      <c r="C158" s="617"/>
      <c r="D158" s="617"/>
      <c r="E158" s="617"/>
      <c r="F158" s="617"/>
      <c r="G158" s="617"/>
      <c r="H158" s="618"/>
      <c r="I158" s="798" t="s">
        <v>828</v>
      </c>
      <c r="J158" s="1028"/>
      <c r="K158" s="1029"/>
      <c r="L158" s="1030"/>
      <c r="M158" s="699"/>
      <c r="N158" s="700"/>
      <c r="O158" s="752"/>
      <c r="P158" s="753"/>
      <c r="Q158" s="753"/>
      <c r="R158" s="753"/>
      <c r="S158" s="753"/>
      <c r="T158" s="753"/>
      <c r="U158" s="753"/>
      <c r="V158" s="753"/>
      <c r="W158" s="753"/>
      <c r="X158" s="753"/>
      <c r="Y158" s="753"/>
      <c r="Z158" s="1027"/>
      <c r="AA158" s="387">
        <v>0</v>
      </c>
      <c r="AB158" s="387">
        <v>1</v>
      </c>
      <c r="AC158" s="387">
        <v>2</v>
      </c>
      <c r="AD158" s="387">
        <v>3</v>
      </c>
      <c r="AE158" s="387">
        <v>4</v>
      </c>
      <c r="AF158" s="387">
        <v>5</v>
      </c>
    </row>
    <row r="159" spans="1:40" s="378" customFormat="1" ht="13.5" customHeight="1">
      <c r="A159" s="414"/>
      <c r="B159" s="794"/>
      <c r="C159" s="599" t="s">
        <v>115</v>
      </c>
      <c r="D159" s="600"/>
      <c r="E159" s="600"/>
      <c r="F159" s="600"/>
      <c r="G159" s="600"/>
      <c r="H159" s="601"/>
      <c r="I159" s="665"/>
      <c r="J159" s="666"/>
      <c r="K159" s="666"/>
      <c r="L159" s="667"/>
      <c r="M159" s="589" t="e">
        <f ca="1">IF(K157="搬入",OFFSET(INDIRECT(計算用!$D$3),0,計算用!$D$34),OFFSET(INDIRECT(計算用!$D$3),0,計算用!$D$32))</f>
        <v>#N/A</v>
      </c>
      <c r="N159" s="590"/>
      <c r="O159" s="596" t="e">
        <f ca="1">IF(K157="非適用",0,ROUNDDOWN(M159*K158,-1))</f>
        <v>#N/A</v>
      </c>
      <c r="P159" s="597"/>
      <c r="Q159" s="597"/>
      <c r="R159" s="597"/>
      <c r="S159" s="597"/>
      <c r="T159" s="597"/>
      <c r="U159" s="597"/>
      <c r="V159" s="597"/>
      <c r="W159" s="597"/>
      <c r="X159" s="597"/>
      <c r="Y159" s="597"/>
      <c r="Z159" s="598"/>
    </row>
    <row r="160" spans="1:40" s="378" customFormat="1" ht="13.5" customHeight="1">
      <c r="A160" s="415"/>
      <c r="B160" s="795"/>
      <c r="C160" s="797" t="s">
        <v>7</v>
      </c>
      <c r="D160" s="681"/>
      <c r="E160" s="681"/>
      <c r="F160" s="681"/>
      <c r="G160" s="681"/>
      <c r="H160" s="682"/>
      <c r="I160" s="668"/>
      <c r="J160" s="669"/>
      <c r="K160" s="669"/>
      <c r="L160" s="670"/>
      <c r="M160" s="1033" t="e">
        <f ca="1">IF(K157="搬入",OFFSET(INDIRECT(計算用!$D$3),0,計算用!$D$35),OFFSET(INDIRECT(計算用!$D$3),0,計算用!$D$33))*$K$133</f>
        <v>#N/A</v>
      </c>
      <c r="N160" s="1034"/>
      <c r="O160" s="637" t="e">
        <f ca="1">IF(K157="非適用",0,M160*K158)</f>
        <v>#N/A</v>
      </c>
      <c r="P160" s="638"/>
      <c r="Q160" s="638"/>
      <c r="R160" s="638"/>
      <c r="S160" s="638"/>
      <c r="T160" s="638"/>
      <c r="U160" s="638"/>
      <c r="V160" s="638"/>
      <c r="W160" s="638"/>
      <c r="X160" s="638"/>
      <c r="Y160" s="638"/>
      <c r="Z160" s="812"/>
    </row>
    <row r="161" spans="1:47" s="378" customFormat="1" ht="13.5" customHeight="1">
      <c r="A161" s="417"/>
      <c r="B161" s="617" t="s">
        <v>396</v>
      </c>
      <c r="C161" s="617"/>
      <c r="D161" s="617"/>
      <c r="E161" s="617"/>
      <c r="F161" s="617"/>
      <c r="G161" s="617"/>
      <c r="H161" s="618"/>
      <c r="I161" s="659"/>
      <c r="J161" s="660"/>
      <c r="K161" s="660"/>
      <c r="L161" s="661"/>
      <c r="M161" s="654" t="e">
        <f ca="1">OFFSET(INDIRECT(計算用!$D$5),1,計算用!$D$36)</f>
        <v>#N/A</v>
      </c>
      <c r="N161" s="655"/>
      <c r="O161" s="569">
        <f>IF(AND(I161="適用",OR(U126=3,X126=3)),ROUNDDOWN(M161,-1),0)</f>
        <v>0</v>
      </c>
      <c r="P161" s="634"/>
      <c r="Q161" s="634"/>
      <c r="R161" s="634"/>
      <c r="S161" s="634"/>
      <c r="T161" s="634"/>
      <c r="U161" s="634"/>
      <c r="V161" s="634"/>
      <c r="W161" s="634"/>
      <c r="X161" s="634"/>
      <c r="Y161" s="634"/>
      <c r="Z161" s="570"/>
    </row>
    <row r="162" spans="1:47" s="378" customFormat="1" ht="13.5" customHeight="1">
      <c r="A162" s="417" t="s">
        <v>37</v>
      </c>
      <c r="B162" s="980" t="s">
        <v>118</v>
      </c>
      <c r="C162" s="980"/>
      <c r="D162" s="980"/>
      <c r="E162" s="980"/>
      <c r="F162" s="980"/>
      <c r="G162" s="980"/>
      <c r="H162" s="981"/>
      <c r="I162" s="582" t="s">
        <v>827</v>
      </c>
      <c r="J162" s="583"/>
      <c r="K162" s="1035"/>
      <c r="L162" s="1036"/>
      <c r="M162" s="989" t="e">
        <f ca="1">OFFSET(INDIRECT(計算用!$D$3),0,計算用!$D$37)</f>
        <v>#N/A</v>
      </c>
      <c r="N162" s="990"/>
      <c r="O162" s="991">
        <f>IF(K162&gt;0,ROUNDDOWN(M162*K162,-1),0)</f>
        <v>0</v>
      </c>
      <c r="P162" s="992"/>
      <c r="Q162" s="992"/>
      <c r="R162" s="992"/>
      <c r="S162" s="992"/>
      <c r="T162" s="992"/>
      <c r="U162" s="992"/>
      <c r="V162" s="992"/>
      <c r="W162" s="992"/>
      <c r="X162" s="992"/>
      <c r="Y162" s="992"/>
      <c r="Z162" s="993"/>
      <c r="AA162" s="387">
        <v>0</v>
      </c>
      <c r="AB162" s="387">
        <v>1</v>
      </c>
      <c r="AC162" s="387">
        <v>2</v>
      </c>
      <c r="AD162" s="387">
        <v>3</v>
      </c>
      <c r="AE162" s="387">
        <v>4</v>
      </c>
      <c r="AF162" s="387">
        <v>5</v>
      </c>
      <c r="AG162" s="387">
        <v>6</v>
      </c>
      <c r="AH162" s="387">
        <v>7</v>
      </c>
      <c r="AI162" s="387">
        <v>8</v>
      </c>
      <c r="AJ162" s="387">
        <v>9</v>
      </c>
      <c r="AK162" s="387">
        <v>10</v>
      </c>
      <c r="AL162" s="387">
        <v>11</v>
      </c>
      <c r="AM162" s="387">
        <v>12</v>
      </c>
      <c r="AN162" s="387">
        <v>13</v>
      </c>
      <c r="AO162" s="387">
        <v>14</v>
      </c>
      <c r="AP162" s="387">
        <v>15</v>
      </c>
      <c r="AQ162" s="387">
        <v>16</v>
      </c>
      <c r="AR162" s="387">
        <v>17</v>
      </c>
      <c r="AS162" s="387">
        <v>18</v>
      </c>
      <c r="AT162" s="387">
        <v>19</v>
      </c>
      <c r="AU162" s="387">
        <v>20</v>
      </c>
    </row>
    <row r="163" spans="1:47" s="378" customFormat="1" ht="13.5" customHeight="1">
      <c r="A163" s="418"/>
      <c r="B163" s="407"/>
      <c r="C163" s="407"/>
      <c r="D163" s="407"/>
      <c r="E163" s="407"/>
      <c r="F163" s="407"/>
      <c r="G163" s="407"/>
      <c r="H163" s="407"/>
      <c r="I163" s="408"/>
      <c r="J163" s="408"/>
      <c r="K163" s="408"/>
      <c r="L163" s="408"/>
      <c r="M163" s="408"/>
      <c r="N163" s="408"/>
      <c r="O163" s="409"/>
      <c r="P163" s="409"/>
      <c r="Q163" s="409"/>
      <c r="R163" s="409"/>
      <c r="S163" s="409"/>
      <c r="T163" s="409"/>
      <c r="U163" s="409"/>
      <c r="V163" s="409"/>
      <c r="W163" s="409"/>
      <c r="X163" s="409"/>
      <c r="Y163" s="409"/>
      <c r="Z163" s="409"/>
    </row>
    <row r="164" spans="1:47" s="378" customFormat="1" ht="13.5" customHeight="1">
      <c r="A164" s="410" t="s">
        <v>634</v>
      </c>
      <c r="B164" s="419"/>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row>
    <row r="165" spans="1:47" s="378" customFormat="1" ht="13.5" customHeight="1">
      <c r="A165" s="614" t="s">
        <v>3</v>
      </c>
      <c r="B165" s="611"/>
      <c r="C165" s="611"/>
      <c r="D165" s="611"/>
      <c r="E165" s="611"/>
      <c r="F165" s="611"/>
      <c r="G165" s="611"/>
      <c r="H165" s="612"/>
      <c r="I165" s="614" t="s">
        <v>6</v>
      </c>
      <c r="J165" s="611"/>
      <c r="K165" s="611"/>
      <c r="L165" s="612"/>
      <c r="M165" s="611" t="s">
        <v>107</v>
      </c>
      <c r="N165" s="612"/>
      <c r="O165" s="614" t="s">
        <v>108</v>
      </c>
      <c r="P165" s="611"/>
      <c r="Q165" s="612"/>
      <c r="R165" s="614" t="s">
        <v>109</v>
      </c>
      <c r="S165" s="611"/>
      <c r="T165" s="612"/>
      <c r="U165" s="614" t="s">
        <v>404</v>
      </c>
      <c r="V165" s="611"/>
      <c r="W165" s="612"/>
      <c r="X165" s="614" t="s">
        <v>405</v>
      </c>
      <c r="Y165" s="611"/>
      <c r="Z165" s="612"/>
    </row>
    <row r="166" spans="1:47" s="378" customFormat="1" ht="13.5" customHeight="1">
      <c r="A166" s="678" t="s">
        <v>37</v>
      </c>
      <c r="B166" s="887" t="s">
        <v>397</v>
      </c>
      <c r="C166" s="888"/>
      <c r="D166" s="888"/>
      <c r="E166" s="888"/>
      <c r="F166" s="888"/>
      <c r="G166" s="888"/>
      <c r="H166" s="889"/>
      <c r="I166" s="893"/>
      <c r="J166" s="815"/>
      <c r="K166" s="815"/>
      <c r="L166" s="816"/>
      <c r="M166" s="895" t="e">
        <f ca="1">(M168+M169)</f>
        <v>#N/A</v>
      </c>
      <c r="N166" s="896"/>
      <c r="O166" s="573">
        <f>SUM(O168:Z169)</f>
        <v>0</v>
      </c>
      <c r="P166" s="574"/>
      <c r="Q166" s="574"/>
      <c r="R166" s="574"/>
      <c r="S166" s="574"/>
      <c r="T166" s="574"/>
      <c r="U166" s="574"/>
      <c r="V166" s="574"/>
      <c r="W166" s="574"/>
      <c r="X166" s="574"/>
      <c r="Y166" s="574"/>
      <c r="Z166" s="897"/>
    </row>
    <row r="167" spans="1:47" s="378" customFormat="1" ht="13.5" customHeight="1">
      <c r="A167" s="615"/>
      <c r="B167" s="890"/>
      <c r="C167" s="891"/>
      <c r="D167" s="891"/>
      <c r="E167" s="891"/>
      <c r="F167" s="891"/>
      <c r="G167" s="891"/>
      <c r="H167" s="892"/>
      <c r="I167" s="768"/>
      <c r="J167" s="894"/>
      <c r="K167" s="894"/>
      <c r="L167" s="769"/>
      <c r="M167" s="699"/>
      <c r="N167" s="700"/>
      <c r="O167" s="752"/>
      <c r="P167" s="753"/>
      <c r="Q167" s="753"/>
      <c r="R167" s="753"/>
      <c r="S167" s="753"/>
      <c r="T167" s="753"/>
      <c r="U167" s="753"/>
      <c r="V167" s="753"/>
      <c r="W167" s="753"/>
      <c r="X167" s="753"/>
      <c r="Y167" s="753"/>
      <c r="Z167" s="754"/>
    </row>
    <row r="168" spans="1:47" s="378" customFormat="1" ht="13.5" customHeight="1">
      <c r="A168" s="414"/>
      <c r="B168" s="755"/>
      <c r="C168" s="599" t="s">
        <v>115</v>
      </c>
      <c r="D168" s="600"/>
      <c r="E168" s="600"/>
      <c r="F168" s="600"/>
      <c r="G168" s="600"/>
      <c r="H168" s="601"/>
      <c r="I168" s="665"/>
      <c r="J168" s="666"/>
      <c r="K168" s="666"/>
      <c r="L168" s="667"/>
      <c r="M168" s="589" t="e">
        <f ca="1">-OFFSET(INDIRECT(計算用!$D$3),0,計算用!$D$38)</f>
        <v>#N/A</v>
      </c>
      <c r="N168" s="590"/>
      <c r="O168" s="596">
        <f>IF(I166="適用",M168,0)</f>
        <v>0</v>
      </c>
      <c r="P168" s="597"/>
      <c r="Q168" s="597"/>
      <c r="R168" s="597"/>
      <c r="S168" s="597"/>
      <c r="T168" s="597"/>
      <c r="U168" s="597"/>
      <c r="V168" s="597"/>
      <c r="W168" s="597"/>
      <c r="X168" s="597"/>
      <c r="Y168" s="597"/>
      <c r="Z168" s="598"/>
      <c r="AA168" s="420"/>
    </row>
    <row r="169" spans="1:47" s="378" customFormat="1" ht="13.5" customHeight="1">
      <c r="A169" s="415"/>
      <c r="B169" s="756"/>
      <c r="C169" s="591" t="s">
        <v>7</v>
      </c>
      <c r="D169" s="592"/>
      <c r="E169" s="592"/>
      <c r="F169" s="592"/>
      <c r="G169" s="592"/>
      <c r="H169" s="593"/>
      <c r="I169" s="668"/>
      <c r="J169" s="669"/>
      <c r="K169" s="669"/>
      <c r="L169" s="670"/>
      <c r="M169" s="594" t="e">
        <f ca="1">-OFFSET(INDIRECT(計算用!$D$3),0,計算用!$D$39)*$K$133</f>
        <v>#N/A</v>
      </c>
      <c r="N169" s="595"/>
      <c r="O169" s="757">
        <f>IF(I166="適用",M169,0)</f>
        <v>0</v>
      </c>
      <c r="P169" s="758"/>
      <c r="Q169" s="758"/>
      <c r="R169" s="758"/>
      <c r="S169" s="758"/>
      <c r="T169" s="758"/>
      <c r="U169" s="758"/>
      <c r="V169" s="758"/>
      <c r="W169" s="758"/>
      <c r="X169" s="758"/>
      <c r="Y169" s="758"/>
      <c r="Z169" s="759"/>
    </row>
    <row r="170" spans="1:47" s="378" customFormat="1" ht="13.5" customHeight="1">
      <c r="A170" s="412" t="s">
        <v>37</v>
      </c>
      <c r="B170" s="617" t="s">
        <v>47</v>
      </c>
      <c r="C170" s="617"/>
      <c r="D170" s="617"/>
      <c r="E170" s="617"/>
      <c r="F170" s="617"/>
      <c r="G170" s="617"/>
      <c r="H170" s="618"/>
      <c r="I170" s="760" t="s">
        <v>46</v>
      </c>
      <c r="J170" s="761"/>
      <c r="K170" s="762"/>
      <c r="L170" s="763"/>
      <c r="M170" s="699" t="e">
        <f ca="1">(M171+M172)</f>
        <v>#N/A</v>
      </c>
      <c r="N170" s="700"/>
      <c r="O170" s="635">
        <f>IF(K170&gt;0,ROUNDDOWN(M170*K170,-1),0)</f>
        <v>0</v>
      </c>
      <c r="P170" s="636"/>
      <c r="Q170" s="636"/>
      <c r="R170" s="636"/>
      <c r="S170" s="636"/>
      <c r="T170" s="636"/>
      <c r="U170" s="636"/>
      <c r="V170" s="636"/>
      <c r="W170" s="636"/>
      <c r="X170" s="636"/>
      <c r="Y170" s="636"/>
      <c r="Z170" s="658"/>
    </row>
    <row r="171" spans="1:47" s="378" customFormat="1" ht="13.5" customHeight="1">
      <c r="A171" s="414"/>
      <c r="B171" s="755"/>
      <c r="C171" s="599" t="s">
        <v>115</v>
      </c>
      <c r="D171" s="600"/>
      <c r="E171" s="600"/>
      <c r="F171" s="600"/>
      <c r="G171" s="600"/>
      <c r="H171" s="601"/>
      <c r="I171" s="665"/>
      <c r="J171" s="666"/>
      <c r="K171" s="666"/>
      <c r="L171" s="667"/>
      <c r="M171" s="589" t="e">
        <f ca="1">-OFFSET(INDIRECT(計算用!$D$3),0,計算用!$D$40)</f>
        <v>#N/A</v>
      </c>
      <c r="N171" s="590"/>
      <c r="O171" s="596">
        <f>O170-O172</f>
        <v>0</v>
      </c>
      <c r="P171" s="597"/>
      <c r="Q171" s="597"/>
      <c r="R171" s="597"/>
      <c r="S171" s="597"/>
      <c r="T171" s="597"/>
      <c r="U171" s="597"/>
      <c r="V171" s="597"/>
      <c r="W171" s="597"/>
      <c r="X171" s="597"/>
      <c r="Y171" s="597"/>
      <c r="Z171" s="598"/>
      <c r="AA171" s="420"/>
    </row>
    <row r="172" spans="1:47" s="378" customFormat="1" ht="13.5" customHeight="1">
      <c r="A172" s="415"/>
      <c r="B172" s="756"/>
      <c r="C172" s="591" t="s">
        <v>7</v>
      </c>
      <c r="D172" s="592"/>
      <c r="E172" s="592"/>
      <c r="F172" s="592"/>
      <c r="G172" s="592"/>
      <c r="H172" s="593"/>
      <c r="I172" s="668"/>
      <c r="J172" s="669"/>
      <c r="K172" s="669"/>
      <c r="L172" s="670"/>
      <c r="M172" s="594" t="e">
        <f ca="1">-OFFSET(INDIRECT(計算用!$D$3),0,計算用!$D$41)*$K$133</f>
        <v>#N/A</v>
      </c>
      <c r="N172" s="595"/>
      <c r="O172" s="757">
        <f>IF(K170&gt;0,ROUNDDOWN(M172*K170,-1),0)</f>
        <v>0</v>
      </c>
      <c r="P172" s="758"/>
      <c r="Q172" s="758"/>
      <c r="R172" s="758"/>
      <c r="S172" s="758"/>
      <c r="T172" s="758"/>
      <c r="U172" s="758"/>
      <c r="V172" s="758"/>
      <c r="W172" s="758"/>
      <c r="X172" s="758"/>
      <c r="Y172" s="758"/>
      <c r="Z172" s="759"/>
    </row>
    <row r="173" spans="1:47" s="378" customFormat="1" ht="13.5" customHeight="1">
      <c r="A173" s="678" t="s">
        <v>37</v>
      </c>
      <c r="B173" s="898" t="s">
        <v>398</v>
      </c>
      <c r="C173" s="899"/>
      <c r="D173" s="899"/>
      <c r="E173" s="899"/>
      <c r="F173" s="899"/>
      <c r="G173" s="899"/>
      <c r="H173" s="900"/>
      <c r="I173" s="609" t="s">
        <v>46</v>
      </c>
      <c r="J173" s="608"/>
      <c r="K173" s="902"/>
      <c r="L173" s="903"/>
      <c r="M173" s="846" t="e">
        <f ca="1">(M175+M176)</f>
        <v>#N/A</v>
      </c>
      <c r="N173" s="847"/>
      <c r="O173" s="571">
        <f>IF(K173&gt;0,ROUNDDOWN(M173*K173,-1),0)</f>
        <v>0</v>
      </c>
      <c r="P173" s="572"/>
      <c r="Q173" s="572"/>
      <c r="R173" s="572"/>
      <c r="S173" s="572"/>
      <c r="T173" s="572"/>
      <c r="U173" s="572"/>
      <c r="V173" s="572"/>
      <c r="W173" s="572"/>
      <c r="X173" s="572"/>
      <c r="Y173" s="572"/>
      <c r="Z173" s="544"/>
    </row>
    <row r="174" spans="1:47" s="378" customFormat="1" ht="13.5" customHeight="1">
      <c r="A174" s="615"/>
      <c r="B174" s="898"/>
      <c r="C174" s="899"/>
      <c r="D174" s="899"/>
      <c r="E174" s="899"/>
      <c r="F174" s="899"/>
      <c r="G174" s="899"/>
      <c r="H174" s="900"/>
      <c r="I174" s="840"/>
      <c r="J174" s="901"/>
      <c r="K174" s="904"/>
      <c r="L174" s="905"/>
      <c r="M174" s="699"/>
      <c r="N174" s="700"/>
      <c r="O174" s="752"/>
      <c r="P174" s="753"/>
      <c r="Q174" s="753"/>
      <c r="R174" s="753"/>
      <c r="S174" s="753"/>
      <c r="T174" s="753"/>
      <c r="U174" s="753"/>
      <c r="V174" s="753"/>
      <c r="W174" s="753"/>
      <c r="X174" s="753"/>
      <c r="Y174" s="753"/>
      <c r="Z174" s="754"/>
    </row>
    <row r="175" spans="1:47" s="378" customFormat="1" ht="13.5" customHeight="1">
      <c r="A175" s="414"/>
      <c r="B175" s="755"/>
      <c r="C175" s="599" t="s">
        <v>115</v>
      </c>
      <c r="D175" s="600"/>
      <c r="E175" s="600"/>
      <c r="F175" s="600"/>
      <c r="G175" s="600"/>
      <c r="H175" s="601"/>
      <c r="I175" s="665"/>
      <c r="J175" s="666"/>
      <c r="K175" s="666"/>
      <c r="L175" s="667"/>
      <c r="M175" s="589" t="e">
        <f ca="1">-OFFSET(INDIRECT(計算用!$D$3),0,計算用!$D$42)</f>
        <v>#N/A</v>
      </c>
      <c r="N175" s="590"/>
      <c r="O175" s="596">
        <f>O173-O176</f>
        <v>0</v>
      </c>
      <c r="P175" s="597"/>
      <c r="Q175" s="597"/>
      <c r="R175" s="597"/>
      <c r="S175" s="597"/>
      <c r="T175" s="597"/>
      <c r="U175" s="597"/>
      <c r="V175" s="597"/>
      <c r="W175" s="597"/>
      <c r="X175" s="597"/>
      <c r="Y175" s="597"/>
      <c r="Z175" s="598"/>
      <c r="AA175" s="420"/>
    </row>
    <row r="176" spans="1:47" s="378" customFormat="1" ht="13.5" customHeight="1">
      <c r="A176" s="415"/>
      <c r="B176" s="756"/>
      <c r="C176" s="591" t="s">
        <v>7</v>
      </c>
      <c r="D176" s="592"/>
      <c r="E176" s="592"/>
      <c r="F176" s="592"/>
      <c r="G176" s="592"/>
      <c r="H176" s="593"/>
      <c r="I176" s="668"/>
      <c r="J176" s="669"/>
      <c r="K176" s="669"/>
      <c r="L176" s="670"/>
      <c r="M176" s="594" t="e">
        <f ca="1">-OFFSET(INDIRECT(計算用!$D$3),0,計算用!$D$43)*$K$133</f>
        <v>#N/A</v>
      </c>
      <c r="N176" s="595"/>
      <c r="O176" s="757">
        <f>IF(K173&gt;0,ROUNDDOWN(M176*K173,-1),0)</f>
        <v>0</v>
      </c>
      <c r="P176" s="758"/>
      <c r="Q176" s="758"/>
      <c r="R176" s="758"/>
      <c r="S176" s="758"/>
      <c r="T176" s="758"/>
      <c r="U176" s="758"/>
      <c r="V176" s="758"/>
      <c r="W176" s="758"/>
      <c r="X176" s="758"/>
      <c r="Y176" s="758"/>
      <c r="Z176" s="759"/>
    </row>
    <row r="177" spans="1:29" s="378" customFormat="1" ht="13.5" customHeight="1">
      <c r="A177" s="412" t="s">
        <v>37</v>
      </c>
      <c r="B177" s="617" t="s">
        <v>9</v>
      </c>
      <c r="C177" s="617"/>
      <c r="D177" s="617"/>
      <c r="E177" s="617"/>
      <c r="F177" s="617"/>
      <c r="G177" s="617"/>
      <c r="H177" s="618"/>
      <c r="I177" s="792" t="s">
        <v>114</v>
      </c>
      <c r="J177" s="951"/>
      <c r="K177" s="951"/>
      <c r="L177" s="793"/>
      <c r="M177" s="1031">
        <f ca="1">IF(I177="非適用",0,OFFSET(INDIRECT(計算用!$D$3),1,計算用!$D$44))</f>
        <v>0</v>
      </c>
      <c r="N177" s="1032"/>
      <c r="O177" s="571">
        <f>IF(I177="適用",ROUNDDOWN(SUM(O129,O133,O139,O136,O148,O151,O154,O157,O161,O166,O170,O173)*M177,-1),0)</f>
        <v>0</v>
      </c>
      <c r="P177" s="572"/>
      <c r="Q177" s="572"/>
      <c r="R177" s="572"/>
      <c r="S177" s="572"/>
      <c r="T177" s="544"/>
      <c r="U177" s="571">
        <f>IF(I177="適用",ROUNDDOWN(SUM(U129,U133,O136,O139,U142,O148,O151,O154,O157,O161,O166,O170,O173)*M177,-1),0)</f>
        <v>0</v>
      </c>
      <c r="V177" s="572"/>
      <c r="W177" s="572"/>
      <c r="X177" s="571">
        <f>IF(I177="適用",ROUNDDOWN(SUM(U129,U133,O136,O139,U142,X145,O148,O151,O154,O157,O161,O166,O170,O173)*M177,-1),0)</f>
        <v>0</v>
      </c>
      <c r="Y177" s="572"/>
      <c r="Z177" s="544"/>
    </row>
    <row r="178" spans="1:29" s="378" customFormat="1" ht="13.5" customHeight="1">
      <c r="A178" s="414"/>
      <c r="B178" s="794"/>
      <c r="C178" s="599" t="s">
        <v>115</v>
      </c>
      <c r="D178" s="600"/>
      <c r="E178" s="600"/>
      <c r="F178" s="600"/>
      <c r="G178" s="600"/>
      <c r="H178" s="601"/>
      <c r="I178" s="665"/>
      <c r="J178" s="666"/>
      <c r="K178" s="666"/>
      <c r="L178" s="667"/>
      <c r="M178" s="865"/>
      <c r="N178" s="866"/>
      <c r="O178" s="586">
        <f>O177-O179</f>
        <v>0</v>
      </c>
      <c r="P178" s="587"/>
      <c r="Q178" s="587"/>
      <c r="R178" s="587"/>
      <c r="S178" s="587"/>
      <c r="T178" s="588"/>
      <c r="U178" s="586">
        <f t="shared" ref="U178" si="0">U177-U179</f>
        <v>0</v>
      </c>
      <c r="V178" s="587"/>
      <c r="W178" s="587"/>
      <c r="X178" s="586">
        <f>X177-X179</f>
        <v>0</v>
      </c>
      <c r="Y178" s="587"/>
      <c r="Z178" s="588"/>
    </row>
    <row r="179" spans="1:29" s="378" customFormat="1" ht="13.5" customHeight="1">
      <c r="A179" s="415"/>
      <c r="B179" s="795"/>
      <c r="C179" s="591" t="s">
        <v>7</v>
      </c>
      <c r="D179" s="592"/>
      <c r="E179" s="592"/>
      <c r="F179" s="592"/>
      <c r="G179" s="592"/>
      <c r="H179" s="593"/>
      <c r="I179" s="748"/>
      <c r="J179" s="1025"/>
      <c r="K179" s="1025"/>
      <c r="L179" s="749"/>
      <c r="M179" s="750"/>
      <c r="N179" s="751"/>
      <c r="O179" s="576">
        <f>IF(I177="適用",ROUNDDOWN(SUM(O133,O138,O141,O150,O153,O156,O160,O169,O172,O176)*M177,-1),0)</f>
        <v>0</v>
      </c>
      <c r="P179" s="577"/>
      <c r="Q179" s="577"/>
      <c r="R179" s="577"/>
      <c r="S179" s="577"/>
      <c r="T179" s="546"/>
      <c r="U179" s="576">
        <f>IF(I177="適用",ROUNDDOWN(SUM(U133,O138,O141,U144,O150,O153,O156,O160,O169,O172,O176)*M177,-1),0)</f>
        <v>0</v>
      </c>
      <c r="V179" s="577"/>
      <c r="W179" s="577"/>
      <c r="X179" s="579">
        <f>IF(I177="適用",ROUNDDOWN(SUM(U133,O138,O141,U144,X147,O150,O153,O156,O160,O169,O172,O176)*M177,-1),0)</f>
        <v>0</v>
      </c>
      <c r="Y179" s="580"/>
      <c r="Z179" s="886"/>
    </row>
    <row r="180" spans="1:29" s="378" customFormat="1" ht="13.5" customHeight="1">
      <c r="A180" s="418"/>
      <c r="B180" s="407"/>
      <c r="C180" s="407"/>
      <c r="D180" s="407"/>
      <c r="E180" s="407"/>
      <c r="F180" s="407"/>
      <c r="G180" s="407"/>
      <c r="H180" s="407"/>
      <c r="I180" s="408"/>
      <c r="J180" s="408"/>
      <c r="K180" s="408"/>
      <c r="L180" s="408"/>
      <c r="M180" s="408"/>
      <c r="N180" s="408"/>
      <c r="O180" s="409"/>
      <c r="P180" s="409"/>
      <c r="Q180" s="409"/>
      <c r="R180" s="409"/>
      <c r="S180" s="409"/>
      <c r="T180" s="409"/>
      <c r="U180" s="409"/>
      <c r="V180" s="409"/>
      <c r="W180" s="409"/>
      <c r="X180" s="409"/>
      <c r="Y180" s="409"/>
      <c r="Z180" s="409"/>
    </row>
    <row r="181" spans="1:29" s="378" customFormat="1" ht="13.5" customHeight="1">
      <c r="A181" s="410" t="s">
        <v>635</v>
      </c>
      <c r="B181" s="419"/>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row>
    <row r="182" spans="1:29" s="378" customFormat="1" ht="13.5" customHeight="1">
      <c r="A182" s="614" t="s">
        <v>3</v>
      </c>
      <c r="B182" s="611"/>
      <c r="C182" s="611"/>
      <c r="D182" s="611"/>
      <c r="E182" s="611"/>
      <c r="F182" s="611"/>
      <c r="G182" s="611"/>
      <c r="H182" s="612"/>
      <c r="I182" s="614" t="s">
        <v>6</v>
      </c>
      <c r="J182" s="611"/>
      <c r="K182" s="611"/>
      <c r="L182" s="612"/>
      <c r="M182" s="611" t="s">
        <v>107</v>
      </c>
      <c r="N182" s="612"/>
      <c r="O182" s="614" t="s">
        <v>108</v>
      </c>
      <c r="P182" s="611"/>
      <c r="Q182" s="612"/>
      <c r="R182" s="614" t="s">
        <v>109</v>
      </c>
      <c r="S182" s="611"/>
      <c r="T182" s="612"/>
      <c r="U182" s="614" t="s">
        <v>404</v>
      </c>
      <c r="V182" s="611"/>
      <c r="W182" s="612"/>
      <c r="X182" s="614" t="s">
        <v>405</v>
      </c>
      <c r="Y182" s="611"/>
      <c r="Z182" s="612"/>
    </row>
    <row r="183" spans="1:29" s="378" customFormat="1" ht="13.5" customHeight="1">
      <c r="A183" s="412" t="s">
        <v>116</v>
      </c>
      <c r="B183" s="623" t="s">
        <v>5</v>
      </c>
      <c r="C183" s="623"/>
      <c r="D183" s="623"/>
      <c r="E183" s="623"/>
      <c r="F183" s="623"/>
      <c r="G183" s="623"/>
      <c r="H183" s="624"/>
      <c r="I183" s="695" t="s">
        <v>119</v>
      </c>
      <c r="J183" s="696"/>
      <c r="K183" s="697"/>
      <c r="L183" s="698"/>
      <c r="M183" s="589">
        <f>M184+M185</f>
        <v>18280</v>
      </c>
      <c r="N183" s="590"/>
      <c r="O183" s="635">
        <f>IF(OR(K183="A",K183="B"),ROUNDDOWN(M183/P114,-1),0)</f>
        <v>0</v>
      </c>
      <c r="P183" s="636"/>
      <c r="Q183" s="636"/>
      <c r="R183" s="636"/>
      <c r="S183" s="636"/>
      <c r="T183" s="636"/>
      <c r="U183" s="636"/>
      <c r="V183" s="636"/>
      <c r="W183" s="636"/>
      <c r="X183" s="636"/>
      <c r="Y183" s="636"/>
      <c r="Z183" s="658"/>
      <c r="AA183" s="387" t="s">
        <v>114</v>
      </c>
      <c r="AB183" s="387" t="s">
        <v>120</v>
      </c>
      <c r="AC183" s="387" t="s">
        <v>121</v>
      </c>
    </row>
    <row r="184" spans="1:29" s="378" customFormat="1" ht="13.5" customHeight="1">
      <c r="A184" s="414"/>
      <c r="B184" s="418"/>
      <c r="C184" s="599" t="s">
        <v>115</v>
      </c>
      <c r="D184" s="600"/>
      <c r="E184" s="600"/>
      <c r="F184" s="600"/>
      <c r="G184" s="600"/>
      <c r="H184" s="601"/>
      <c r="I184" s="665"/>
      <c r="J184" s="666"/>
      <c r="K184" s="666"/>
      <c r="L184" s="667"/>
      <c r="M184" s="589">
        <f>IF(K183="B",'１号単価表②'!$E$11,'１号単価表②'!$E$8)</f>
        <v>18280</v>
      </c>
      <c r="N184" s="590"/>
      <c r="O184" s="596">
        <f>O183-O185</f>
        <v>0</v>
      </c>
      <c r="P184" s="597"/>
      <c r="Q184" s="597"/>
      <c r="R184" s="597"/>
      <c r="S184" s="597"/>
      <c r="T184" s="597"/>
      <c r="U184" s="597"/>
      <c r="V184" s="597"/>
      <c r="W184" s="597"/>
      <c r="X184" s="597"/>
      <c r="Y184" s="597"/>
      <c r="Z184" s="598"/>
    </row>
    <row r="185" spans="1:29" s="378" customFormat="1" ht="13.5" customHeight="1">
      <c r="A185" s="415"/>
      <c r="B185" s="421"/>
      <c r="C185" s="591" t="s">
        <v>7</v>
      </c>
      <c r="D185" s="592"/>
      <c r="E185" s="592"/>
      <c r="F185" s="592"/>
      <c r="G185" s="592"/>
      <c r="H185" s="593"/>
      <c r="I185" s="668"/>
      <c r="J185" s="669"/>
      <c r="K185" s="669"/>
      <c r="L185" s="670"/>
      <c r="M185" s="594">
        <f>IF(K183="B",'１号単価表②'!$K$11,'１号単価表②'!$K$8)*$K$133</f>
        <v>0</v>
      </c>
      <c r="N185" s="595"/>
      <c r="O185" s="596">
        <f>IF(OR(K183="A",K183="B"),ROUNDDOWN(M185/P114,-1),0)</f>
        <v>0</v>
      </c>
      <c r="P185" s="597"/>
      <c r="Q185" s="597"/>
      <c r="R185" s="597"/>
      <c r="S185" s="597"/>
      <c r="T185" s="597"/>
      <c r="U185" s="597"/>
      <c r="V185" s="597"/>
      <c r="W185" s="597"/>
      <c r="X185" s="597"/>
      <c r="Y185" s="597"/>
      <c r="Z185" s="598"/>
    </row>
    <row r="186" spans="1:29" s="378" customFormat="1" ht="13.5" customHeight="1">
      <c r="A186" s="412" t="s">
        <v>116</v>
      </c>
      <c r="B186" s="617" t="s">
        <v>48</v>
      </c>
      <c r="C186" s="617"/>
      <c r="D186" s="617"/>
      <c r="E186" s="617"/>
      <c r="F186" s="617"/>
      <c r="G186" s="617"/>
      <c r="H186" s="618"/>
      <c r="I186" s="651"/>
      <c r="J186" s="652"/>
      <c r="K186" s="652"/>
      <c r="L186" s="653"/>
      <c r="M186" s="589">
        <f>M187+M188</f>
        <v>78020</v>
      </c>
      <c r="N186" s="590"/>
      <c r="O186" s="635">
        <f>IF(I186="適用",ROUNDDOWN(M186/P114,-1),0)</f>
        <v>0</v>
      </c>
      <c r="P186" s="636"/>
      <c r="Q186" s="636"/>
      <c r="R186" s="636"/>
      <c r="S186" s="636"/>
      <c r="T186" s="636"/>
      <c r="U186" s="636"/>
      <c r="V186" s="636"/>
      <c r="W186" s="636"/>
      <c r="X186" s="636"/>
      <c r="Y186" s="636"/>
      <c r="Z186" s="658"/>
    </row>
    <row r="187" spans="1:29" s="378" customFormat="1" ht="13.5" customHeight="1">
      <c r="A187" s="414"/>
      <c r="B187" s="418"/>
      <c r="C187" s="599" t="s">
        <v>115</v>
      </c>
      <c r="D187" s="600"/>
      <c r="E187" s="600"/>
      <c r="F187" s="600"/>
      <c r="G187" s="600"/>
      <c r="H187" s="601"/>
      <c r="I187" s="665"/>
      <c r="J187" s="666"/>
      <c r="K187" s="666"/>
      <c r="L187" s="667"/>
      <c r="M187" s="589">
        <f>'１号単価表②'!$E$15</f>
        <v>78020</v>
      </c>
      <c r="N187" s="590"/>
      <c r="O187" s="596">
        <f>O186-O188</f>
        <v>0</v>
      </c>
      <c r="P187" s="597"/>
      <c r="Q187" s="597"/>
      <c r="R187" s="597"/>
      <c r="S187" s="597"/>
      <c r="T187" s="597"/>
      <c r="U187" s="597"/>
      <c r="V187" s="597"/>
      <c r="W187" s="597"/>
      <c r="X187" s="597"/>
      <c r="Y187" s="597"/>
      <c r="Z187" s="598"/>
    </row>
    <row r="188" spans="1:29" s="378" customFormat="1" ht="13.5" customHeight="1">
      <c r="A188" s="415"/>
      <c r="B188" s="421"/>
      <c r="C188" s="671" t="s">
        <v>7</v>
      </c>
      <c r="D188" s="672"/>
      <c r="E188" s="672"/>
      <c r="F188" s="672"/>
      <c r="G188" s="672"/>
      <c r="H188" s="673"/>
      <c r="I188" s="668"/>
      <c r="J188" s="669"/>
      <c r="K188" s="669"/>
      <c r="L188" s="670"/>
      <c r="M188" s="594">
        <f>'１号単価表②'!$K$15*$K$133</f>
        <v>0</v>
      </c>
      <c r="N188" s="595"/>
      <c r="O188" s="596">
        <f>IF(I186="適用",ROUNDDOWN(M188/P114,-1),0)</f>
        <v>0</v>
      </c>
      <c r="P188" s="597"/>
      <c r="Q188" s="597"/>
      <c r="R188" s="597"/>
      <c r="S188" s="597"/>
      <c r="T188" s="597"/>
      <c r="U188" s="597"/>
      <c r="V188" s="597"/>
      <c r="W188" s="597"/>
      <c r="X188" s="597"/>
      <c r="Y188" s="597"/>
      <c r="Z188" s="598"/>
    </row>
    <row r="189" spans="1:29" s="378" customFormat="1" ht="13.5" customHeight="1">
      <c r="A189" s="412" t="s">
        <v>116</v>
      </c>
      <c r="B189" s="623" t="s">
        <v>49</v>
      </c>
      <c r="C189" s="623"/>
      <c r="D189" s="623"/>
      <c r="E189" s="623"/>
      <c r="F189" s="623"/>
      <c r="G189" s="623"/>
      <c r="H189" s="624"/>
      <c r="I189" s="651"/>
      <c r="J189" s="652"/>
      <c r="K189" s="652"/>
      <c r="L189" s="653"/>
      <c r="M189" s="589">
        <f>M190+M191</f>
        <v>82880</v>
      </c>
      <c r="N189" s="590"/>
      <c r="O189" s="635">
        <f>IF(I189="適用",ROUNDDOWN(M189/P114,-1),0)</f>
        <v>0</v>
      </c>
      <c r="P189" s="636"/>
      <c r="Q189" s="636"/>
      <c r="R189" s="636"/>
      <c r="S189" s="636"/>
      <c r="T189" s="636"/>
      <c r="U189" s="636"/>
      <c r="V189" s="636"/>
      <c r="W189" s="636"/>
      <c r="X189" s="636"/>
      <c r="Y189" s="636"/>
      <c r="Z189" s="658"/>
    </row>
    <row r="190" spans="1:29" s="378" customFormat="1" ht="13.5" customHeight="1">
      <c r="A190" s="414"/>
      <c r="B190" s="418"/>
      <c r="C190" s="599" t="s">
        <v>115</v>
      </c>
      <c r="D190" s="600"/>
      <c r="E190" s="600"/>
      <c r="F190" s="600"/>
      <c r="G190" s="600"/>
      <c r="H190" s="601"/>
      <c r="I190" s="665"/>
      <c r="J190" s="666"/>
      <c r="K190" s="666"/>
      <c r="L190" s="667"/>
      <c r="M190" s="589">
        <f>'１号単価表②'!$E$19</f>
        <v>82880</v>
      </c>
      <c r="N190" s="590"/>
      <c r="O190" s="596">
        <f>O189-O191</f>
        <v>0</v>
      </c>
      <c r="P190" s="597"/>
      <c r="Q190" s="597"/>
      <c r="R190" s="597"/>
      <c r="S190" s="597"/>
      <c r="T190" s="597"/>
      <c r="U190" s="597"/>
      <c r="V190" s="597"/>
      <c r="W190" s="597"/>
      <c r="X190" s="597"/>
      <c r="Y190" s="597"/>
      <c r="Z190" s="598"/>
    </row>
    <row r="191" spans="1:29" s="378" customFormat="1" ht="13.5" customHeight="1">
      <c r="A191" s="415"/>
      <c r="B191" s="421"/>
      <c r="C191" s="671" t="s">
        <v>7</v>
      </c>
      <c r="D191" s="672"/>
      <c r="E191" s="672"/>
      <c r="F191" s="672"/>
      <c r="G191" s="672"/>
      <c r="H191" s="673"/>
      <c r="I191" s="668"/>
      <c r="J191" s="669"/>
      <c r="K191" s="669"/>
      <c r="L191" s="670"/>
      <c r="M191" s="594">
        <f>'１号単価表②'!$K$19*$K$133</f>
        <v>0</v>
      </c>
      <c r="N191" s="595"/>
      <c r="O191" s="596">
        <f>IF(I189="適用",ROUNDDOWN(M191/P114,-1),0)</f>
        <v>0</v>
      </c>
      <c r="P191" s="597"/>
      <c r="Q191" s="597"/>
      <c r="R191" s="597"/>
      <c r="S191" s="597"/>
      <c r="T191" s="597"/>
      <c r="U191" s="597"/>
      <c r="V191" s="597"/>
      <c r="W191" s="597"/>
      <c r="X191" s="597"/>
      <c r="Y191" s="597"/>
      <c r="Z191" s="598"/>
    </row>
    <row r="192" spans="1:29" s="378" customFormat="1" ht="13.5" customHeight="1">
      <c r="A192" s="412" t="s">
        <v>116</v>
      </c>
      <c r="B192" s="623" t="s">
        <v>50</v>
      </c>
      <c r="C192" s="623"/>
      <c r="D192" s="623"/>
      <c r="E192" s="623"/>
      <c r="F192" s="623"/>
      <c r="G192" s="623"/>
      <c r="H192" s="624"/>
      <c r="I192" s="651"/>
      <c r="J192" s="652"/>
      <c r="K192" s="652"/>
      <c r="L192" s="653"/>
      <c r="M192" s="589">
        <f>M193+M194</f>
        <v>69060</v>
      </c>
      <c r="N192" s="590"/>
      <c r="O192" s="635">
        <f>IF(I192="適用",ROUNDDOWN(M192/P114,-1),0)</f>
        <v>0</v>
      </c>
      <c r="P192" s="636"/>
      <c r="Q192" s="636"/>
      <c r="R192" s="636"/>
      <c r="S192" s="636"/>
      <c r="T192" s="636"/>
      <c r="U192" s="636"/>
      <c r="V192" s="636"/>
      <c r="W192" s="636"/>
      <c r="X192" s="636"/>
      <c r="Y192" s="636"/>
      <c r="Z192" s="658"/>
    </row>
    <row r="193" spans="1:127" s="378" customFormat="1" ht="13.5" customHeight="1">
      <c r="A193" s="414"/>
      <c r="B193" s="418"/>
      <c r="C193" s="599" t="s">
        <v>115</v>
      </c>
      <c r="D193" s="600"/>
      <c r="E193" s="600"/>
      <c r="F193" s="600"/>
      <c r="G193" s="600"/>
      <c r="H193" s="601"/>
      <c r="I193" s="665"/>
      <c r="J193" s="666"/>
      <c r="K193" s="666"/>
      <c r="L193" s="667"/>
      <c r="M193" s="589">
        <f>'１号単価表②'!$E$23</f>
        <v>69060</v>
      </c>
      <c r="N193" s="590"/>
      <c r="O193" s="596">
        <f>O192-O194</f>
        <v>0</v>
      </c>
      <c r="P193" s="597"/>
      <c r="Q193" s="597"/>
      <c r="R193" s="597"/>
      <c r="S193" s="597"/>
      <c r="T193" s="597"/>
      <c r="U193" s="597"/>
      <c r="V193" s="597"/>
      <c r="W193" s="597"/>
      <c r="X193" s="597"/>
      <c r="Y193" s="597"/>
      <c r="Z193" s="598"/>
    </row>
    <row r="194" spans="1:127" s="378" customFormat="1" ht="13.5" customHeight="1">
      <c r="A194" s="415"/>
      <c r="B194" s="421"/>
      <c r="C194" s="591" t="s">
        <v>7</v>
      </c>
      <c r="D194" s="592"/>
      <c r="E194" s="592"/>
      <c r="F194" s="592"/>
      <c r="G194" s="592"/>
      <c r="H194" s="593"/>
      <c r="I194" s="668"/>
      <c r="J194" s="669"/>
      <c r="K194" s="669"/>
      <c r="L194" s="670"/>
      <c r="M194" s="594">
        <f>'１号単価表②'!$K$23*$K$133</f>
        <v>0</v>
      </c>
      <c r="N194" s="595"/>
      <c r="O194" s="596">
        <f>IF(I192="適用",ROUNDDOWN(M194/P114,-1),0)</f>
        <v>0</v>
      </c>
      <c r="P194" s="597"/>
      <c r="Q194" s="597"/>
      <c r="R194" s="597"/>
      <c r="S194" s="597"/>
      <c r="T194" s="597"/>
      <c r="U194" s="597"/>
      <c r="V194" s="597"/>
      <c r="W194" s="597"/>
      <c r="X194" s="597"/>
      <c r="Y194" s="597"/>
      <c r="Z194" s="598"/>
    </row>
    <row r="195" spans="1:127" s="378" customFormat="1" ht="13.5" customHeight="1">
      <c r="A195" s="678" t="s">
        <v>116</v>
      </c>
      <c r="B195" s="617" t="s">
        <v>51</v>
      </c>
      <c r="C195" s="617"/>
      <c r="D195" s="617"/>
      <c r="E195" s="617"/>
      <c r="F195" s="617"/>
      <c r="G195" s="617"/>
      <c r="H195" s="618"/>
      <c r="I195" s="683" t="s">
        <v>122</v>
      </c>
      <c r="J195" s="684"/>
      <c r="K195" s="722"/>
      <c r="L195" s="723"/>
      <c r="M195" s="656">
        <f>'１号単価表②'!$L$27/2</f>
        <v>25070</v>
      </c>
      <c r="N195" s="657"/>
      <c r="O195" s="635">
        <f>IF(SUM(K195:L196)&gt;0,ROUNDDOWN(SUM(M195*K195,M196*K196)/P114,-1),0)</f>
        <v>0</v>
      </c>
      <c r="P195" s="636"/>
      <c r="Q195" s="636"/>
      <c r="R195" s="636"/>
      <c r="S195" s="636"/>
      <c r="T195" s="636"/>
      <c r="U195" s="636"/>
      <c r="V195" s="636"/>
      <c r="W195" s="636"/>
      <c r="X195" s="636"/>
      <c r="Y195" s="636"/>
      <c r="Z195" s="658"/>
      <c r="AA195" s="387">
        <v>0</v>
      </c>
      <c r="AB195" s="387">
        <v>1</v>
      </c>
      <c r="AC195" s="387">
        <v>2</v>
      </c>
      <c r="AD195" s="387">
        <v>3</v>
      </c>
      <c r="AE195" s="387">
        <v>4</v>
      </c>
      <c r="AF195" s="387">
        <v>5</v>
      </c>
      <c r="AG195" s="387">
        <v>6</v>
      </c>
      <c r="AH195" s="387">
        <v>7</v>
      </c>
      <c r="AI195" s="387">
        <v>8</v>
      </c>
      <c r="AJ195" s="387">
        <v>9</v>
      </c>
      <c r="AK195" s="387">
        <v>10</v>
      </c>
      <c r="AL195" s="387">
        <v>11</v>
      </c>
      <c r="AM195" s="387">
        <v>12</v>
      </c>
      <c r="AN195" s="387">
        <v>13</v>
      </c>
      <c r="AO195" s="387">
        <v>14</v>
      </c>
      <c r="AP195" s="387">
        <v>15</v>
      </c>
      <c r="AQ195" s="387">
        <v>16</v>
      </c>
      <c r="AR195" s="387">
        <v>17</v>
      </c>
      <c r="AS195" s="387">
        <v>18</v>
      </c>
      <c r="AT195" s="387">
        <v>19</v>
      </c>
      <c r="AU195" s="387">
        <v>20</v>
      </c>
    </row>
    <row r="196" spans="1:127" s="378" customFormat="1" ht="13.5" customHeight="1">
      <c r="A196" s="679"/>
      <c r="B196" s="681"/>
      <c r="C196" s="681"/>
      <c r="D196" s="681"/>
      <c r="E196" s="681"/>
      <c r="F196" s="681"/>
      <c r="G196" s="681"/>
      <c r="H196" s="682"/>
      <c r="I196" s="790" t="s">
        <v>123</v>
      </c>
      <c r="J196" s="791"/>
      <c r="K196" s="995"/>
      <c r="L196" s="996"/>
      <c r="M196" s="594">
        <f>'１号単価表②'!$L$28/2</f>
        <v>3135</v>
      </c>
      <c r="N196" s="595"/>
      <c r="O196" s="728"/>
      <c r="P196" s="729"/>
      <c r="Q196" s="729"/>
      <c r="R196" s="729"/>
      <c r="S196" s="729"/>
      <c r="T196" s="729"/>
      <c r="U196" s="729"/>
      <c r="V196" s="729"/>
      <c r="W196" s="729"/>
      <c r="X196" s="729"/>
      <c r="Y196" s="729"/>
      <c r="Z196" s="730"/>
    </row>
    <row r="197" spans="1:127" s="378" customFormat="1" ht="13.5" customHeight="1">
      <c r="A197" s="549" t="s">
        <v>725</v>
      </c>
      <c r="B197" s="552" t="s">
        <v>726</v>
      </c>
      <c r="C197" s="553"/>
      <c r="D197" s="553"/>
      <c r="E197" s="553"/>
      <c r="F197" s="553"/>
      <c r="G197" s="553"/>
      <c r="H197" s="553"/>
      <c r="I197" s="531" t="s">
        <v>755</v>
      </c>
      <c r="J197" s="532"/>
      <c r="K197" s="537">
        <v>0</v>
      </c>
      <c r="L197" s="538"/>
      <c r="M197" s="543">
        <f>11280</f>
        <v>11280</v>
      </c>
      <c r="N197" s="544"/>
      <c r="O197" s="573">
        <f>IF(K197&gt;0,ROUNDDOWN(M197*K197/P114,-1),0)</f>
        <v>0</v>
      </c>
      <c r="P197" s="574"/>
      <c r="Q197" s="574"/>
      <c r="R197" s="574"/>
      <c r="S197" s="574"/>
      <c r="T197" s="574"/>
      <c r="U197" s="574"/>
      <c r="V197" s="574"/>
      <c r="W197" s="574"/>
      <c r="X197" s="574"/>
      <c r="Y197" s="574"/>
      <c r="Z197" s="575"/>
      <c r="AA197" s="376">
        <v>0</v>
      </c>
      <c r="AB197" s="376">
        <v>1</v>
      </c>
      <c r="AC197" s="376">
        <v>2</v>
      </c>
      <c r="AD197" s="376">
        <v>3</v>
      </c>
      <c r="AE197" s="376">
        <v>4</v>
      </c>
      <c r="AF197" s="376">
        <v>5</v>
      </c>
      <c r="AG197" s="376">
        <v>6</v>
      </c>
      <c r="AH197" s="376">
        <v>7</v>
      </c>
      <c r="AI197" s="376">
        <v>8</v>
      </c>
      <c r="AJ197" s="376">
        <v>9</v>
      </c>
      <c r="AK197" s="376">
        <v>10</v>
      </c>
      <c r="AL197" s="376">
        <v>11</v>
      </c>
      <c r="AM197" s="376">
        <v>12</v>
      </c>
      <c r="AN197" s="376">
        <v>13</v>
      </c>
      <c r="AO197" s="376">
        <v>14</v>
      </c>
      <c r="AP197" s="376">
        <v>15</v>
      </c>
      <c r="AQ197" s="376">
        <v>16</v>
      </c>
      <c r="AR197" s="376">
        <v>17</v>
      </c>
      <c r="AS197" s="376">
        <v>18</v>
      </c>
      <c r="AT197" s="376">
        <v>19</v>
      </c>
      <c r="AU197" s="376">
        <v>20</v>
      </c>
      <c r="AV197" s="376">
        <v>21</v>
      </c>
      <c r="AW197" s="376">
        <v>22</v>
      </c>
      <c r="AX197" s="376">
        <v>23</v>
      </c>
      <c r="AY197" s="376">
        <v>24</v>
      </c>
      <c r="AZ197" s="376">
        <v>25</v>
      </c>
      <c r="BA197" s="376">
        <v>26</v>
      </c>
      <c r="BB197" s="376">
        <v>27</v>
      </c>
      <c r="BC197" s="376">
        <v>28</v>
      </c>
      <c r="BD197" s="376">
        <v>29</v>
      </c>
      <c r="BE197" s="376">
        <v>30</v>
      </c>
      <c r="BF197" s="376">
        <v>31</v>
      </c>
      <c r="BG197" s="376">
        <v>32</v>
      </c>
      <c r="BH197" s="376">
        <v>33</v>
      </c>
      <c r="BI197" s="376">
        <v>34</v>
      </c>
      <c r="BJ197" s="376">
        <v>35</v>
      </c>
      <c r="BK197" s="376">
        <v>36</v>
      </c>
      <c r="BL197" s="376">
        <v>37</v>
      </c>
      <c r="BM197" s="376">
        <v>38</v>
      </c>
      <c r="BN197" s="376">
        <v>39</v>
      </c>
      <c r="BO197" s="376">
        <v>40</v>
      </c>
      <c r="BP197" s="376">
        <v>41</v>
      </c>
      <c r="BQ197" s="376">
        <v>42</v>
      </c>
      <c r="BR197" s="376">
        <v>43</v>
      </c>
      <c r="BS197" s="376">
        <v>44</v>
      </c>
      <c r="BT197" s="376">
        <v>45</v>
      </c>
      <c r="BU197" s="376">
        <v>46</v>
      </c>
      <c r="BV197" s="376">
        <v>47</v>
      </c>
      <c r="BW197" s="376">
        <v>48</v>
      </c>
      <c r="BX197" s="376">
        <v>49</v>
      </c>
      <c r="BY197" s="376">
        <v>50</v>
      </c>
      <c r="BZ197" s="376">
        <v>51</v>
      </c>
      <c r="CA197" s="376">
        <v>52</v>
      </c>
      <c r="CB197" s="376">
        <v>53</v>
      </c>
      <c r="CC197" s="376">
        <v>54</v>
      </c>
      <c r="CD197" s="376">
        <v>55</v>
      </c>
      <c r="CE197" s="376">
        <v>56</v>
      </c>
      <c r="CF197" s="376">
        <v>57</v>
      </c>
      <c r="CG197" s="376">
        <v>58</v>
      </c>
      <c r="CH197" s="376">
        <v>59</v>
      </c>
      <c r="CI197" s="376">
        <v>60</v>
      </c>
      <c r="CJ197" s="376">
        <v>61</v>
      </c>
      <c r="CK197" s="376">
        <v>62</v>
      </c>
      <c r="CL197" s="376">
        <v>63</v>
      </c>
      <c r="CM197" s="376">
        <v>64</v>
      </c>
      <c r="CN197" s="376">
        <v>65</v>
      </c>
      <c r="CO197" s="376">
        <v>66</v>
      </c>
      <c r="CP197" s="376">
        <v>67</v>
      </c>
      <c r="CQ197" s="376">
        <v>68</v>
      </c>
      <c r="CR197" s="376">
        <v>69</v>
      </c>
      <c r="CS197" s="376">
        <v>70</v>
      </c>
      <c r="CT197" s="376">
        <v>71</v>
      </c>
      <c r="CU197" s="376">
        <v>72</v>
      </c>
      <c r="CV197" s="376">
        <v>73</v>
      </c>
      <c r="CW197" s="376">
        <v>74</v>
      </c>
      <c r="CX197" s="376">
        <v>75</v>
      </c>
      <c r="CY197" s="376">
        <v>76</v>
      </c>
      <c r="CZ197" s="376">
        <v>77</v>
      </c>
      <c r="DA197" s="376">
        <v>78</v>
      </c>
      <c r="DB197" s="376">
        <v>79</v>
      </c>
      <c r="DC197" s="376">
        <v>80</v>
      </c>
      <c r="DD197" s="376">
        <v>81</v>
      </c>
      <c r="DE197" s="376">
        <v>82</v>
      </c>
      <c r="DF197" s="376">
        <v>83</v>
      </c>
      <c r="DG197" s="376">
        <v>84</v>
      </c>
      <c r="DH197" s="376">
        <v>85</v>
      </c>
      <c r="DI197" s="376">
        <v>86</v>
      </c>
      <c r="DJ197" s="376">
        <v>87</v>
      </c>
      <c r="DK197" s="376">
        <v>88</v>
      </c>
      <c r="DL197" s="376">
        <v>89</v>
      </c>
      <c r="DM197" s="376">
        <v>90</v>
      </c>
      <c r="DN197" s="376">
        <v>91</v>
      </c>
      <c r="DO197" s="376">
        <v>92</v>
      </c>
      <c r="DP197" s="376">
        <v>93</v>
      </c>
      <c r="DQ197" s="376">
        <v>94</v>
      </c>
      <c r="DR197" s="376">
        <v>95</v>
      </c>
      <c r="DS197" s="376">
        <v>96</v>
      </c>
      <c r="DT197" s="376">
        <v>97</v>
      </c>
      <c r="DU197" s="376">
        <v>98</v>
      </c>
      <c r="DV197" s="376">
        <v>99</v>
      </c>
      <c r="DW197" s="376">
        <v>100</v>
      </c>
    </row>
    <row r="198" spans="1:127" s="378" customFormat="1" ht="13.5" customHeight="1">
      <c r="A198" s="550"/>
      <c r="B198" s="554"/>
      <c r="C198" s="555"/>
      <c r="D198" s="555"/>
      <c r="E198" s="555"/>
      <c r="F198" s="555"/>
      <c r="G198" s="555"/>
      <c r="H198" s="555"/>
      <c r="I198" s="533"/>
      <c r="J198" s="534"/>
      <c r="K198" s="539"/>
      <c r="L198" s="540"/>
      <c r="M198" s="545"/>
      <c r="N198" s="546"/>
      <c r="O198" s="576"/>
      <c r="P198" s="577"/>
      <c r="Q198" s="577"/>
      <c r="R198" s="577"/>
      <c r="S198" s="577"/>
      <c r="T198" s="577"/>
      <c r="U198" s="577"/>
      <c r="V198" s="577"/>
      <c r="W198" s="577"/>
      <c r="X198" s="577"/>
      <c r="Y198" s="577"/>
      <c r="Z198" s="578"/>
    </row>
    <row r="199" spans="1:127" s="378" customFormat="1" ht="13.5" customHeight="1">
      <c r="A199" s="551"/>
      <c r="B199" s="556"/>
      <c r="C199" s="557"/>
      <c r="D199" s="557"/>
      <c r="E199" s="557"/>
      <c r="F199" s="557"/>
      <c r="G199" s="557"/>
      <c r="H199" s="557"/>
      <c r="I199" s="535"/>
      <c r="J199" s="536"/>
      <c r="K199" s="541"/>
      <c r="L199" s="542"/>
      <c r="M199" s="547"/>
      <c r="N199" s="548"/>
      <c r="O199" s="579"/>
      <c r="P199" s="580"/>
      <c r="Q199" s="580"/>
      <c r="R199" s="580"/>
      <c r="S199" s="580"/>
      <c r="T199" s="580"/>
      <c r="U199" s="580"/>
      <c r="V199" s="580"/>
      <c r="W199" s="580"/>
      <c r="X199" s="580"/>
      <c r="Y199" s="580"/>
      <c r="Z199" s="581"/>
    </row>
    <row r="200" spans="1:127" s="378" customFormat="1" ht="13.5" customHeight="1">
      <c r="A200" s="417" t="s">
        <v>37</v>
      </c>
      <c r="B200" s="663" t="s">
        <v>52</v>
      </c>
      <c r="C200" s="663"/>
      <c r="D200" s="663"/>
      <c r="E200" s="663"/>
      <c r="F200" s="663"/>
      <c r="G200" s="663"/>
      <c r="H200" s="664"/>
      <c r="I200" s="724" t="s">
        <v>117</v>
      </c>
      <c r="J200" s="725"/>
      <c r="K200" s="994"/>
      <c r="L200" s="690"/>
      <c r="M200" s="654">
        <f ca="1">IF(計算用!$D$45&lt;3,OFFSET('１号単価表②'!$H$33,計算用!$D$45,0),OFFSET('１号単価表②'!$R$33,計算用!$D$45-3,0))</f>
        <v>110</v>
      </c>
      <c r="N200" s="655"/>
      <c r="O200" s="569">
        <f>IF(OR(K200="その他",K200="１級地",K200="２級地",K200="３級地",K200="４級地"),ROUNDDOWN(M200,-1),0)</f>
        <v>0</v>
      </c>
      <c r="P200" s="634"/>
      <c r="Q200" s="634"/>
      <c r="R200" s="634"/>
      <c r="S200" s="634"/>
      <c r="T200" s="634"/>
      <c r="U200" s="634"/>
      <c r="V200" s="634"/>
      <c r="W200" s="634"/>
      <c r="X200" s="634"/>
      <c r="Y200" s="634"/>
      <c r="Z200" s="570"/>
      <c r="AA200" s="403" t="s">
        <v>124</v>
      </c>
      <c r="AB200" s="403" t="s">
        <v>125</v>
      </c>
      <c r="AC200" s="403" t="s">
        <v>126</v>
      </c>
      <c r="AD200" s="403" t="s">
        <v>127</v>
      </c>
      <c r="AE200" s="403" t="s">
        <v>80</v>
      </c>
    </row>
    <row r="201" spans="1:127" s="378" customFormat="1" ht="13.5" customHeight="1">
      <c r="A201" s="417" t="s">
        <v>116</v>
      </c>
      <c r="B201" s="663" t="s">
        <v>413</v>
      </c>
      <c r="C201" s="663"/>
      <c r="D201" s="663"/>
      <c r="E201" s="663"/>
      <c r="F201" s="663"/>
      <c r="G201" s="663"/>
      <c r="H201" s="664"/>
      <c r="I201" s="614" t="s">
        <v>414</v>
      </c>
      <c r="J201" s="611"/>
      <c r="K201" s="659"/>
      <c r="L201" s="660"/>
      <c r="M201" s="654">
        <f>IF(K185="B",'１号単価表②'!$D$39,'１号単価表②'!$D$37)</f>
        <v>153010</v>
      </c>
      <c r="N201" s="655"/>
      <c r="O201" s="569">
        <f>IF(AND(OR(K201="A",K201="B"),OR(U126=3,X126=3)),ROUNDDOWN(M201/L115,-1),0)</f>
        <v>0</v>
      </c>
      <c r="P201" s="634"/>
      <c r="Q201" s="634"/>
      <c r="R201" s="634"/>
      <c r="S201" s="634"/>
      <c r="T201" s="634"/>
      <c r="U201" s="634"/>
      <c r="V201" s="634"/>
      <c r="W201" s="634"/>
      <c r="X201" s="634"/>
      <c r="Y201" s="634"/>
      <c r="Z201" s="570"/>
      <c r="AA201" s="403" t="s">
        <v>114</v>
      </c>
      <c r="AB201" s="387" t="s">
        <v>120</v>
      </c>
      <c r="AC201" s="387" t="s">
        <v>121</v>
      </c>
    </row>
    <row r="202" spans="1:127" s="378" customFormat="1" ht="13.5" customHeight="1">
      <c r="A202" s="417"/>
      <c r="B202" s="663" t="s">
        <v>648</v>
      </c>
      <c r="C202" s="663"/>
      <c r="D202" s="663"/>
      <c r="E202" s="663"/>
      <c r="F202" s="663"/>
      <c r="G202" s="663"/>
      <c r="H202" s="664"/>
      <c r="I202" s="659"/>
      <c r="J202" s="660"/>
      <c r="K202" s="660"/>
      <c r="L202" s="661"/>
      <c r="M202" s="654">
        <f>'１号単価表②'!$C$42</f>
        <v>6180</v>
      </c>
      <c r="N202" s="655"/>
      <c r="O202" s="569">
        <f>IF(AND(I202="適用",OR(U126=3,X126=3)),M202,0)</f>
        <v>0</v>
      </c>
      <c r="P202" s="634"/>
      <c r="Q202" s="634"/>
      <c r="R202" s="634"/>
      <c r="S202" s="634"/>
      <c r="T202" s="634"/>
      <c r="U202" s="634"/>
      <c r="V202" s="634"/>
      <c r="W202" s="634"/>
      <c r="X202" s="634"/>
      <c r="Y202" s="634"/>
      <c r="Z202" s="570"/>
    </row>
    <row r="203" spans="1:127" s="378" customFormat="1" ht="13.5" customHeight="1">
      <c r="A203" s="417" t="s">
        <v>116</v>
      </c>
      <c r="B203" s="663" t="s">
        <v>649</v>
      </c>
      <c r="C203" s="663"/>
      <c r="D203" s="663"/>
      <c r="E203" s="663"/>
      <c r="F203" s="663"/>
      <c r="G203" s="663"/>
      <c r="H203" s="664"/>
      <c r="I203" s="659"/>
      <c r="J203" s="660"/>
      <c r="K203" s="660"/>
      <c r="L203" s="661"/>
      <c r="M203" s="654">
        <f>'１号単価表②'!$C$44</f>
        <v>77930</v>
      </c>
      <c r="N203" s="655"/>
      <c r="O203" s="569">
        <f>IF(AND(I203="適用",OR(U126=3,X126=3)),ROUNDDOWN(M203/L115,-1),0)</f>
        <v>0</v>
      </c>
      <c r="P203" s="634"/>
      <c r="Q203" s="634"/>
      <c r="R203" s="634"/>
      <c r="S203" s="634"/>
      <c r="T203" s="634"/>
      <c r="U203" s="634"/>
      <c r="V203" s="634"/>
      <c r="W203" s="634"/>
      <c r="X203" s="634"/>
      <c r="Y203" s="634"/>
      <c r="Z203" s="570"/>
    </row>
    <row r="204" spans="1:127" s="378" customFormat="1" ht="13.5" customHeight="1">
      <c r="A204" s="417" t="s">
        <v>116</v>
      </c>
      <c r="B204" s="663" t="s">
        <v>128</v>
      </c>
      <c r="C204" s="663"/>
      <c r="D204" s="663"/>
      <c r="E204" s="663"/>
      <c r="F204" s="663"/>
      <c r="G204" s="663"/>
      <c r="H204" s="664"/>
      <c r="I204" s="614" t="s">
        <v>129</v>
      </c>
      <c r="J204" s="611"/>
      <c r="K204" s="691"/>
      <c r="L204" s="692"/>
      <c r="M204" s="569">
        <f>'１号単価表②'!$C$53</f>
        <v>80000</v>
      </c>
      <c r="N204" s="570"/>
      <c r="O204" s="569">
        <f>IF(AND(K204&gt;0,OR(U126=3,X126=3)),ROUNDDOWN(MIN(K204,M204)/L115,-1),0)</f>
        <v>0</v>
      </c>
      <c r="P204" s="634"/>
      <c r="Q204" s="634"/>
      <c r="R204" s="634"/>
      <c r="S204" s="634"/>
      <c r="T204" s="634"/>
      <c r="U204" s="634"/>
      <c r="V204" s="634"/>
      <c r="W204" s="634"/>
      <c r="X204" s="634"/>
      <c r="Y204" s="634"/>
      <c r="Z204" s="570"/>
    </row>
    <row r="205" spans="1:127" s="378" customFormat="1" ht="13.5" customHeight="1">
      <c r="A205" s="417" t="s">
        <v>116</v>
      </c>
      <c r="B205" s="663" t="s">
        <v>130</v>
      </c>
      <c r="C205" s="663"/>
      <c r="D205" s="663"/>
      <c r="E205" s="663"/>
      <c r="F205" s="663"/>
      <c r="G205" s="663"/>
      <c r="H205" s="664"/>
      <c r="I205" s="659"/>
      <c r="J205" s="660"/>
      <c r="K205" s="660"/>
      <c r="L205" s="661"/>
      <c r="M205" s="654">
        <f>'１号単価表②'!$C$55</f>
        <v>48420</v>
      </c>
      <c r="N205" s="655"/>
      <c r="O205" s="569">
        <f>IF(AND(I205="適用",OR(U126=3,X126=3)),ROUNDDOWN(M205/L115,-1),0)</f>
        <v>0</v>
      </c>
      <c r="P205" s="634"/>
      <c r="Q205" s="634"/>
      <c r="R205" s="634"/>
      <c r="S205" s="634"/>
      <c r="T205" s="634"/>
      <c r="U205" s="634"/>
      <c r="V205" s="634"/>
      <c r="W205" s="634"/>
      <c r="X205" s="634"/>
      <c r="Y205" s="634"/>
      <c r="Z205" s="570"/>
    </row>
    <row r="206" spans="1:127" s="378" customFormat="1" ht="13.5" customHeight="1">
      <c r="A206" s="417" t="s">
        <v>116</v>
      </c>
      <c r="B206" s="985" t="s">
        <v>133</v>
      </c>
      <c r="C206" s="980"/>
      <c r="D206" s="980"/>
      <c r="E206" s="980"/>
      <c r="F206" s="980"/>
      <c r="G206" s="980"/>
      <c r="H206" s="981"/>
      <c r="I206" s="986"/>
      <c r="J206" s="987"/>
      <c r="K206" s="987"/>
      <c r="L206" s="988"/>
      <c r="M206" s="989">
        <f>'１号単価表②'!$C$59</f>
        <v>75000</v>
      </c>
      <c r="N206" s="990"/>
      <c r="O206" s="991">
        <f>IF(AND(I206="適用",OR(U126=3,X126=3)),ROUNDDOWN(M206/L115,-1),0)</f>
        <v>0</v>
      </c>
      <c r="P206" s="992"/>
      <c r="Q206" s="992"/>
      <c r="R206" s="992"/>
      <c r="S206" s="992"/>
      <c r="T206" s="992"/>
      <c r="U206" s="992"/>
      <c r="V206" s="992"/>
      <c r="W206" s="992"/>
      <c r="X206" s="992"/>
      <c r="Y206" s="992"/>
      <c r="Z206" s="993"/>
    </row>
    <row r="207" spans="1:127" s="378" customFormat="1" ht="13.5" customHeight="1">
      <c r="A207" s="617" t="s">
        <v>134</v>
      </c>
      <c r="B207" s="617"/>
      <c r="C207" s="617"/>
      <c r="D207" s="617"/>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row>
    <row r="208" spans="1:127" s="378" customFormat="1" ht="13.5" customHeight="1">
      <c r="A208" s="617" t="s">
        <v>135</v>
      </c>
      <c r="B208" s="617"/>
      <c r="C208" s="617"/>
      <c r="D208" s="617"/>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row>
    <row r="209" spans="1:26" s="378" customFormat="1" ht="13.5" customHeight="1">
      <c r="A209" s="422"/>
      <c r="B209" s="411"/>
      <c r="C209" s="411"/>
      <c r="D209" s="411"/>
      <c r="E209" s="411"/>
      <c r="F209" s="411"/>
      <c r="G209" s="411"/>
      <c r="H209" s="411"/>
      <c r="I209" s="423"/>
      <c r="J209" s="423"/>
      <c r="K209" s="423"/>
      <c r="L209" s="423"/>
      <c r="M209" s="424"/>
      <c r="N209" s="424"/>
      <c r="O209" s="423"/>
      <c r="P209" s="423"/>
      <c r="Q209" s="423"/>
      <c r="R209" s="423"/>
      <c r="S209" s="423"/>
      <c r="T209" s="423"/>
      <c r="U209" s="423"/>
      <c r="V209" s="423"/>
      <c r="W209" s="423"/>
      <c r="X209" s="423"/>
      <c r="Y209" s="423"/>
      <c r="Z209" s="423"/>
    </row>
    <row r="210" spans="1:26" s="378" customFormat="1" ht="13.5" customHeight="1">
      <c r="A210" s="972" t="s">
        <v>3</v>
      </c>
      <c r="B210" s="973"/>
      <c r="C210" s="973"/>
      <c r="D210" s="973"/>
      <c r="E210" s="973"/>
      <c r="F210" s="973"/>
      <c r="G210" s="973"/>
      <c r="H210" s="973"/>
      <c r="I210" s="973"/>
      <c r="J210" s="973"/>
      <c r="K210" s="973"/>
      <c r="L210" s="973"/>
      <c r="M210" s="973"/>
      <c r="N210" s="974"/>
      <c r="O210" s="614" t="s">
        <v>108</v>
      </c>
      <c r="P210" s="611"/>
      <c r="Q210" s="612"/>
      <c r="R210" s="614" t="s">
        <v>109</v>
      </c>
      <c r="S210" s="611"/>
      <c r="T210" s="612"/>
      <c r="U210" s="614" t="s">
        <v>404</v>
      </c>
      <c r="V210" s="611"/>
      <c r="W210" s="612"/>
      <c r="X210" s="614" t="s">
        <v>405</v>
      </c>
      <c r="Y210" s="611"/>
      <c r="Z210" s="612"/>
    </row>
    <row r="211" spans="1:26" s="378" customFormat="1" ht="13.5" customHeight="1">
      <c r="A211" s="971" t="s">
        <v>607</v>
      </c>
      <c r="B211" s="623"/>
      <c r="C211" s="623"/>
      <c r="D211" s="623"/>
      <c r="E211" s="623"/>
      <c r="F211" s="623"/>
      <c r="G211" s="623"/>
      <c r="H211" s="623"/>
      <c r="I211" s="623"/>
      <c r="J211" s="623"/>
      <c r="K211" s="623"/>
      <c r="L211" s="623"/>
      <c r="M211" s="623"/>
      <c r="N211" s="624"/>
      <c r="O211" s="925" t="e">
        <f ca="1">IF(I177="適用",SUM(O177,O183,O186,O189,O192,O195,O197,O200,O201,O202,O203,O204,O205,O206),SUM(O129,O133,O136,O139,O148,O151,O154,O157,O161,O166,O170,O173,O183,O186,O189,O192,O195,O197,O200,O201,O202,O203,O204,O205,O206))</f>
        <v>#N/A</v>
      </c>
      <c r="P211" s="926"/>
      <c r="Q211" s="927"/>
      <c r="R211" s="1088" t="e">
        <f ca="1">IF(I177="適用",SUM(O177,O183,O186,O189,O192,O195,O197,O200,O201,O202,O203,O204,O205,O206),SUM(O129,O133,O136,O139,O148,O151,O154,O157,O161,O170,,O183,O186,O189,O192,O195,O197,O200,O201,O202,O203,O204,O205,O206))</f>
        <v>#N/A</v>
      </c>
      <c r="S211" s="1089"/>
      <c r="T211" s="1090"/>
      <c r="U211" s="1088" t="e">
        <f ca="1">IF(I177="適用",SUM(U177,O183,O186,O189,O192,O195,O197,O200,O201,O202,O203,O204,O205,O206),SUM(U129,U133,O136,O139,U142,O148,O151,O154,O157,O161,O170,,O183,O186,O189,O192,O195,O197,O200,O201,O202,O203,O204,O205,O206))</f>
        <v>#N/A</v>
      </c>
      <c r="V211" s="1089"/>
      <c r="W211" s="1090"/>
      <c r="X211" s="1088" t="e">
        <f ca="1">IF(I177="適用",SUM(X177,,O183,O186,O189,O192,O195,O197,O200,O201,O202,O203,O204,O205,O206),SUM(U129,U133,O136,O139,U142,X145,O148,O151,O154,O157,O161,O170,,O183,O186,O189,O192,O195,O197,O200,O201,O202,O203,O204,O205,O206))</f>
        <v>#N/A</v>
      </c>
      <c r="Y211" s="1089"/>
      <c r="Z211" s="1090"/>
    </row>
    <row r="212" spans="1:26" s="378" customFormat="1" ht="13.5" customHeight="1">
      <c r="A212" s="425"/>
      <c r="B212" s="952" t="s">
        <v>10</v>
      </c>
      <c r="C212" s="708"/>
      <c r="D212" s="708"/>
      <c r="E212" s="708"/>
      <c r="F212" s="708"/>
      <c r="G212" s="708"/>
      <c r="H212" s="708"/>
      <c r="I212" s="708"/>
      <c r="J212" s="708"/>
      <c r="K212" s="708"/>
      <c r="L212" s="708"/>
      <c r="M212" s="708"/>
      <c r="N212" s="709"/>
      <c r="O212" s="953" t="e">
        <f ca="1">IF(I177="適用",SUM(O179,,O185,O188,O191,O194),SUM(O133,O138,O150,O153,O156,O160,O172,,O185,O188,O191,O194))</f>
        <v>#N/A</v>
      </c>
      <c r="P212" s="954"/>
      <c r="Q212" s="955"/>
      <c r="R212" s="953" t="e">
        <f ca="1">IF(I177="適用",SUM(O179,,O185,O188,O191,O194),SUM(O133,O138,O150,O153,O156,O160,O172,,O185,O188,O191,O194))</f>
        <v>#N/A</v>
      </c>
      <c r="S212" s="954"/>
      <c r="T212" s="955"/>
      <c r="U212" s="953" t="e">
        <f ca="1">IF(I177="適用",SUM(U179,,O185,O188,O191,O194),SUM(U133,O138,U144,O150,O153,O156,O160,O172,,O185,O188,O191,O194))</f>
        <v>#N/A</v>
      </c>
      <c r="V212" s="954"/>
      <c r="W212" s="955"/>
      <c r="X212" s="953" t="e">
        <f ca="1">IF(I177="適用",SUM(X179,,O185,O188,O191,O194),SUM(U133,O138,U144,X147,O150,O153,O156,O160,O172,,O185,O188,O191,O194))</f>
        <v>#N/A</v>
      </c>
      <c r="Y212" s="954"/>
      <c r="Z212" s="955"/>
    </row>
    <row r="213" spans="1:26" s="378" customFormat="1" ht="13.5" customHeight="1">
      <c r="A213" s="956" t="s">
        <v>136</v>
      </c>
      <c r="B213" s="600"/>
      <c r="C213" s="600"/>
      <c r="D213" s="600"/>
      <c r="E213" s="600"/>
      <c r="F213" s="600"/>
      <c r="G213" s="600"/>
      <c r="H213" s="600"/>
      <c r="I213" s="600"/>
      <c r="J213" s="600"/>
      <c r="K213" s="600"/>
      <c r="L213" s="600"/>
      <c r="M213" s="600"/>
      <c r="N213" s="601"/>
      <c r="O213" s="953" t="e">
        <f ca="1">O211+O162</f>
        <v>#N/A</v>
      </c>
      <c r="P213" s="954"/>
      <c r="Q213" s="955"/>
      <c r="R213" s="953" t="e">
        <f ca="1">R211+O162</f>
        <v>#N/A</v>
      </c>
      <c r="S213" s="954"/>
      <c r="T213" s="955"/>
      <c r="U213" s="953" t="e">
        <f ca="1">U211+O162</f>
        <v>#N/A</v>
      </c>
      <c r="V213" s="954"/>
      <c r="W213" s="955"/>
      <c r="X213" s="953" t="e">
        <f ca="1">X211+O162</f>
        <v>#N/A</v>
      </c>
      <c r="Y213" s="954"/>
      <c r="Z213" s="955"/>
    </row>
    <row r="214" spans="1:26" s="378" customFormat="1" ht="13.5" customHeight="1">
      <c r="A214" s="426"/>
      <c r="B214" s="921" t="s">
        <v>10</v>
      </c>
      <c r="C214" s="592"/>
      <c r="D214" s="592"/>
      <c r="E214" s="592"/>
      <c r="F214" s="592"/>
      <c r="G214" s="592"/>
      <c r="H214" s="592"/>
      <c r="I214" s="592"/>
      <c r="J214" s="592"/>
      <c r="K214" s="592"/>
      <c r="L214" s="592"/>
      <c r="M214" s="592"/>
      <c r="N214" s="593"/>
      <c r="O214" s="922" t="e">
        <f ca="1">O212</f>
        <v>#N/A</v>
      </c>
      <c r="P214" s="923"/>
      <c r="Q214" s="924"/>
      <c r="R214" s="922" t="e">
        <f t="shared" ref="R214" ca="1" si="1">R212</f>
        <v>#N/A</v>
      </c>
      <c r="S214" s="923"/>
      <c r="T214" s="924"/>
      <c r="U214" s="922" t="e">
        <f t="shared" ref="U214" ca="1" si="2">U212</f>
        <v>#N/A</v>
      </c>
      <c r="V214" s="923"/>
      <c r="W214" s="924"/>
      <c r="X214" s="922" t="e">
        <f t="shared" ref="X214" ca="1" si="3">X212</f>
        <v>#N/A</v>
      </c>
      <c r="Y214" s="923"/>
      <c r="Z214" s="924"/>
    </row>
    <row r="215" spans="1:26" s="378" customFormat="1" ht="13.5" customHeight="1">
      <c r="A215" s="967" t="s">
        <v>623</v>
      </c>
      <c r="B215" s="711"/>
      <c r="C215" s="711"/>
      <c r="D215" s="711"/>
      <c r="E215" s="711"/>
      <c r="F215" s="711"/>
      <c r="G215" s="711"/>
      <c r="H215" s="711"/>
      <c r="I215" s="711"/>
      <c r="J215" s="711"/>
      <c r="K215" s="711"/>
      <c r="L215" s="711"/>
      <c r="M215" s="711"/>
      <c r="N215" s="712"/>
      <c r="O215" s="968">
        <f>'在籍児童一覧（教育）'!O133</f>
        <v>0</v>
      </c>
      <c r="P215" s="969"/>
      <c r="Q215" s="970"/>
      <c r="R215" s="968">
        <f>'在籍児童一覧（教育）'!Q133</f>
        <v>0</v>
      </c>
      <c r="S215" s="969"/>
      <c r="T215" s="970"/>
      <c r="U215" s="968">
        <f>'在籍児童一覧（教育）'!S133</f>
        <v>0</v>
      </c>
      <c r="V215" s="969"/>
      <c r="W215" s="970"/>
      <c r="X215" s="968">
        <f>'在籍児童一覧（教育）'!U133</f>
        <v>0</v>
      </c>
      <c r="Y215" s="969"/>
      <c r="Z215" s="970"/>
    </row>
    <row r="216" spans="1:26" s="378" customFormat="1" ht="13.5" customHeight="1">
      <c r="A216" s="975" t="s">
        <v>624</v>
      </c>
      <c r="B216" s="592"/>
      <c r="C216" s="592"/>
      <c r="D216" s="592"/>
      <c r="E216" s="592"/>
      <c r="F216" s="592"/>
      <c r="G216" s="592"/>
      <c r="H216" s="592"/>
      <c r="I216" s="592"/>
      <c r="J216" s="592"/>
      <c r="K216" s="592"/>
      <c r="L216" s="592"/>
      <c r="M216" s="592"/>
      <c r="N216" s="593"/>
      <c r="O216" s="976">
        <f>'在籍児童一覧（教育）'!O135</f>
        <v>0</v>
      </c>
      <c r="P216" s="977"/>
      <c r="Q216" s="978"/>
      <c r="R216" s="976">
        <f>'在籍児童一覧（教育）'!Q135</f>
        <v>0</v>
      </c>
      <c r="S216" s="977"/>
      <c r="T216" s="978"/>
      <c r="U216" s="976">
        <f>'在籍児童一覧（教育）'!S135</f>
        <v>0</v>
      </c>
      <c r="V216" s="977"/>
      <c r="W216" s="978"/>
      <c r="X216" s="976">
        <f>'在籍児童一覧（教育）'!U135</f>
        <v>0</v>
      </c>
      <c r="Y216" s="977"/>
      <c r="Z216" s="978"/>
    </row>
    <row r="217" spans="1:26" s="378" customFormat="1" ht="13.5" customHeight="1">
      <c r="A217" s="979" t="s">
        <v>137</v>
      </c>
      <c r="B217" s="980"/>
      <c r="C217" s="980"/>
      <c r="D217" s="980"/>
      <c r="E217" s="980"/>
      <c r="F217" s="980"/>
      <c r="G217" s="980"/>
      <c r="H217" s="980"/>
      <c r="I217" s="980"/>
      <c r="J217" s="980"/>
      <c r="K217" s="980"/>
      <c r="L217" s="980"/>
      <c r="M217" s="980"/>
      <c r="N217" s="981"/>
      <c r="O217" s="982" t="e">
        <f ca="1">SUM(O211*O215,O213*O216)</f>
        <v>#N/A</v>
      </c>
      <c r="P217" s="983"/>
      <c r="Q217" s="984"/>
      <c r="R217" s="982" t="e">
        <f t="shared" ref="R217" ca="1" si="4">SUM(R211*R215,R213*R216)</f>
        <v>#N/A</v>
      </c>
      <c r="S217" s="983"/>
      <c r="T217" s="984"/>
      <c r="U217" s="982" t="e">
        <f t="shared" ref="U217" ca="1" si="5">SUM(U211*U215,U213*U216)</f>
        <v>#N/A</v>
      </c>
      <c r="V217" s="983"/>
      <c r="W217" s="984"/>
      <c r="X217" s="982" t="e">
        <f t="shared" ref="X217" ca="1" si="6">SUM(X211*X215,X213*X216)</f>
        <v>#N/A</v>
      </c>
      <c r="Y217" s="983"/>
      <c r="Z217" s="984"/>
    </row>
    <row r="218" spans="1:26" s="378" customFormat="1" ht="13.5" customHeight="1">
      <c r="A218" s="427"/>
      <c r="B218" s="963" t="s">
        <v>10</v>
      </c>
      <c r="C218" s="703"/>
      <c r="D218" s="703"/>
      <c r="E218" s="703"/>
      <c r="F218" s="703"/>
      <c r="G218" s="703"/>
      <c r="H218" s="703"/>
      <c r="I218" s="703"/>
      <c r="J218" s="703"/>
      <c r="K218" s="703"/>
      <c r="L218" s="703"/>
      <c r="M218" s="703"/>
      <c r="N218" s="704"/>
      <c r="O218" s="964" t="e">
        <f ca="1">SUM(O212*O215,O214*O216)</f>
        <v>#N/A</v>
      </c>
      <c r="P218" s="965"/>
      <c r="Q218" s="966"/>
      <c r="R218" s="964" t="e">
        <f t="shared" ref="R218" ca="1" si="7">SUM(R212*R215,R214*R216)</f>
        <v>#N/A</v>
      </c>
      <c r="S218" s="965"/>
      <c r="T218" s="966"/>
      <c r="U218" s="964" t="e">
        <f t="shared" ref="U218" ca="1" si="8">SUM(U212*U215,U214*U216)</f>
        <v>#N/A</v>
      </c>
      <c r="V218" s="965"/>
      <c r="W218" s="966"/>
      <c r="X218" s="964" t="e">
        <f t="shared" ref="X218" ca="1" si="9">SUM(X212*X215,X214*X216)</f>
        <v>#N/A</v>
      </c>
      <c r="Y218" s="965"/>
      <c r="Z218" s="966"/>
    </row>
    <row r="219" spans="1:26" s="378" customFormat="1" ht="13.5" hidden="1" customHeight="1">
      <c r="A219" s="428"/>
      <c r="B219" s="429"/>
      <c r="C219" s="429"/>
      <c r="D219" s="429"/>
      <c r="E219" s="429"/>
      <c r="F219" s="429"/>
      <c r="G219" s="429"/>
      <c r="H219" s="429"/>
      <c r="I219" s="430"/>
      <c r="J219" s="430"/>
      <c r="K219" s="430"/>
      <c r="L219" s="430"/>
      <c r="M219" s="430"/>
      <c r="N219" s="430"/>
      <c r="O219" s="430"/>
      <c r="P219" s="430"/>
      <c r="Q219" s="430"/>
      <c r="R219" s="430"/>
      <c r="S219" s="430"/>
      <c r="T219" s="430"/>
      <c r="U219" s="430"/>
      <c r="V219" s="430"/>
      <c r="W219" s="430"/>
      <c r="X219" s="430"/>
      <c r="Y219" s="430"/>
      <c r="Z219" s="430"/>
    </row>
    <row r="220" spans="1:26" s="378" customFormat="1" ht="13.5" hidden="1" customHeight="1">
      <c r="A220" s="971" t="s">
        <v>416</v>
      </c>
      <c r="B220" s="623"/>
      <c r="C220" s="623"/>
      <c r="D220" s="623"/>
      <c r="E220" s="623"/>
      <c r="F220" s="623"/>
      <c r="G220" s="623"/>
      <c r="H220" s="623"/>
      <c r="I220" s="623"/>
      <c r="J220" s="623"/>
      <c r="K220" s="623"/>
      <c r="L220" s="623"/>
      <c r="M220" s="623"/>
      <c r="N220" s="624"/>
      <c r="O220" s="957" t="e">
        <f ca="1">IF($I$177="適用",SUM(ROUNDDOWN(SUM($O$129,$O$133,$O$136,$O$139,$O$148,$O$151,$O$154,$O$157,$O$166,$O$170,$O$173)*$M$177,-1),$O$200),SUM($O$129,$O$133,$O$136,$O$139,$O$148,$O$151,$O$154,$O$157,$O$166,$O$170,$O$173,$O$200))</f>
        <v>#N/A</v>
      </c>
      <c r="P220" s="958"/>
      <c r="Q220" s="959"/>
      <c r="R220" s="957" t="e">
        <f ca="1">IF($I$177="適用",SUM(ROUNDDOWN(SUM($O$129,$O$133,$O$136,$O$139,$O$148,$O$151,$O$154,$O$157,$O$166,$O$170,$O$173)*$M$177,-1),$O$200),SUM($O$129,$O$133,$O$136,$O$139,$O$148,$O$151,$O$154,$O$157,$O$166,$O$170,$O$173,$O$200))</f>
        <v>#N/A</v>
      </c>
      <c r="S220" s="958"/>
      <c r="T220" s="959"/>
      <c r="U220" s="957" t="e">
        <f ca="1">IF($I$177="適用",SUM(ROUNDDOWN(SUM($U$129,$U$133,$O$136,$O$139,$U$142,$O$148,$O$151,$O$154,$O$157,$O$166,$O$170,$O$173)*$M$177,-1),$O$200),SUM($U$129,$U$133,$O$136,$O$139,$U$142,$O$148,$O$151,$O$154,$O$157,$O$166,$O$170,$O$173,$O$200))</f>
        <v>#N/A</v>
      </c>
      <c r="V220" s="958"/>
      <c r="W220" s="959"/>
      <c r="X220" s="957" t="e">
        <f ca="1">IF($I$177="適用",SUM(ROUNDDOWN(SUM($U$129,$U$133,$O$136,$O$139,$U$142,$X$145,$O$148,$O$151,$O$154,$O$157,$O$166,$O$170,$O$173)*$M$177,-1),$O$200),SUM($U$129,$U$133,$O$136,$O$139,$U$142,$X$145,$O$148,$O$151,$O$154,$O$157,$O$166,$O$170,$O$173,$O$200))</f>
        <v>#N/A</v>
      </c>
      <c r="Y220" s="958"/>
      <c r="Z220" s="959"/>
    </row>
    <row r="221" spans="1:26" s="378" customFormat="1" ht="13.5" hidden="1" customHeight="1">
      <c r="A221" s="425"/>
      <c r="B221" s="952" t="s">
        <v>10</v>
      </c>
      <c r="C221" s="708"/>
      <c r="D221" s="708"/>
      <c r="E221" s="708"/>
      <c r="F221" s="708"/>
      <c r="G221" s="708"/>
      <c r="H221" s="708"/>
      <c r="I221" s="708"/>
      <c r="J221" s="708"/>
      <c r="K221" s="708"/>
      <c r="L221" s="708"/>
      <c r="M221" s="708"/>
      <c r="N221" s="709"/>
      <c r="O221" s="953" t="e">
        <f ca="1">IF($I$177="適用",ROUNDDOWN(SUM($O$133,$O$138,$O$141,$O$150,$O$153,$O$156,$O$160,$O$169,$O$172,$O$176)*$M$177,-1),SUM($O$133,$O$138,$O$141,$O$150,$O$153,$O$156,$O$160,$O$169,$O$172,$O$176))</f>
        <v>#N/A</v>
      </c>
      <c r="P221" s="954"/>
      <c r="Q221" s="955"/>
      <c r="R221" s="953" t="e">
        <f ca="1">IF($I$177="適用",ROUNDDOWN(SUM($O$133,$O$138,$O$141,$O$150,$O$153,$O$156,$O$160,$O$169,$O$172,$O$176)*$M$177,-1),SUM($O$133,$O$138,$O$141,$O$150,$O$153,$O$156,$O$160,$O$169,$O$172,$O$176))</f>
        <v>#N/A</v>
      </c>
      <c r="S221" s="954"/>
      <c r="T221" s="955"/>
      <c r="U221" s="953" t="e">
        <f ca="1">IF($I$177="適用",ROUNDDOWN(SUM($U$133,$O$138,$O$141,$U$144,$O$150,$O$153,$O$156,$O$160,$O$169,$O$172,$O$176)*$M$177,-1),SUM($U$133,$O$138,$O$141,$U$144,$O$150,$O$153,$O$156,$O$160,$O$169,$O$172,$O$176))</f>
        <v>#N/A</v>
      </c>
      <c r="V221" s="954"/>
      <c r="W221" s="955"/>
      <c r="X221" s="953" t="e">
        <f ca="1">IF($I$177="適用",ROUNDDOWN(SUM($U$133,$O$138,$O$141,$U$144,$X$147,$O$150,$O$153,$O$156,$O$160,$O$169,$O$172,$O$176)*$M$177,-1),SUM($U$133,$O$138,$O$141,$U$144,$X$147,$O$150,$O$153,$O$156,$O$160,$O$169,$O$172,$O$176))</f>
        <v>#N/A</v>
      </c>
      <c r="Y221" s="954"/>
      <c r="Z221" s="955"/>
    </row>
    <row r="222" spans="1:26" s="378" customFormat="1" ht="13.5" hidden="1" customHeight="1">
      <c r="A222" s="956" t="s">
        <v>417</v>
      </c>
      <c r="B222" s="600"/>
      <c r="C222" s="600"/>
      <c r="D222" s="600"/>
      <c r="E222" s="600"/>
      <c r="F222" s="600"/>
      <c r="G222" s="600"/>
      <c r="H222" s="600"/>
      <c r="I222" s="600"/>
      <c r="J222" s="600"/>
      <c r="K222" s="600"/>
      <c r="L222" s="600"/>
      <c r="M222" s="600"/>
      <c r="N222" s="601"/>
      <c r="O222" s="957" t="e">
        <f ca="1">O220+O162</f>
        <v>#N/A</v>
      </c>
      <c r="P222" s="958"/>
      <c r="Q222" s="959"/>
      <c r="R222" s="957" t="e">
        <f ca="1">R220+O162</f>
        <v>#N/A</v>
      </c>
      <c r="S222" s="958"/>
      <c r="T222" s="959"/>
      <c r="U222" s="957" t="e">
        <f ca="1">U220+O162</f>
        <v>#N/A</v>
      </c>
      <c r="V222" s="958"/>
      <c r="W222" s="959"/>
      <c r="X222" s="957" t="e">
        <f ca="1">X220+155</f>
        <v>#N/A</v>
      </c>
      <c r="Y222" s="958"/>
      <c r="Z222" s="959"/>
    </row>
    <row r="223" spans="1:26" s="378" customFormat="1" ht="13.5" hidden="1" customHeight="1">
      <c r="A223" s="425"/>
      <c r="B223" s="1024" t="s">
        <v>10</v>
      </c>
      <c r="C223" s="600"/>
      <c r="D223" s="600"/>
      <c r="E223" s="600"/>
      <c r="F223" s="600"/>
      <c r="G223" s="600"/>
      <c r="H223" s="600"/>
      <c r="I223" s="600"/>
      <c r="J223" s="600"/>
      <c r="K223" s="600"/>
      <c r="L223" s="600"/>
      <c r="M223" s="600"/>
      <c r="N223" s="601"/>
      <c r="O223" s="960" t="e">
        <f ca="1">O221</f>
        <v>#N/A</v>
      </c>
      <c r="P223" s="961"/>
      <c r="Q223" s="962"/>
      <c r="R223" s="960" t="e">
        <f ca="1">R221</f>
        <v>#N/A</v>
      </c>
      <c r="S223" s="961"/>
      <c r="T223" s="962"/>
      <c r="U223" s="960" t="e">
        <f ca="1">U221</f>
        <v>#N/A</v>
      </c>
      <c r="V223" s="961"/>
      <c r="W223" s="962"/>
      <c r="X223" s="960" t="e">
        <f ca="1">X221</f>
        <v>#N/A</v>
      </c>
      <c r="Y223" s="961"/>
      <c r="Z223" s="962"/>
    </row>
    <row r="224" spans="1:26" s="378" customFormat="1" ht="13.5" hidden="1" customHeight="1">
      <c r="A224" s="911" t="s">
        <v>418</v>
      </c>
      <c r="B224" s="943"/>
      <c r="C224" s="943"/>
      <c r="D224" s="943"/>
      <c r="E224" s="943"/>
      <c r="F224" s="943"/>
      <c r="G224" s="943"/>
      <c r="H224" s="943"/>
      <c r="I224" s="943"/>
      <c r="J224" s="943"/>
      <c r="K224" s="943"/>
      <c r="L224" s="943"/>
      <c r="M224" s="943"/>
      <c r="N224" s="944"/>
      <c r="O224" s="925">
        <f>IF(I177="適用",SUM(ROUNDDOWN(O161*M177,-1),,$O$183,$O$186,$O$189,$O$192,$O$195,$O$197,$O$201,$O$202,$O$203,$O$204,$O$205,$O$206),SUM($O$161,,$O$183,$O$186,$O$189,$O$192,$O$195,$O$197,$O$201,$O$202,$O$203,$O$204,$O$205,$O$206))</f>
        <v>0</v>
      </c>
      <c r="P224" s="926"/>
      <c r="Q224" s="927"/>
      <c r="R224" s="925">
        <f>O224</f>
        <v>0</v>
      </c>
      <c r="S224" s="926"/>
      <c r="T224" s="927"/>
      <c r="U224" s="925">
        <f>O224</f>
        <v>0</v>
      </c>
      <c r="V224" s="926"/>
      <c r="W224" s="927"/>
      <c r="X224" s="925">
        <f>O224</f>
        <v>0</v>
      </c>
      <c r="Y224" s="926"/>
      <c r="Z224" s="927"/>
    </row>
    <row r="225" spans="1:47" s="378" customFormat="1" ht="13.5" hidden="1" customHeight="1">
      <c r="A225" s="426"/>
      <c r="B225" s="921" t="s">
        <v>10</v>
      </c>
      <c r="C225" s="592"/>
      <c r="D225" s="592"/>
      <c r="E225" s="592"/>
      <c r="F225" s="592"/>
      <c r="G225" s="592"/>
      <c r="H225" s="592"/>
      <c r="I225" s="592"/>
      <c r="J225" s="592"/>
      <c r="K225" s="592"/>
      <c r="L225" s="592"/>
      <c r="M225" s="592"/>
      <c r="N225" s="593"/>
      <c r="O225" s="922">
        <f>SUM(,$O$185,$O$188,$O$191,$O$194)</f>
        <v>0</v>
      </c>
      <c r="P225" s="923"/>
      <c r="Q225" s="924"/>
      <c r="R225" s="922">
        <f>SUM(,$O$185,$O$188,$O$191,$O$194)</f>
        <v>0</v>
      </c>
      <c r="S225" s="923"/>
      <c r="T225" s="924"/>
      <c r="U225" s="922">
        <f>SUM(,$O$185,$O$188,$O$191,$O$194)</f>
        <v>0</v>
      </c>
      <c r="V225" s="923"/>
      <c r="W225" s="924"/>
      <c r="X225" s="922">
        <f>SUM(,$O$185,$O$188,$O$191,$O$194)</f>
        <v>0</v>
      </c>
      <c r="Y225" s="923"/>
      <c r="Z225" s="924"/>
    </row>
    <row r="226" spans="1:47" s="382" customFormat="1" ht="13.5" hidden="1" customHeight="1">
      <c r="A226" s="619" t="s">
        <v>419</v>
      </c>
      <c r="B226" s="620"/>
      <c r="C226" s="620"/>
      <c r="D226" s="620"/>
      <c r="E226" s="620"/>
      <c r="F226" s="620"/>
      <c r="G226" s="620"/>
      <c r="H226" s="620"/>
      <c r="I226" s="620"/>
      <c r="J226" s="620"/>
      <c r="K226" s="621"/>
      <c r="L226" s="928" t="s">
        <v>138</v>
      </c>
      <c r="M226" s="929"/>
      <c r="N226" s="930"/>
      <c r="O226" s="940">
        <f>'在籍児童一覧（教育）'!O141</f>
        <v>0</v>
      </c>
      <c r="P226" s="938"/>
      <c r="Q226" s="941"/>
      <c r="R226" s="937">
        <f>'在籍児童一覧（教育）'!Q141</f>
        <v>0</v>
      </c>
      <c r="S226" s="938"/>
      <c r="T226" s="939"/>
      <c r="U226" s="940">
        <f>'在籍児童一覧（教育）'!S141</f>
        <v>0</v>
      </c>
      <c r="V226" s="938"/>
      <c r="W226" s="941"/>
      <c r="X226" s="937">
        <f>'在籍児童一覧（教育）'!U141</f>
        <v>0</v>
      </c>
      <c r="Y226" s="938"/>
      <c r="Z226" s="941"/>
      <c r="AA226" s="387">
        <v>0</v>
      </c>
      <c r="AB226" s="387">
        <v>1</v>
      </c>
      <c r="AC226" s="387">
        <v>2</v>
      </c>
      <c r="AD226" s="387">
        <v>3</v>
      </c>
      <c r="AE226" s="387">
        <v>4</v>
      </c>
      <c r="AF226" s="387">
        <v>5</v>
      </c>
      <c r="AG226" s="387">
        <v>6</v>
      </c>
      <c r="AH226" s="387">
        <v>7</v>
      </c>
      <c r="AI226" s="387">
        <v>8</v>
      </c>
      <c r="AJ226" s="387">
        <v>9</v>
      </c>
      <c r="AK226" s="387">
        <v>10</v>
      </c>
      <c r="AL226" s="387">
        <v>11</v>
      </c>
      <c r="AM226" s="387">
        <v>12</v>
      </c>
      <c r="AN226" s="387">
        <v>13</v>
      </c>
      <c r="AO226" s="387">
        <v>14</v>
      </c>
      <c r="AP226" s="387">
        <v>15</v>
      </c>
      <c r="AQ226" s="387">
        <v>16</v>
      </c>
      <c r="AR226" s="387">
        <v>17</v>
      </c>
      <c r="AS226" s="387">
        <v>18</v>
      </c>
      <c r="AT226" s="387">
        <v>19</v>
      </c>
      <c r="AU226" s="387">
        <v>20</v>
      </c>
    </row>
    <row r="227" spans="1:47" s="382" customFormat="1" ht="13.5" hidden="1" customHeight="1">
      <c r="A227" s="942" t="s">
        <v>420</v>
      </c>
      <c r="B227" s="943"/>
      <c r="C227" s="943"/>
      <c r="D227" s="943"/>
      <c r="E227" s="943"/>
      <c r="F227" s="943"/>
      <c r="G227" s="943"/>
      <c r="H227" s="943"/>
      <c r="I227" s="943"/>
      <c r="J227" s="943"/>
      <c r="K227" s="944"/>
      <c r="L227" s="931"/>
      <c r="M227" s="932"/>
      <c r="N227" s="933"/>
      <c r="O227" s="945">
        <f>'在籍児童一覧（教育）'!O142</f>
        <v>0</v>
      </c>
      <c r="P227" s="946"/>
      <c r="Q227" s="947"/>
      <c r="R227" s="945">
        <f>'在籍児童一覧（教育）'!Q142</f>
        <v>0</v>
      </c>
      <c r="S227" s="946"/>
      <c r="T227" s="947"/>
      <c r="U227" s="945">
        <f>'在籍児童一覧（教育）'!S142</f>
        <v>0</v>
      </c>
      <c r="V227" s="946"/>
      <c r="W227" s="947"/>
      <c r="X227" s="945">
        <f>'在籍児童一覧（教育）'!U142</f>
        <v>0</v>
      </c>
      <c r="Y227" s="946"/>
      <c r="Z227" s="947"/>
    </row>
    <row r="228" spans="1:47" s="378" customFormat="1" ht="13.5" hidden="1" customHeight="1">
      <c r="A228" s="911" t="s">
        <v>421</v>
      </c>
      <c r="B228" s="617"/>
      <c r="C228" s="617"/>
      <c r="D228" s="617"/>
      <c r="E228" s="617"/>
      <c r="F228" s="617"/>
      <c r="G228" s="617"/>
      <c r="H228" s="617"/>
      <c r="I228" s="617"/>
      <c r="J228" s="617"/>
      <c r="K228" s="617"/>
      <c r="L228" s="617"/>
      <c r="M228" s="617"/>
      <c r="N228" s="618"/>
      <c r="O228" s="925" t="e">
        <f ca="1">SUM(ROUNDDOWN(O220*O226/20,-1),ROUNDDOWN(O220*O227/20,-1),O224)</f>
        <v>#N/A</v>
      </c>
      <c r="P228" s="926"/>
      <c r="Q228" s="927"/>
      <c r="R228" s="925" t="e">
        <f t="shared" ref="R228" ca="1" si="10">SUM(ROUNDDOWN(R220*R226/20,-1),ROUNDDOWN(R220*R227/20,-1))</f>
        <v>#N/A</v>
      </c>
      <c r="S228" s="926"/>
      <c r="T228" s="927"/>
      <c r="U228" s="925" t="e">
        <f t="shared" ref="U228" ca="1" si="11">SUM(ROUNDDOWN(U220*U226/20,-1),ROUNDDOWN(U220*U227/20,-1))</f>
        <v>#N/A</v>
      </c>
      <c r="V228" s="926"/>
      <c r="W228" s="927"/>
      <c r="X228" s="925" t="e">
        <f t="shared" ref="X228" ca="1" si="12">SUM(ROUNDDOWN(X220*X226/20,-1),ROUNDDOWN(X220*X227/20,-1))</f>
        <v>#N/A</v>
      </c>
      <c r="Y228" s="926"/>
      <c r="Z228" s="927"/>
    </row>
    <row r="229" spans="1:47" s="378" customFormat="1" ht="13.5" hidden="1" customHeight="1">
      <c r="A229" s="426"/>
      <c r="B229" s="921" t="s">
        <v>10</v>
      </c>
      <c r="C229" s="592"/>
      <c r="D229" s="592"/>
      <c r="E229" s="592"/>
      <c r="F229" s="592"/>
      <c r="G229" s="592"/>
      <c r="H229" s="592"/>
      <c r="I229" s="592"/>
      <c r="J229" s="592"/>
      <c r="K229" s="592"/>
      <c r="L229" s="592"/>
      <c r="M229" s="592"/>
      <c r="N229" s="593"/>
      <c r="O229" s="922" t="e">
        <f ca="1">SUM(ROUNDDOWN(O221*O226/20,-1),ROUNDDOWN(O221*O227/20,-1))</f>
        <v>#N/A</v>
      </c>
      <c r="P229" s="923"/>
      <c r="Q229" s="924"/>
      <c r="R229" s="922" t="e">
        <f t="shared" ref="R229" ca="1" si="13">SUM(ROUNDDOWN(R221*R226/20,-1),ROUNDDOWN(R221*R227/20,-1))</f>
        <v>#N/A</v>
      </c>
      <c r="S229" s="923"/>
      <c r="T229" s="924"/>
      <c r="U229" s="922" t="e">
        <f t="shared" ref="U229" ca="1" si="14">SUM(ROUNDDOWN(U221*U226/20,-1),ROUNDDOWN(U221*U227/20,-1))</f>
        <v>#N/A</v>
      </c>
      <c r="V229" s="923"/>
      <c r="W229" s="924"/>
      <c r="X229" s="922" t="e">
        <f t="shared" ref="X229" ca="1" si="15">SUM(ROUNDDOWN(X221*X226/20,-1),ROUNDDOWN(X221*X227/20,-1))</f>
        <v>#N/A</v>
      </c>
      <c r="Y229" s="923"/>
      <c r="Z229" s="924"/>
    </row>
    <row r="230" spans="1:47" s="382" customFormat="1" ht="13.5" hidden="1" customHeight="1">
      <c r="A230" s="619" t="s">
        <v>419</v>
      </c>
      <c r="B230" s="620"/>
      <c r="C230" s="620"/>
      <c r="D230" s="620"/>
      <c r="E230" s="620"/>
      <c r="F230" s="620"/>
      <c r="G230" s="620"/>
      <c r="H230" s="620"/>
      <c r="I230" s="620"/>
      <c r="J230" s="620"/>
      <c r="K230" s="621"/>
      <c r="L230" s="928" t="s">
        <v>138</v>
      </c>
      <c r="M230" s="929"/>
      <c r="N230" s="930"/>
      <c r="O230" s="934">
        <f>'在籍児童一覧（教育）'!O143</f>
        <v>0</v>
      </c>
      <c r="P230" s="935"/>
      <c r="Q230" s="936"/>
      <c r="R230" s="937">
        <f>'在籍児童一覧（教育）'!Q143</f>
        <v>0</v>
      </c>
      <c r="S230" s="938"/>
      <c r="T230" s="939"/>
      <c r="U230" s="940">
        <f>'在籍児童一覧（教育）'!S143</f>
        <v>0</v>
      </c>
      <c r="V230" s="938"/>
      <c r="W230" s="941"/>
      <c r="X230" s="937">
        <f>'在籍児童一覧（教育）'!U143</f>
        <v>0</v>
      </c>
      <c r="Y230" s="938"/>
      <c r="Z230" s="941"/>
    </row>
    <row r="231" spans="1:47" s="382" customFormat="1" ht="13.5" hidden="1" customHeight="1">
      <c r="A231" s="942" t="s">
        <v>636</v>
      </c>
      <c r="B231" s="943"/>
      <c r="C231" s="943"/>
      <c r="D231" s="943"/>
      <c r="E231" s="943"/>
      <c r="F231" s="943"/>
      <c r="G231" s="943"/>
      <c r="H231" s="943"/>
      <c r="I231" s="943"/>
      <c r="J231" s="943"/>
      <c r="K231" s="944"/>
      <c r="L231" s="931"/>
      <c r="M231" s="932"/>
      <c r="N231" s="933"/>
      <c r="O231" s="945">
        <f>'在籍児童一覧（教育）'!O144</f>
        <v>0</v>
      </c>
      <c r="P231" s="946"/>
      <c r="Q231" s="947"/>
      <c r="R231" s="945">
        <f>'在籍児童一覧（教育）'!Q144</f>
        <v>0</v>
      </c>
      <c r="S231" s="946"/>
      <c r="T231" s="947"/>
      <c r="U231" s="945">
        <f>'在籍児童一覧（教育）'!S144</f>
        <v>0</v>
      </c>
      <c r="V231" s="946"/>
      <c r="W231" s="947"/>
      <c r="X231" s="945">
        <f>'在籍児童一覧（教育）'!U144</f>
        <v>0</v>
      </c>
      <c r="Y231" s="946"/>
      <c r="Z231" s="947"/>
    </row>
    <row r="232" spans="1:47" s="378" customFormat="1" ht="13.5" hidden="1" customHeight="1">
      <c r="A232" s="911" t="s">
        <v>422</v>
      </c>
      <c r="B232" s="617"/>
      <c r="C232" s="617"/>
      <c r="D232" s="617"/>
      <c r="E232" s="617"/>
      <c r="F232" s="617"/>
      <c r="G232" s="617"/>
      <c r="H232" s="617"/>
      <c r="I232" s="617"/>
      <c r="J232" s="617"/>
      <c r="K232" s="617"/>
      <c r="L232" s="617"/>
      <c r="M232" s="617"/>
      <c r="N232" s="618"/>
      <c r="O232" s="925" t="e">
        <f ca="1">SUM(ROUNDDOWN(O222*O230/20,-1),ROUNDDOWN(O222*O231/20,-1))</f>
        <v>#N/A</v>
      </c>
      <c r="P232" s="926"/>
      <c r="Q232" s="927"/>
      <c r="R232" s="925" t="e">
        <f t="shared" ref="R232" ca="1" si="16">SUM(ROUNDDOWN(R222*R230/20,-1),ROUNDDOWN(R222*R231/20,-1))</f>
        <v>#N/A</v>
      </c>
      <c r="S232" s="926"/>
      <c r="T232" s="927"/>
      <c r="U232" s="925" t="e">
        <f t="shared" ref="U232" ca="1" si="17">SUM(ROUNDDOWN(U222*U230/20,-1),ROUNDDOWN(U222*U231/20,-1))</f>
        <v>#N/A</v>
      </c>
      <c r="V232" s="926"/>
      <c r="W232" s="927"/>
      <c r="X232" s="925" t="e">
        <f t="shared" ref="X232" ca="1" si="18">SUM(ROUNDDOWN(X222*X230/20,-1),ROUNDDOWN(X222*X231/20,-1))</f>
        <v>#N/A</v>
      </c>
      <c r="Y232" s="926"/>
      <c r="Z232" s="927"/>
    </row>
    <row r="233" spans="1:47" s="378" customFormat="1" ht="13.5" hidden="1" customHeight="1">
      <c r="A233" s="426"/>
      <c r="B233" s="921" t="s">
        <v>10</v>
      </c>
      <c r="C233" s="592"/>
      <c r="D233" s="592"/>
      <c r="E233" s="592"/>
      <c r="F233" s="592"/>
      <c r="G233" s="592"/>
      <c r="H233" s="592"/>
      <c r="I233" s="592"/>
      <c r="J233" s="592"/>
      <c r="K233" s="592"/>
      <c r="L233" s="592"/>
      <c r="M233" s="592"/>
      <c r="N233" s="593"/>
      <c r="O233" s="922" t="e">
        <f ca="1">SUM(ROUNDDOWN(O223*O230/20,-1),ROUNDDOWN(O223*O231/20,-1))</f>
        <v>#N/A</v>
      </c>
      <c r="P233" s="923"/>
      <c r="Q233" s="924"/>
      <c r="R233" s="922" t="e">
        <f t="shared" ref="R233" ca="1" si="19">SUM(ROUNDDOWN(R223*R230/20,-1),ROUNDDOWN(R223*R231/20,-1))</f>
        <v>#N/A</v>
      </c>
      <c r="S233" s="923"/>
      <c r="T233" s="924"/>
      <c r="U233" s="922" t="e">
        <f t="shared" ref="U233" ca="1" si="20">SUM(ROUNDDOWN(U223*U230/20,-1),ROUNDDOWN(U223*U231/20,-1))</f>
        <v>#N/A</v>
      </c>
      <c r="V233" s="923"/>
      <c r="W233" s="924"/>
      <c r="X233" s="922" t="e">
        <f t="shared" ref="X233" ca="1" si="21">SUM(ROUNDDOWN(X223*X230/20,-1),ROUNDDOWN(X223*X231/20,-1))</f>
        <v>#N/A</v>
      </c>
      <c r="Y233" s="923"/>
      <c r="Z233" s="924"/>
    </row>
    <row r="234" spans="1:47" s="382" customFormat="1" ht="13.5" hidden="1" customHeight="1">
      <c r="A234" s="619" t="s">
        <v>419</v>
      </c>
      <c r="B234" s="620"/>
      <c r="C234" s="620"/>
      <c r="D234" s="620"/>
      <c r="E234" s="620"/>
      <c r="F234" s="620"/>
      <c r="G234" s="620"/>
      <c r="H234" s="620"/>
      <c r="I234" s="620"/>
      <c r="J234" s="620"/>
      <c r="K234" s="621"/>
      <c r="L234" s="928" t="s">
        <v>138</v>
      </c>
      <c r="M234" s="929"/>
      <c r="N234" s="930"/>
      <c r="O234" s="934">
        <f>'在籍児童一覧（教育）'!O145</f>
        <v>0</v>
      </c>
      <c r="P234" s="935"/>
      <c r="Q234" s="936"/>
      <c r="R234" s="937">
        <f>'在籍児童一覧（教育）'!Q145</f>
        <v>0</v>
      </c>
      <c r="S234" s="938"/>
      <c r="T234" s="939"/>
      <c r="U234" s="940">
        <f>'在籍児童一覧（教育）'!S145</f>
        <v>0</v>
      </c>
      <c r="V234" s="938"/>
      <c r="W234" s="941"/>
      <c r="X234" s="937">
        <f>'在籍児童一覧（教育）'!U145</f>
        <v>0</v>
      </c>
      <c r="Y234" s="938"/>
      <c r="Z234" s="941"/>
    </row>
    <row r="235" spans="1:47" s="382" customFormat="1" ht="13.5" hidden="1" customHeight="1">
      <c r="A235" s="942" t="s">
        <v>637</v>
      </c>
      <c r="B235" s="943"/>
      <c r="C235" s="943"/>
      <c r="D235" s="943"/>
      <c r="E235" s="943"/>
      <c r="F235" s="943"/>
      <c r="G235" s="943"/>
      <c r="H235" s="943"/>
      <c r="I235" s="943"/>
      <c r="J235" s="943"/>
      <c r="K235" s="944"/>
      <c r="L235" s="931"/>
      <c r="M235" s="932"/>
      <c r="N235" s="933"/>
      <c r="O235" s="945">
        <f>'在籍児童一覧（教育）'!O146</f>
        <v>0</v>
      </c>
      <c r="P235" s="946"/>
      <c r="Q235" s="947"/>
      <c r="R235" s="945">
        <f>'在籍児童一覧（教育）'!Q146</f>
        <v>0</v>
      </c>
      <c r="S235" s="946"/>
      <c r="T235" s="947"/>
      <c r="U235" s="945">
        <f>'在籍児童一覧（教育）'!S146</f>
        <v>0</v>
      </c>
      <c r="V235" s="946"/>
      <c r="W235" s="947"/>
      <c r="X235" s="945">
        <f>'在籍児童一覧（教育）'!U146</f>
        <v>0</v>
      </c>
      <c r="Y235" s="946"/>
      <c r="Z235" s="947"/>
    </row>
    <row r="236" spans="1:47" s="378" customFormat="1" ht="13.5" hidden="1" customHeight="1">
      <c r="A236" s="911" t="s">
        <v>638</v>
      </c>
      <c r="B236" s="617"/>
      <c r="C236" s="617"/>
      <c r="D236" s="617"/>
      <c r="E236" s="617"/>
      <c r="F236" s="617"/>
      <c r="G236" s="617"/>
      <c r="H236" s="617"/>
      <c r="I236" s="617"/>
      <c r="J236" s="617"/>
      <c r="K236" s="617"/>
      <c r="L236" s="617"/>
      <c r="M236" s="617"/>
      <c r="N236" s="618"/>
      <c r="O236" s="925" t="e">
        <f ca="1">SUM(ROUNDDOWN(O220*O234/20,-1),ROUNDDOWN(O220*O235/20,-1),IF(O234&lt;1,0,O224),IF(O235&lt;1,0,O224))</f>
        <v>#N/A</v>
      </c>
      <c r="P236" s="926"/>
      <c r="Q236" s="927"/>
      <c r="R236" s="925" t="e">
        <f ca="1">SUM(ROUNDDOWN(R220*R234/20,-1),ROUNDDOWN(R220*R235/20,-1),IF(R234&lt;1,0,R224),IF(R235&lt;1,0,R224))</f>
        <v>#N/A</v>
      </c>
      <c r="S236" s="926"/>
      <c r="T236" s="927"/>
      <c r="U236" s="925" t="e">
        <f ca="1">SUM(ROUNDDOWN(U220*U234/20,-1),ROUNDDOWN(U220*U235/20,-1),IF(U234&lt;1,0,U224),IF(U235&lt;1,0,U224))</f>
        <v>#N/A</v>
      </c>
      <c r="V236" s="926"/>
      <c r="W236" s="927"/>
      <c r="X236" s="925" t="e">
        <f ca="1">SUM(ROUNDDOWN(X220*X234/20,-1),ROUNDDOWN(X220*X235/20,-1),IF(X234&lt;1,0,X224),IF(X235&lt;1,0,X224))</f>
        <v>#N/A</v>
      </c>
      <c r="Y236" s="926"/>
      <c r="Z236" s="927"/>
    </row>
    <row r="237" spans="1:47" s="378" customFormat="1" ht="13.5" hidden="1" customHeight="1">
      <c r="A237" s="426"/>
      <c r="B237" s="921" t="s">
        <v>10</v>
      </c>
      <c r="C237" s="592"/>
      <c r="D237" s="592"/>
      <c r="E237" s="592"/>
      <c r="F237" s="592"/>
      <c r="G237" s="592"/>
      <c r="H237" s="592"/>
      <c r="I237" s="592"/>
      <c r="J237" s="592"/>
      <c r="K237" s="592"/>
      <c r="L237" s="592"/>
      <c r="M237" s="592"/>
      <c r="N237" s="593"/>
      <c r="O237" s="922" t="e">
        <f ca="1">SUM(ROUNDDOWN(O221*O234/20,-1),ROUNDDOWN(O221*O235/20,-1),IF(O234&lt;1,0,O225),IF(O235&lt;1,0,O225))</f>
        <v>#N/A</v>
      </c>
      <c r="P237" s="923"/>
      <c r="Q237" s="924"/>
      <c r="R237" s="922" t="e">
        <f ca="1">SUM(ROUNDDOWN(R221*R234/20,-1),ROUNDDOWN(R221*R235/20,-1),IF(R234&lt;1,0,R225),IF(R235&lt;1,0,R225))</f>
        <v>#N/A</v>
      </c>
      <c r="S237" s="923"/>
      <c r="T237" s="924"/>
      <c r="U237" s="922" t="e">
        <f ca="1">SUM(ROUNDDOWN(U221*U234/20,-1),ROUNDDOWN(U221*U235/20,-1),IF(U234&lt;1,0,U225),IF(U235&lt;1,0,U225))</f>
        <v>#N/A</v>
      </c>
      <c r="V237" s="923"/>
      <c r="W237" s="924"/>
      <c r="X237" s="922" t="e">
        <f ca="1">SUM(ROUNDDOWN(X221*X234/20,-1),ROUNDDOWN(X221*X235/20,-1),IF(X234&lt;1,0,X225),IF(X235&lt;1,0,X225))</f>
        <v>#N/A</v>
      </c>
      <c r="Y237" s="923"/>
      <c r="Z237" s="924"/>
      <c r="AB237" s="382"/>
      <c r="AC237" s="382"/>
    </row>
    <row r="238" spans="1:47" s="382" customFormat="1" ht="13.5" hidden="1" customHeight="1">
      <c r="A238" s="619" t="s">
        <v>419</v>
      </c>
      <c r="B238" s="620"/>
      <c r="C238" s="620"/>
      <c r="D238" s="620"/>
      <c r="E238" s="620"/>
      <c r="F238" s="620"/>
      <c r="G238" s="620"/>
      <c r="H238" s="620"/>
      <c r="I238" s="620"/>
      <c r="J238" s="620"/>
      <c r="K238" s="621"/>
      <c r="L238" s="928" t="s">
        <v>138</v>
      </c>
      <c r="M238" s="929"/>
      <c r="N238" s="930"/>
      <c r="O238" s="934">
        <f>'在籍児童一覧（教育）'!O147</f>
        <v>0</v>
      </c>
      <c r="P238" s="935"/>
      <c r="Q238" s="936"/>
      <c r="R238" s="937">
        <f>'在籍児童一覧（教育）'!Q147</f>
        <v>0</v>
      </c>
      <c r="S238" s="938"/>
      <c r="T238" s="939"/>
      <c r="U238" s="940">
        <f>'在籍児童一覧（教育）'!S147</f>
        <v>0</v>
      </c>
      <c r="V238" s="938"/>
      <c r="W238" s="941"/>
      <c r="X238" s="937">
        <f>'在籍児童一覧（教育）'!U147</f>
        <v>0</v>
      </c>
      <c r="Y238" s="938"/>
      <c r="Z238" s="941"/>
    </row>
    <row r="239" spans="1:47" s="382" customFormat="1" ht="13.5" hidden="1" customHeight="1">
      <c r="A239" s="942" t="s">
        <v>639</v>
      </c>
      <c r="B239" s="943"/>
      <c r="C239" s="943"/>
      <c r="D239" s="943"/>
      <c r="E239" s="943"/>
      <c r="F239" s="943"/>
      <c r="G239" s="943"/>
      <c r="H239" s="943"/>
      <c r="I239" s="943"/>
      <c r="J239" s="943"/>
      <c r="K239" s="944"/>
      <c r="L239" s="931"/>
      <c r="M239" s="932"/>
      <c r="N239" s="933"/>
      <c r="O239" s="945">
        <f>'在籍児童一覧（教育）'!O148</f>
        <v>0</v>
      </c>
      <c r="P239" s="946"/>
      <c r="Q239" s="947"/>
      <c r="R239" s="945">
        <f>'在籍児童一覧（教育）'!Q148</f>
        <v>0</v>
      </c>
      <c r="S239" s="946"/>
      <c r="T239" s="947"/>
      <c r="U239" s="945">
        <f>'在籍児童一覧（教育）'!S148</f>
        <v>0</v>
      </c>
      <c r="V239" s="946"/>
      <c r="W239" s="947"/>
      <c r="X239" s="945">
        <f>'在籍児童一覧（教育）'!U148</f>
        <v>0</v>
      </c>
      <c r="Y239" s="946"/>
      <c r="Z239" s="947"/>
    </row>
    <row r="240" spans="1:47" s="378" customFormat="1" ht="13.5" hidden="1" customHeight="1">
      <c r="A240" s="911" t="s">
        <v>640</v>
      </c>
      <c r="B240" s="617"/>
      <c r="C240" s="617"/>
      <c r="D240" s="617"/>
      <c r="E240" s="617"/>
      <c r="F240" s="617"/>
      <c r="G240" s="617"/>
      <c r="H240" s="617"/>
      <c r="I240" s="617"/>
      <c r="J240" s="617"/>
      <c r="K240" s="617"/>
      <c r="L240" s="617"/>
      <c r="M240" s="617"/>
      <c r="N240" s="618"/>
      <c r="O240" s="925" t="e">
        <f ca="1">SUM(ROUNDDOWN(O222*O238/20,-1),ROUNDDOWN(O222*O239/20,-1),IF(O238&lt;1,0,O224),IF(O239&lt;1,0,O224))</f>
        <v>#N/A</v>
      </c>
      <c r="P240" s="926"/>
      <c r="Q240" s="927"/>
      <c r="R240" s="925" t="e">
        <f ca="1">SUM(ROUNDDOWN(R222*R238/20,-1),ROUNDDOWN(R222*R239/20,-1),IF(R238&lt;1,0,R224),IF(R239&lt;1,0,R224))</f>
        <v>#N/A</v>
      </c>
      <c r="S240" s="926"/>
      <c r="T240" s="927"/>
      <c r="U240" s="925" t="e">
        <f ca="1">SUM(ROUNDDOWN(U222*U238/20,-1),ROUNDDOWN(U222*U239/20,-1),IF(U238&lt;1,0,U224),IF(U239&lt;1,0,U224))</f>
        <v>#N/A</v>
      </c>
      <c r="V240" s="926"/>
      <c r="W240" s="927"/>
      <c r="X240" s="925" t="e">
        <f ca="1">SUM(ROUNDDOWN(X222*X238/20,-1),ROUNDDOWN(X222*X239/20,-1),IF(X238&lt;1,0,X224),IF(X239&lt;1,0,X224))</f>
        <v>#N/A</v>
      </c>
      <c r="Y240" s="926"/>
      <c r="Z240" s="927"/>
    </row>
    <row r="241" spans="1:26" s="378" customFormat="1" ht="13.5" hidden="1" customHeight="1">
      <c r="A241" s="426"/>
      <c r="B241" s="921" t="s">
        <v>10</v>
      </c>
      <c r="C241" s="592"/>
      <c r="D241" s="592"/>
      <c r="E241" s="592"/>
      <c r="F241" s="592"/>
      <c r="G241" s="592"/>
      <c r="H241" s="592"/>
      <c r="I241" s="592"/>
      <c r="J241" s="592"/>
      <c r="K241" s="592"/>
      <c r="L241" s="592"/>
      <c r="M241" s="592"/>
      <c r="N241" s="593"/>
      <c r="O241" s="922" t="e">
        <f ca="1">SUM(ROUNDDOWN(O223*O238/20,-1),ROUNDDOWN(O223*O239/20,-1),IF(O238&lt;1,0,O225),IF(O239&lt;1,0,O225))</f>
        <v>#N/A</v>
      </c>
      <c r="P241" s="923"/>
      <c r="Q241" s="924"/>
      <c r="R241" s="922" t="e">
        <f ca="1">SUM(ROUNDDOWN(R223*R238/20,-1),ROUNDDOWN(R223*R239/20,-1),IF(R238&lt;1,0,R225),IF(R239&lt;1,0,R225))</f>
        <v>#N/A</v>
      </c>
      <c r="S241" s="923"/>
      <c r="T241" s="924"/>
      <c r="U241" s="922" t="e">
        <f ca="1">SUM(ROUNDDOWN(U223*U238/20,-1),ROUNDDOWN(U223*U239/20,-1),IF(U238&lt;1,0,U225),IF(U239&lt;1,0,U225))</f>
        <v>#N/A</v>
      </c>
      <c r="V241" s="923"/>
      <c r="W241" s="924"/>
      <c r="X241" s="922" t="e">
        <f ca="1">SUM(ROUNDDOWN(X223*X238/20,-1),ROUNDDOWN(X223*X239/20,-1),IF(X238&lt;1,0,X225),IF(X239&lt;1,0,X225))</f>
        <v>#N/A</v>
      </c>
      <c r="Y241" s="923"/>
      <c r="Z241" s="924"/>
    </row>
    <row r="242" spans="1:26" s="378" customFormat="1" ht="13.5" customHeight="1">
      <c r="A242" s="911" t="s">
        <v>139</v>
      </c>
      <c r="B242" s="617"/>
      <c r="C242" s="617"/>
      <c r="D242" s="617"/>
      <c r="E242" s="617"/>
      <c r="F242" s="617"/>
      <c r="G242" s="617"/>
      <c r="H242" s="617"/>
      <c r="I242" s="617"/>
      <c r="J242" s="617"/>
      <c r="K242" s="617"/>
      <c r="L242" s="617"/>
      <c r="M242" s="617"/>
      <c r="N242" s="618"/>
      <c r="O242" s="925" t="e">
        <f ca="1">SUM(O228,O232,O236,O240)</f>
        <v>#N/A</v>
      </c>
      <c r="P242" s="926"/>
      <c r="Q242" s="927"/>
      <c r="R242" s="925" t="e">
        <f t="shared" ref="R242:R243" ca="1" si="22">SUM(R228,R232,R236,R240)</f>
        <v>#N/A</v>
      </c>
      <c r="S242" s="926"/>
      <c r="T242" s="927"/>
      <c r="U242" s="925" t="e">
        <f t="shared" ref="U242:U243" ca="1" si="23">SUM(U228,U232,U236,U240)</f>
        <v>#N/A</v>
      </c>
      <c r="V242" s="926"/>
      <c r="W242" s="927"/>
      <c r="X242" s="925" t="e">
        <f t="shared" ref="X242:X243" ca="1" si="24">SUM(X228,X232,X236,X240)</f>
        <v>#N/A</v>
      </c>
      <c r="Y242" s="926"/>
      <c r="Z242" s="927"/>
    </row>
    <row r="243" spans="1:26" s="378" customFormat="1" ht="13.5" customHeight="1">
      <c r="A243" s="426"/>
      <c r="B243" s="921" t="s">
        <v>10</v>
      </c>
      <c r="C243" s="592"/>
      <c r="D243" s="592"/>
      <c r="E243" s="592"/>
      <c r="F243" s="592"/>
      <c r="G243" s="592"/>
      <c r="H243" s="592"/>
      <c r="I243" s="592"/>
      <c r="J243" s="592"/>
      <c r="K243" s="592"/>
      <c r="L243" s="592"/>
      <c r="M243" s="592"/>
      <c r="N243" s="593"/>
      <c r="O243" s="922" t="e">
        <f t="shared" ref="O243" ca="1" si="25">SUM(O229,O233,O237,O241)</f>
        <v>#N/A</v>
      </c>
      <c r="P243" s="923"/>
      <c r="Q243" s="924"/>
      <c r="R243" s="922" t="e">
        <f t="shared" ca="1" si="22"/>
        <v>#N/A</v>
      </c>
      <c r="S243" s="923"/>
      <c r="T243" s="924"/>
      <c r="U243" s="922" t="e">
        <f t="shared" ca="1" si="23"/>
        <v>#N/A</v>
      </c>
      <c r="V243" s="923"/>
      <c r="W243" s="924"/>
      <c r="X243" s="922" t="e">
        <f t="shared" ca="1" si="24"/>
        <v>#N/A</v>
      </c>
      <c r="Y243" s="923"/>
      <c r="Z243" s="924"/>
    </row>
    <row r="244" spans="1:26" s="378" customFormat="1" ht="13.5" customHeight="1">
      <c r="A244" s="619" t="s">
        <v>140</v>
      </c>
      <c r="B244" s="1017"/>
      <c r="C244" s="1017"/>
      <c r="D244" s="1017"/>
      <c r="E244" s="1017"/>
      <c r="F244" s="1017"/>
      <c r="G244" s="1017"/>
      <c r="H244" s="1017"/>
      <c r="I244" s="1017"/>
      <c r="J244" s="1017"/>
      <c r="K244" s="1017"/>
      <c r="L244" s="1017"/>
      <c r="M244" s="1017"/>
      <c r="N244" s="1018"/>
      <c r="O244" s="908" t="e">
        <f ca="1">SUM(O217,O242)</f>
        <v>#N/A</v>
      </c>
      <c r="P244" s="909"/>
      <c r="Q244" s="910"/>
      <c r="R244" s="908" t="e">
        <f ca="1">SUM(R217,R242)</f>
        <v>#N/A</v>
      </c>
      <c r="S244" s="909"/>
      <c r="T244" s="910"/>
      <c r="U244" s="908" t="e">
        <f ca="1">SUM(U217,U242)</f>
        <v>#N/A</v>
      </c>
      <c r="V244" s="909"/>
      <c r="W244" s="910"/>
      <c r="X244" s="908" t="e">
        <f ca="1">SUM(X217,X242)</f>
        <v>#N/A</v>
      </c>
      <c r="Y244" s="909"/>
      <c r="Z244" s="910"/>
    </row>
    <row r="245" spans="1:26" s="378" customFormat="1" ht="13.5" customHeight="1">
      <c r="A245" s="426"/>
      <c r="B245" s="1019" t="s">
        <v>10</v>
      </c>
      <c r="C245" s="672"/>
      <c r="D245" s="672"/>
      <c r="E245" s="672"/>
      <c r="F245" s="672"/>
      <c r="G245" s="672"/>
      <c r="H245" s="672"/>
      <c r="I245" s="672"/>
      <c r="J245" s="672"/>
      <c r="K245" s="672"/>
      <c r="L245" s="672"/>
      <c r="M245" s="672"/>
      <c r="N245" s="673"/>
      <c r="O245" s="922" t="e">
        <f ca="1">SUM(O218,O243)</f>
        <v>#N/A</v>
      </c>
      <c r="P245" s="923"/>
      <c r="Q245" s="924"/>
      <c r="R245" s="922" t="e">
        <f ca="1">SUM(R218,R243)</f>
        <v>#N/A</v>
      </c>
      <c r="S245" s="923"/>
      <c r="T245" s="924"/>
      <c r="U245" s="922" t="e">
        <f ca="1">SUM(U218,U243)</f>
        <v>#N/A</v>
      </c>
      <c r="V245" s="923"/>
      <c r="W245" s="924"/>
      <c r="X245" s="922" t="e">
        <f ca="1">SUM(X218,X243)</f>
        <v>#N/A</v>
      </c>
      <c r="Y245" s="923"/>
      <c r="Z245" s="924"/>
    </row>
    <row r="246" spans="1:26" s="378" customFormat="1" ht="13.5" customHeight="1">
      <c r="A246" s="431"/>
      <c r="B246" s="418"/>
      <c r="C246" s="418"/>
      <c r="D246" s="418"/>
      <c r="E246" s="418"/>
      <c r="F246" s="418"/>
      <c r="G246" s="418"/>
      <c r="H246" s="418"/>
      <c r="I246" s="418"/>
      <c r="J246" s="418"/>
      <c r="K246" s="418"/>
      <c r="L246" s="418"/>
      <c r="M246" s="418"/>
      <c r="N246" s="418"/>
      <c r="O246" s="432"/>
      <c r="P246" s="432"/>
      <c r="Q246" s="432"/>
      <c r="R246" s="432"/>
      <c r="S246" s="432"/>
      <c r="T246" s="432"/>
      <c r="U246" s="432"/>
      <c r="V246" s="432"/>
      <c r="W246" s="432"/>
      <c r="X246" s="432"/>
      <c r="Y246" s="432"/>
      <c r="Z246" s="433"/>
    </row>
    <row r="247" spans="1:26" s="378" customFormat="1" ht="13.5" customHeight="1">
      <c r="A247" s="619" t="s">
        <v>141</v>
      </c>
      <c r="B247" s="1017"/>
      <c r="C247" s="1017"/>
      <c r="D247" s="1017"/>
      <c r="E247" s="1017"/>
      <c r="F247" s="1017"/>
      <c r="G247" s="1017"/>
      <c r="H247" s="1017"/>
      <c r="I247" s="683" t="s">
        <v>142</v>
      </c>
      <c r="J247" s="684"/>
      <c r="K247" s="685"/>
      <c r="L247" s="906">
        <f>IF(X126-U126&gt;=0,X126-U126+1,X126-U126+13)</f>
        <v>1</v>
      </c>
      <c r="M247" s="906"/>
      <c r="N247" s="907"/>
      <c r="O247" s="908" t="e">
        <f ca="1">O244*L247</f>
        <v>#N/A</v>
      </c>
      <c r="P247" s="909"/>
      <c r="Q247" s="910"/>
      <c r="R247" s="908" t="e">
        <f ca="1">R244*L247</f>
        <v>#N/A</v>
      </c>
      <c r="S247" s="909"/>
      <c r="T247" s="910"/>
      <c r="U247" s="908" t="e">
        <f ca="1">U244*L247</f>
        <v>#N/A</v>
      </c>
      <c r="V247" s="909"/>
      <c r="W247" s="910"/>
      <c r="X247" s="908" t="e">
        <f ca="1">X244*L247</f>
        <v>#N/A</v>
      </c>
      <c r="Y247" s="909"/>
      <c r="Z247" s="910"/>
    </row>
    <row r="248" spans="1:26" s="378" customFormat="1" ht="13.5" customHeight="1">
      <c r="A248" s="426"/>
      <c r="B248" s="921" t="s">
        <v>10</v>
      </c>
      <c r="C248" s="592"/>
      <c r="D248" s="592"/>
      <c r="E248" s="592"/>
      <c r="F248" s="592"/>
      <c r="G248" s="592"/>
      <c r="H248" s="592"/>
      <c r="I248" s="592"/>
      <c r="J248" s="592"/>
      <c r="K248" s="592"/>
      <c r="L248" s="592"/>
      <c r="M248" s="592"/>
      <c r="N248" s="593"/>
      <c r="O248" s="922" t="e">
        <f ca="1">O245*L247</f>
        <v>#N/A</v>
      </c>
      <c r="P248" s="923"/>
      <c r="Q248" s="924"/>
      <c r="R248" s="922" t="e">
        <f ca="1">R245*L247</f>
        <v>#N/A</v>
      </c>
      <c r="S248" s="923"/>
      <c r="T248" s="924"/>
      <c r="U248" s="922" t="e">
        <f ca="1">U245*L247</f>
        <v>#N/A</v>
      </c>
      <c r="V248" s="923"/>
      <c r="W248" s="924"/>
      <c r="X248" s="922" t="e">
        <f ca="1">X245*L247</f>
        <v>#N/A</v>
      </c>
      <c r="Y248" s="923"/>
      <c r="Z248" s="924"/>
    </row>
    <row r="249" spans="1:26" s="378" customFormat="1" ht="13.5" customHeight="1" thickBot="1">
      <c r="A249" s="431"/>
      <c r="B249" s="418"/>
      <c r="C249" s="418"/>
      <c r="D249" s="418"/>
      <c r="E249" s="418"/>
      <c r="F249" s="418"/>
      <c r="G249" s="418"/>
      <c r="H249" s="418"/>
      <c r="I249" s="418"/>
      <c r="J249" s="418"/>
      <c r="K249" s="418"/>
      <c r="L249" s="418"/>
      <c r="M249" s="418"/>
      <c r="N249" s="418"/>
      <c r="O249" s="432"/>
      <c r="P249" s="432"/>
      <c r="Q249" s="432"/>
      <c r="R249" s="432"/>
      <c r="S249" s="432"/>
      <c r="T249" s="432"/>
      <c r="U249" s="432"/>
      <c r="V249" s="432"/>
      <c r="W249" s="432"/>
      <c r="X249" s="432"/>
      <c r="Y249" s="432"/>
      <c r="Z249" s="433"/>
    </row>
    <row r="250" spans="1:26" s="434" customFormat="1" ht="34.5" customHeight="1" thickBot="1">
      <c r="A250" s="1020" t="s">
        <v>758</v>
      </c>
      <c r="B250" s="1021"/>
      <c r="C250" s="1021"/>
      <c r="D250" s="1021"/>
      <c r="E250" s="1021"/>
      <c r="F250" s="1021"/>
      <c r="G250" s="1021"/>
      <c r="H250" s="1021"/>
      <c r="I250" s="1022" t="e">
        <f ca="1">SUM(O247:Z247)</f>
        <v>#N/A</v>
      </c>
      <c r="J250" s="1022"/>
      <c r="K250" s="1022"/>
      <c r="L250" s="1022"/>
      <c r="M250" s="1022"/>
      <c r="N250" s="1022"/>
      <c r="O250" s="1022"/>
      <c r="P250" s="1022"/>
      <c r="Q250" s="1022"/>
      <c r="R250" s="1022"/>
      <c r="S250" s="1022"/>
      <c r="T250" s="1022"/>
      <c r="U250" s="1022"/>
      <c r="V250" s="1022"/>
      <c r="W250" s="1022"/>
      <c r="X250" s="1022"/>
      <c r="Y250" s="1022"/>
      <c r="Z250" s="1023"/>
    </row>
    <row r="251" spans="1:26" s="435" customFormat="1" ht="13.5" customHeight="1"/>
    <row r="252" spans="1:26" s="435" customFormat="1" ht="13.5" hidden="1" customHeight="1">
      <c r="A252" s="400" t="s">
        <v>641</v>
      </c>
      <c r="B252" s="400"/>
      <c r="C252" s="400"/>
      <c r="D252" s="400"/>
      <c r="E252" s="400"/>
      <c r="F252" s="400"/>
    </row>
    <row r="253" spans="1:26" s="435" customFormat="1" ht="13.5" hidden="1" customHeight="1">
      <c r="A253" s="912"/>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4"/>
    </row>
    <row r="254" spans="1:26" s="435" customFormat="1" ht="13.5" hidden="1" customHeight="1">
      <c r="A254" s="915"/>
      <c r="B254" s="916"/>
      <c r="C254" s="916"/>
      <c r="D254" s="916"/>
      <c r="E254" s="916"/>
      <c r="F254" s="916"/>
      <c r="G254" s="916"/>
      <c r="H254" s="916"/>
      <c r="I254" s="916"/>
      <c r="J254" s="916"/>
      <c r="K254" s="916"/>
      <c r="L254" s="916"/>
      <c r="M254" s="916"/>
      <c r="N254" s="916"/>
      <c r="O254" s="916"/>
      <c r="P254" s="916"/>
      <c r="Q254" s="916"/>
      <c r="R254" s="916"/>
      <c r="S254" s="916"/>
      <c r="T254" s="916"/>
      <c r="U254" s="916"/>
      <c r="V254" s="916"/>
      <c r="W254" s="916"/>
      <c r="X254" s="916"/>
      <c r="Y254" s="916"/>
      <c r="Z254" s="917"/>
    </row>
    <row r="255" spans="1:26" s="435" customFormat="1" ht="13.5" hidden="1" customHeight="1">
      <c r="A255" s="915"/>
      <c r="B255" s="916"/>
      <c r="C255" s="916"/>
      <c r="D255" s="916"/>
      <c r="E255" s="916"/>
      <c r="F255" s="916"/>
      <c r="G255" s="916"/>
      <c r="H255" s="916"/>
      <c r="I255" s="916"/>
      <c r="J255" s="916"/>
      <c r="K255" s="916"/>
      <c r="L255" s="916"/>
      <c r="M255" s="916"/>
      <c r="N255" s="916"/>
      <c r="O255" s="916"/>
      <c r="P255" s="916"/>
      <c r="Q255" s="916"/>
      <c r="R255" s="916"/>
      <c r="S255" s="916"/>
      <c r="T255" s="916"/>
      <c r="U255" s="916"/>
      <c r="V255" s="916"/>
      <c r="W255" s="916"/>
      <c r="X255" s="916"/>
      <c r="Y255" s="916"/>
      <c r="Z255" s="917"/>
    </row>
    <row r="256" spans="1:26" s="435" customFormat="1" ht="13.5" hidden="1" customHeight="1">
      <c r="A256" s="918"/>
      <c r="B256" s="919"/>
      <c r="C256" s="919"/>
      <c r="D256" s="919"/>
      <c r="E256" s="919"/>
      <c r="F256" s="919"/>
      <c r="G256" s="919"/>
      <c r="H256" s="919"/>
      <c r="I256" s="919"/>
      <c r="J256" s="919"/>
      <c r="K256" s="919"/>
      <c r="L256" s="919"/>
      <c r="M256" s="919"/>
      <c r="N256" s="919"/>
      <c r="O256" s="919"/>
      <c r="P256" s="919"/>
      <c r="Q256" s="919"/>
      <c r="R256" s="919"/>
      <c r="S256" s="919"/>
      <c r="T256" s="919"/>
      <c r="U256" s="919"/>
      <c r="V256" s="919"/>
      <c r="W256" s="919"/>
      <c r="X256" s="919"/>
      <c r="Y256" s="919"/>
      <c r="Z256" s="920"/>
    </row>
    <row r="257" spans="1:44" hidden="1"/>
    <row r="259" spans="1:44" s="378" customFormat="1" ht="13.5" customHeight="1">
      <c r="A259" s="405" t="s">
        <v>537</v>
      </c>
      <c r="B259" s="405"/>
      <c r="C259" s="405"/>
      <c r="D259" s="405"/>
      <c r="E259" s="405"/>
      <c r="F259" s="405"/>
      <c r="G259" s="405"/>
      <c r="H259" s="405"/>
      <c r="I259" s="405"/>
      <c r="J259" s="405"/>
      <c r="K259" s="405"/>
      <c r="L259" s="405"/>
      <c r="M259" s="405"/>
      <c r="N259" s="405"/>
      <c r="O259" s="405"/>
      <c r="P259" s="405"/>
      <c r="Q259" s="405"/>
      <c r="R259" s="405"/>
      <c r="S259" s="405"/>
      <c r="T259" s="405"/>
      <c r="U259" s="405"/>
      <c r="V259" s="405"/>
      <c r="W259" s="405"/>
      <c r="X259" s="405"/>
      <c r="Y259" s="405"/>
      <c r="Z259" s="405"/>
    </row>
    <row r="260" spans="1:44" s="378" customFormat="1" ht="13.5" customHeight="1">
      <c r="A260" s="614" t="s">
        <v>3</v>
      </c>
      <c r="B260" s="611"/>
      <c r="C260" s="611"/>
      <c r="D260" s="611"/>
      <c r="E260" s="611"/>
      <c r="F260" s="611"/>
      <c r="G260" s="611"/>
      <c r="H260" s="612"/>
      <c r="I260" s="614" t="s">
        <v>6</v>
      </c>
      <c r="J260" s="611"/>
      <c r="K260" s="611"/>
      <c r="L260" s="612"/>
      <c r="M260" s="611" t="s">
        <v>107</v>
      </c>
      <c r="N260" s="612"/>
      <c r="O260" s="609" t="s">
        <v>108</v>
      </c>
      <c r="P260" s="608"/>
      <c r="Q260" s="609" t="s">
        <v>109</v>
      </c>
      <c r="R260" s="608"/>
      <c r="S260" s="582" t="s">
        <v>110</v>
      </c>
      <c r="T260" s="583"/>
      <c r="U260" s="608" t="s">
        <v>455</v>
      </c>
      <c r="V260" s="608"/>
      <c r="W260" s="609" t="s">
        <v>456</v>
      </c>
      <c r="X260" s="608"/>
      <c r="Y260" s="609" t="s">
        <v>457</v>
      </c>
      <c r="Z260" s="610"/>
      <c r="AA260" s="382"/>
    </row>
    <row r="261" spans="1:44" s="378" customFormat="1" ht="13.5" customHeight="1">
      <c r="A261" s="867" t="s">
        <v>37</v>
      </c>
      <c r="B261" s="869" t="s">
        <v>8</v>
      </c>
      <c r="C261" s="620"/>
      <c r="D261" s="620"/>
      <c r="E261" s="620"/>
      <c r="F261" s="620"/>
      <c r="G261" s="620"/>
      <c r="H261" s="621"/>
      <c r="I261" s="871"/>
      <c r="J261" s="872"/>
      <c r="K261" s="875" t="s">
        <v>458</v>
      </c>
      <c r="L261" s="876"/>
      <c r="M261" s="871"/>
      <c r="N261" s="877"/>
      <c r="O261" s="821" t="e">
        <f ca="1">INDIRECT(計算用２!$D$3)</f>
        <v>#N/A</v>
      </c>
      <c r="P261" s="822"/>
      <c r="Q261" s="822"/>
      <c r="R261" s="879"/>
      <c r="S261" s="821" t="e">
        <f ca="1">OFFSET(INDIRECT(計算用２!$D$3),1,0)</f>
        <v>#N/A</v>
      </c>
      <c r="T261" s="879"/>
      <c r="U261" s="821" t="e">
        <f ca="1">OFFSET(INDIRECT(計算用２!$D$3),2,0)</f>
        <v>#N/A</v>
      </c>
      <c r="V261" s="822"/>
      <c r="W261" s="822"/>
      <c r="X261" s="879"/>
      <c r="Y261" s="821" t="e">
        <f ca="1">OFFSET(INDIRECT(計算用２!$D$3),3,0)</f>
        <v>#N/A</v>
      </c>
      <c r="Z261" s="880"/>
      <c r="AA261" s="382"/>
    </row>
    <row r="262" spans="1:44" s="378" customFormat="1" ht="13.5" customHeight="1">
      <c r="A262" s="868"/>
      <c r="B262" s="870"/>
      <c r="C262" s="703"/>
      <c r="D262" s="703"/>
      <c r="E262" s="703"/>
      <c r="F262" s="703"/>
      <c r="G262" s="703"/>
      <c r="H262" s="704"/>
      <c r="I262" s="873"/>
      <c r="J262" s="874"/>
      <c r="K262" s="881" t="s">
        <v>459</v>
      </c>
      <c r="L262" s="881"/>
      <c r="M262" s="873"/>
      <c r="N262" s="878"/>
      <c r="O262" s="882" t="e">
        <f ca="1">OFFSET(INDIRECT(計算用２!$D$3),0,計算用２!$D$21)</f>
        <v>#N/A</v>
      </c>
      <c r="P262" s="883"/>
      <c r="Q262" s="883" t="e">
        <v>#REF!</v>
      </c>
      <c r="R262" s="884"/>
      <c r="S262" s="885" t="e">
        <f ca="1">OFFSET(INDIRECT(計算用２!$D$3),1,計算用２!$D$21)</f>
        <v>#N/A</v>
      </c>
      <c r="T262" s="581"/>
      <c r="U262" s="882" t="e">
        <f ca="1">OFFSET(INDIRECT(計算用２!$D$3),2,計算用２!$D$21)</f>
        <v>#N/A</v>
      </c>
      <c r="V262" s="883"/>
      <c r="W262" s="883" t="e">
        <v>#REF!</v>
      </c>
      <c r="X262" s="884"/>
      <c r="Y262" s="885" t="e">
        <f ca="1">OFFSET(INDIRECT(計算用２!$D$3),3,計算用２!$D$21)</f>
        <v>#N/A</v>
      </c>
      <c r="Z262" s="886"/>
      <c r="AA262" s="382"/>
    </row>
    <row r="263" spans="1:44" s="378" customFormat="1" ht="13.5" hidden="1" customHeight="1">
      <c r="A263" s="867" t="s">
        <v>37</v>
      </c>
      <c r="B263" s="869" t="s">
        <v>460</v>
      </c>
      <c r="C263" s="620"/>
      <c r="D263" s="620"/>
      <c r="E263" s="620"/>
      <c r="F263" s="620"/>
      <c r="G263" s="620"/>
      <c r="H263" s="621"/>
      <c r="I263" s="871"/>
      <c r="J263" s="872"/>
      <c r="K263" s="875" t="s">
        <v>458</v>
      </c>
      <c r="L263" s="876"/>
      <c r="M263" s="871"/>
      <c r="N263" s="877"/>
      <c r="O263" s="821">
        <f ca="1">IFERROR(INDIRECT(計算用２!$D$4),0)</f>
        <v>0</v>
      </c>
      <c r="P263" s="822"/>
      <c r="Q263" s="822"/>
      <c r="R263" s="879"/>
      <c r="S263" s="821">
        <f ca="1">IFERROR(OFFSET(INDIRECT(計算用２!$D$4),1,0),0)</f>
        <v>0</v>
      </c>
      <c r="T263" s="879"/>
      <c r="U263" s="821">
        <f ca="1">IFERROR(OFFSET(INDIRECT(計算用２!$D$4),2,0),0)</f>
        <v>0</v>
      </c>
      <c r="V263" s="822"/>
      <c r="W263" s="822"/>
      <c r="X263" s="879"/>
      <c r="Y263" s="821">
        <f ca="1">IFERROR(OFFSET(INDIRECT(計算用２!$D$4),3,0),0)</f>
        <v>0</v>
      </c>
      <c r="Z263" s="880"/>
      <c r="AA263" s="382"/>
    </row>
    <row r="264" spans="1:44" s="378" customFormat="1" ht="13.5" hidden="1" customHeight="1">
      <c r="A264" s="868"/>
      <c r="B264" s="870"/>
      <c r="C264" s="703"/>
      <c r="D264" s="703"/>
      <c r="E264" s="703"/>
      <c r="F264" s="703"/>
      <c r="G264" s="703"/>
      <c r="H264" s="704"/>
      <c r="I264" s="873"/>
      <c r="J264" s="874"/>
      <c r="K264" s="881" t="s">
        <v>459</v>
      </c>
      <c r="L264" s="881"/>
      <c r="M264" s="873"/>
      <c r="N264" s="878"/>
      <c r="O264" s="882">
        <f ca="1">IFERROR(OFFSET(INDIRECT(計算用２!$D$4),0,計算用２!$D$21),0)</f>
        <v>0</v>
      </c>
      <c r="P264" s="883"/>
      <c r="Q264" s="883" t="e">
        <v>#REF!</v>
      </c>
      <c r="R264" s="884"/>
      <c r="S264" s="885">
        <f ca="1">IFERROR(OFFSET(INDIRECT(計算用２!$D$4),1,計算用２!$D$21),0)</f>
        <v>0</v>
      </c>
      <c r="T264" s="581"/>
      <c r="U264" s="882">
        <f ca="1">IFERROR(OFFSET(INDIRECT(計算用２!$D$4),2,計算用２!$D$21),0)</f>
        <v>0</v>
      </c>
      <c r="V264" s="883"/>
      <c r="W264" s="883" t="e">
        <v>#REF!</v>
      </c>
      <c r="X264" s="884"/>
      <c r="Y264" s="885">
        <f ca="1">IFERROR(OFFSET(INDIRECT(計算用２!$D$4),3,計算用２!$D$21),0)</f>
        <v>0</v>
      </c>
      <c r="Z264" s="886"/>
      <c r="AA264" s="382"/>
    </row>
    <row r="265" spans="1:44" s="378" customFormat="1" ht="13.5" customHeight="1">
      <c r="A265" s="407"/>
      <c r="B265" s="407"/>
      <c r="C265" s="407"/>
      <c r="D265" s="407"/>
      <c r="E265" s="407"/>
      <c r="F265" s="407"/>
      <c r="G265" s="407"/>
      <c r="H265" s="407"/>
      <c r="I265" s="408"/>
      <c r="J265" s="408"/>
      <c r="K265" s="408"/>
      <c r="L265" s="408"/>
      <c r="M265" s="408"/>
      <c r="N265" s="408"/>
      <c r="O265" s="409"/>
      <c r="P265" s="409"/>
      <c r="Q265" s="409"/>
      <c r="R265" s="409"/>
      <c r="S265" s="409"/>
      <c r="T265" s="409"/>
      <c r="U265" s="409"/>
      <c r="V265" s="409"/>
      <c r="W265" s="409"/>
      <c r="X265" s="409"/>
      <c r="Y265" s="409"/>
      <c r="Z265" s="409"/>
      <c r="AA265" s="379"/>
    </row>
    <row r="266" spans="1:44" s="378" customFormat="1" ht="13.5" customHeight="1">
      <c r="A266" s="419" t="s">
        <v>633</v>
      </c>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379"/>
    </row>
    <row r="267" spans="1:44" s="378" customFormat="1" ht="13.5" customHeight="1">
      <c r="A267" s="614" t="s">
        <v>3</v>
      </c>
      <c r="B267" s="611"/>
      <c r="C267" s="611"/>
      <c r="D267" s="611"/>
      <c r="E267" s="611"/>
      <c r="F267" s="611"/>
      <c r="G267" s="611"/>
      <c r="H267" s="612"/>
      <c r="I267" s="614" t="s">
        <v>6</v>
      </c>
      <c r="J267" s="611"/>
      <c r="K267" s="611"/>
      <c r="L267" s="612"/>
      <c r="M267" s="611" t="s">
        <v>107</v>
      </c>
      <c r="N267" s="612"/>
      <c r="O267" s="609" t="s">
        <v>108</v>
      </c>
      <c r="P267" s="608"/>
      <c r="Q267" s="609" t="s">
        <v>109</v>
      </c>
      <c r="R267" s="608"/>
      <c r="S267" s="582" t="s">
        <v>110</v>
      </c>
      <c r="T267" s="583"/>
      <c r="U267" s="608" t="s">
        <v>455</v>
      </c>
      <c r="V267" s="608"/>
      <c r="W267" s="609" t="s">
        <v>456</v>
      </c>
      <c r="X267" s="608"/>
      <c r="Y267" s="609" t="s">
        <v>457</v>
      </c>
      <c r="Z267" s="610"/>
      <c r="AA267" s="382"/>
    </row>
    <row r="268" spans="1:44" s="378" customFormat="1" ht="13.5" customHeight="1">
      <c r="A268" s="678" t="s">
        <v>37</v>
      </c>
      <c r="B268" s="619" t="s">
        <v>4</v>
      </c>
      <c r="C268" s="620"/>
      <c r="D268" s="620"/>
      <c r="E268" s="620"/>
      <c r="F268" s="620"/>
      <c r="G268" s="620"/>
      <c r="H268" s="621"/>
      <c r="I268" s="760" t="s">
        <v>111</v>
      </c>
      <c r="J268" s="859"/>
      <c r="K268" s="860"/>
      <c r="L268" s="861"/>
      <c r="M268" s="862"/>
      <c r="N268" s="863"/>
      <c r="O268" s="863"/>
      <c r="P268" s="863"/>
      <c r="Q268" s="863"/>
      <c r="R268" s="863"/>
      <c r="S268" s="863"/>
      <c r="T268" s="863"/>
      <c r="U268" s="863"/>
      <c r="V268" s="863"/>
      <c r="W268" s="863"/>
      <c r="X268" s="863"/>
      <c r="Y268" s="863"/>
      <c r="Z268" s="864"/>
      <c r="AA268" s="413">
        <v>2</v>
      </c>
      <c r="AB268" s="387">
        <v>3</v>
      </c>
      <c r="AC268" s="387">
        <v>4</v>
      </c>
      <c r="AD268" s="387">
        <v>5</v>
      </c>
      <c r="AE268" s="387">
        <v>6</v>
      </c>
      <c r="AF268" s="387">
        <v>7</v>
      </c>
      <c r="AG268" s="387">
        <v>8</v>
      </c>
      <c r="AH268" s="387">
        <v>9</v>
      </c>
      <c r="AI268" s="387">
        <v>10</v>
      </c>
      <c r="AJ268" s="387">
        <v>11</v>
      </c>
      <c r="AK268" s="387">
        <v>12</v>
      </c>
      <c r="AL268" s="387">
        <v>13</v>
      </c>
      <c r="AM268" s="387">
        <v>14</v>
      </c>
      <c r="AN268" s="387">
        <v>15</v>
      </c>
      <c r="AO268" s="387">
        <v>16</v>
      </c>
      <c r="AP268" s="387">
        <v>17</v>
      </c>
      <c r="AQ268" s="387">
        <v>18</v>
      </c>
      <c r="AR268" s="387">
        <v>19</v>
      </c>
    </row>
    <row r="269" spans="1:44" s="378" customFormat="1" ht="13.5" customHeight="1">
      <c r="A269" s="615"/>
      <c r="B269" s="616"/>
      <c r="C269" s="617"/>
      <c r="D269" s="617"/>
      <c r="E269" s="617"/>
      <c r="F269" s="617"/>
      <c r="G269" s="617"/>
      <c r="H269" s="618"/>
      <c r="I269" s="746"/>
      <c r="J269" s="747"/>
      <c r="K269" s="719" t="s">
        <v>458</v>
      </c>
      <c r="L269" s="720"/>
      <c r="M269" s="865"/>
      <c r="N269" s="866"/>
      <c r="O269" s="586" t="e">
        <f ca="1">ROUNDDOWN(M271,-1)</f>
        <v>#N/A</v>
      </c>
      <c r="P269" s="587"/>
      <c r="Q269" s="587"/>
      <c r="R269" s="588"/>
      <c r="S269" s="699" t="e">
        <f ca="1">ROUNDDOWN(M273,-1)</f>
        <v>#N/A</v>
      </c>
      <c r="T269" s="700"/>
      <c r="U269" s="586" t="e">
        <f ca="1">ROUNDDOWN(M275,-1)</f>
        <v>#N/A</v>
      </c>
      <c r="V269" s="587"/>
      <c r="W269" s="587">
        <f t="shared" ref="W269:W270" si="26">ROUNDDOWN(Q273*$K$130,-1)</f>
        <v>0</v>
      </c>
      <c r="X269" s="588"/>
      <c r="Y269" s="699" t="e">
        <f ca="1">ROUNDDOWN(M277,-1)</f>
        <v>#N/A</v>
      </c>
      <c r="Z269" s="700"/>
      <c r="AA269" s="436"/>
      <c r="AB269" s="436"/>
      <c r="AC269" s="382"/>
      <c r="AD269" s="382"/>
      <c r="AE269" s="382"/>
      <c r="AF269" s="382"/>
      <c r="AG269" s="382"/>
      <c r="AH269" s="382"/>
      <c r="AI269" s="382"/>
      <c r="AJ269" s="382"/>
      <c r="AK269" s="382"/>
      <c r="AL269" s="382"/>
      <c r="AM269" s="382"/>
      <c r="AN269" s="382"/>
      <c r="AO269" s="382"/>
      <c r="AP269" s="382"/>
      <c r="AQ269" s="382"/>
      <c r="AR269" s="382"/>
    </row>
    <row r="270" spans="1:44" s="378" customFormat="1" ht="13.5" customHeight="1">
      <c r="A270" s="615"/>
      <c r="B270" s="616"/>
      <c r="C270" s="617"/>
      <c r="D270" s="617"/>
      <c r="E270" s="617"/>
      <c r="F270" s="617"/>
      <c r="G270" s="617"/>
      <c r="H270" s="618"/>
      <c r="I270" s="746"/>
      <c r="J270" s="747"/>
      <c r="K270" s="584" t="s">
        <v>459</v>
      </c>
      <c r="L270" s="585"/>
      <c r="M270" s="834"/>
      <c r="N270" s="835"/>
      <c r="O270" s="586" t="e">
        <f ca="1">ROUNDDOWN(M272,-1)</f>
        <v>#N/A</v>
      </c>
      <c r="P270" s="587"/>
      <c r="Q270" s="587"/>
      <c r="R270" s="588"/>
      <c r="S270" s="589" t="e">
        <f ca="1">ROUNDDOWN(M274,-1)</f>
        <v>#N/A</v>
      </c>
      <c r="T270" s="590"/>
      <c r="U270" s="586" t="e">
        <f ca="1">ROUNDDOWN(M276,-1)</f>
        <v>#N/A</v>
      </c>
      <c r="V270" s="587"/>
      <c r="W270" s="587">
        <f t="shared" si="26"/>
        <v>0</v>
      </c>
      <c r="X270" s="588"/>
      <c r="Y270" s="589" t="e">
        <f ca="1">ROUNDDOWN(M278,-1)</f>
        <v>#N/A</v>
      </c>
      <c r="Z270" s="590"/>
      <c r="AA270" s="382"/>
      <c r="AB270" s="382"/>
      <c r="AC270" s="382"/>
      <c r="AD270" s="382"/>
      <c r="AE270" s="382"/>
      <c r="AF270" s="382"/>
      <c r="AG270" s="382"/>
      <c r="AH270" s="382"/>
      <c r="AI270" s="382"/>
      <c r="AJ270" s="382"/>
      <c r="AK270" s="382"/>
      <c r="AL270" s="382"/>
      <c r="AM270" s="382"/>
    </row>
    <row r="271" spans="1:44" s="378" customFormat="1" ht="13.5" customHeight="1">
      <c r="A271" s="414"/>
      <c r="B271" s="437"/>
      <c r="C271" s="418"/>
      <c r="D271" s="418"/>
      <c r="E271" s="418"/>
      <c r="F271" s="418"/>
      <c r="G271" s="418"/>
      <c r="H271" s="438"/>
      <c r="I271" s="584" t="s">
        <v>112</v>
      </c>
      <c r="J271" s="585"/>
      <c r="K271" s="584" t="s">
        <v>458</v>
      </c>
      <c r="L271" s="585"/>
      <c r="M271" s="836" t="e">
        <f ca="1">OFFSET(INDIRECT(計算用２!$D$3),0,計算用２!$D$22)*$K$133</f>
        <v>#N/A</v>
      </c>
      <c r="N271" s="837"/>
      <c r="O271" s="850"/>
      <c r="P271" s="851"/>
      <c r="Q271" s="851"/>
      <c r="R271" s="851"/>
      <c r="S271" s="851"/>
      <c r="T271" s="851"/>
      <c r="U271" s="851"/>
      <c r="V271" s="851"/>
      <c r="W271" s="851"/>
      <c r="X271" s="851"/>
      <c r="Y271" s="851"/>
      <c r="Z271" s="852"/>
      <c r="AA271" s="382"/>
      <c r="AB271" s="382"/>
      <c r="AC271" s="382"/>
      <c r="AD271" s="382"/>
      <c r="AE271" s="382"/>
      <c r="AF271" s="382"/>
      <c r="AG271" s="382"/>
      <c r="AH271" s="382"/>
      <c r="AI271" s="382"/>
      <c r="AJ271" s="382"/>
      <c r="AK271" s="382"/>
      <c r="AL271" s="382"/>
      <c r="AM271" s="382"/>
      <c r="AN271" s="382"/>
      <c r="AO271" s="382"/>
    </row>
    <row r="272" spans="1:44" s="378" customFormat="1" ht="13.5" customHeight="1">
      <c r="A272" s="414"/>
      <c r="B272" s="437"/>
      <c r="C272" s="418"/>
      <c r="D272" s="418"/>
      <c r="E272" s="418"/>
      <c r="F272" s="418"/>
      <c r="G272" s="418"/>
      <c r="H272" s="438"/>
      <c r="I272" s="848"/>
      <c r="J272" s="849"/>
      <c r="K272" s="602" t="s">
        <v>459</v>
      </c>
      <c r="L272" s="603"/>
      <c r="M272" s="836" t="e">
        <f ca="1">OFFSET(INDIRECT(計算用２!$D$3),0,計算用２!$D$23)*$K$133</f>
        <v>#N/A</v>
      </c>
      <c r="N272" s="837"/>
      <c r="O272" s="853"/>
      <c r="P272" s="854"/>
      <c r="Q272" s="854"/>
      <c r="R272" s="854"/>
      <c r="S272" s="854"/>
      <c r="T272" s="854"/>
      <c r="U272" s="854"/>
      <c r="V272" s="854"/>
      <c r="W272" s="854"/>
      <c r="X272" s="854"/>
      <c r="Y272" s="854"/>
      <c r="Z272" s="855"/>
      <c r="AA272" s="382"/>
      <c r="AB272" s="382"/>
      <c r="AC272" s="382"/>
      <c r="AD272" s="382"/>
      <c r="AE272" s="382"/>
      <c r="AF272" s="382"/>
      <c r="AG272" s="382"/>
      <c r="AH272" s="382"/>
      <c r="AI272" s="382"/>
      <c r="AJ272" s="382"/>
      <c r="AK272" s="382"/>
      <c r="AL272" s="382"/>
      <c r="AM272" s="382"/>
      <c r="AN272" s="382"/>
      <c r="AO272" s="382"/>
      <c r="AP272" s="382"/>
      <c r="AQ272" s="382"/>
      <c r="AR272" s="382"/>
    </row>
    <row r="273" spans="1:44" s="378" customFormat="1" ht="13.5" customHeight="1">
      <c r="A273" s="414"/>
      <c r="B273" s="437"/>
      <c r="C273" s="418"/>
      <c r="D273" s="418"/>
      <c r="E273" s="418"/>
      <c r="F273" s="418"/>
      <c r="G273" s="418"/>
      <c r="H273" s="438"/>
      <c r="I273" s="584" t="s">
        <v>110</v>
      </c>
      <c r="J273" s="585"/>
      <c r="K273" s="602" t="s">
        <v>458</v>
      </c>
      <c r="L273" s="603"/>
      <c r="M273" s="836" t="e">
        <f ca="1">OFFSET(INDIRECT(計算用２!$D$3),1,計算用２!$D$22)*$K$133</f>
        <v>#N/A</v>
      </c>
      <c r="N273" s="837"/>
      <c r="O273" s="853"/>
      <c r="P273" s="854"/>
      <c r="Q273" s="854"/>
      <c r="R273" s="854"/>
      <c r="S273" s="854"/>
      <c r="T273" s="854"/>
      <c r="U273" s="854"/>
      <c r="V273" s="854"/>
      <c r="W273" s="854"/>
      <c r="X273" s="854"/>
      <c r="Y273" s="854"/>
      <c r="Z273" s="855"/>
      <c r="AA273" s="382"/>
      <c r="AB273" s="382"/>
      <c r="AC273" s="382"/>
      <c r="AD273" s="382"/>
      <c r="AE273" s="382"/>
      <c r="AF273" s="382"/>
      <c r="AG273" s="382"/>
      <c r="AH273" s="382"/>
      <c r="AI273" s="382"/>
      <c r="AJ273" s="382"/>
      <c r="AK273" s="382"/>
      <c r="AL273" s="382"/>
      <c r="AM273" s="382"/>
      <c r="AN273" s="382"/>
      <c r="AO273" s="382"/>
    </row>
    <row r="274" spans="1:44" s="378" customFormat="1" ht="13.5" customHeight="1">
      <c r="A274" s="414"/>
      <c r="B274" s="437"/>
      <c r="C274" s="418"/>
      <c r="D274" s="418"/>
      <c r="E274" s="418"/>
      <c r="F274" s="418"/>
      <c r="G274" s="418"/>
      <c r="H274" s="438"/>
      <c r="I274" s="719"/>
      <c r="J274" s="720"/>
      <c r="K274" s="719" t="s">
        <v>459</v>
      </c>
      <c r="L274" s="720"/>
      <c r="M274" s="836" t="e">
        <f ca="1">OFFSET(INDIRECT(計算用２!$D$3),1,計算用２!$D$23)*$K$133</f>
        <v>#N/A</v>
      </c>
      <c r="N274" s="837"/>
      <c r="O274" s="853"/>
      <c r="P274" s="854"/>
      <c r="Q274" s="854"/>
      <c r="R274" s="854"/>
      <c r="S274" s="854"/>
      <c r="T274" s="854"/>
      <c r="U274" s="854"/>
      <c r="V274" s="854"/>
      <c r="W274" s="854"/>
      <c r="X274" s="854"/>
      <c r="Y274" s="854"/>
      <c r="Z274" s="855"/>
      <c r="AA274" s="382"/>
      <c r="AB274" s="382"/>
      <c r="AC274" s="382"/>
      <c r="AD274" s="382"/>
      <c r="AE274" s="382"/>
      <c r="AF274" s="382"/>
      <c r="AG274" s="382"/>
      <c r="AH274" s="382"/>
      <c r="AI274" s="382"/>
      <c r="AJ274" s="382"/>
      <c r="AK274" s="382"/>
      <c r="AL274" s="382"/>
      <c r="AM274" s="382"/>
      <c r="AN274" s="382"/>
      <c r="AO274" s="382"/>
    </row>
    <row r="275" spans="1:44" s="378" customFormat="1" ht="13.5" customHeight="1">
      <c r="A275" s="414"/>
      <c r="B275" s="437"/>
      <c r="C275" s="418"/>
      <c r="D275" s="418"/>
      <c r="E275" s="418"/>
      <c r="F275" s="418"/>
      <c r="G275" s="418"/>
      <c r="H275" s="438"/>
      <c r="I275" s="584" t="s">
        <v>461</v>
      </c>
      <c r="J275" s="585"/>
      <c r="K275" s="584" t="s">
        <v>458</v>
      </c>
      <c r="L275" s="585"/>
      <c r="M275" s="836" t="e">
        <f ca="1">OFFSET(INDIRECT(計算用２!$D$3),2,計算用２!$D$22)*$K$133</f>
        <v>#N/A</v>
      </c>
      <c r="N275" s="837"/>
      <c r="O275" s="853"/>
      <c r="P275" s="854"/>
      <c r="Q275" s="854"/>
      <c r="R275" s="854"/>
      <c r="S275" s="854"/>
      <c r="T275" s="854"/>
      <c r="U275" s="854"/>
      <c r="V275" s="854"/>
      <c r="W275" s="854"/>
      <c r="X275" s="854"/>
      <c r="Y275" s="854"/>
      <c r="Z275" s="855"/>
      <c r="AA275" s="382"/>
      <c r="AB275" s="382"/>
      <c r="AC275" s="382"/>
      <c r="AD275" s="382"/>
      <c r="AE275" s="382"/>
      <c r="AF275" s="382"/>
      <c r="AG275" s="382"/>
      <c r="AH275" s="382"/>
      <c r="AI275" s="382"/>
      <c r="AJ275" s="382"/>
      <c r="AK275" s="382"/>
      <c r="AL275" s="382"/>
      <c r="AM275" s="382"/>
      <c r="AN275" s="382"/>
      <c r="AO275" s="382"/>
    </row>
    <row r="276" spans="1:44" s="378" customFormat="1" ht="13.5" customHeight="1">
      <c r="A276" s="414"/>
      <c r="B276" s="437"/>
      <c r="C276" s="418"/>
      <c r="D276" s="418"/>
      <c r="E276" s="418"/>
      <c r="F276" s="418"/>
      <c r="G276" s="418"/>
      <c r="H276" s="438"/>
      <c r="I276" s="848"/>
      <c r="J276" s="849"/>
      <c r="K276" s="602" t="s">
        <v>459</v>
      </c>
      <c r="L276" s="603"/>
      <c r="M276" s="836" t="e">
        <f ca="1">OFFSET(INDIRECT(計算用２!$D$3),2,計算用２!$D$23)*$K$133</f>
        <v>#N/A</v>
      </c>
      <c r="N276" s="837"/>
      <c r="O276" s="853"/>
      <c r="P276" s="854"/>
      <c r="Q276" s="854"/>
      <c r="R276" s="854"/>
      <c r="S276" s="854"/>
      <c r="T276" s="854"/>
      <c r="U276" s="854"/>
      <c r="V276" s="854"/>
      <c r="W276" s="854"/>
      <c r="X276" s="854"/>
      <c r="Y276" s="854"/>
      <c r="Z276" s="855"/>
      <c r="AA276" s="382"/>
      <c r="AB276" s="382"/>
      <c r="AC276" s="382"/>
      <c r="AD276" s="382"/>
      <c r="AE276" s="382"/>
      <c r="AF276" s="382"/>
      <c r="AG276" s="382"/>
      <c r="AH276" s="382"/>
      <c r="AI276" s="382"/>
      <c r="AJ276" s="382"/>
      <c r="AK276" s="382"/>
      <c r="AL276" s="382"/>
      <c r="AM276" s="382"/>
      <c r="AN276" s="382"/>
      <c r="AO276" s="382"/>
      <c r="AP276" s="382"/>
      <c r="AQ276" s="382"/>
      <c r="AR276" s="382"/>
    </row>
    <row r="277" spans="1:44" s="378" customFormat="1" ht="13.5" customHeight="1">
      <c r="A277" s="414"/>
      <c r="B277" s="437"/>
      <c r="C277" s="418"/>
      <c r="D277" s="418"/>
      <c r="E277" s="418"/>
      <c r="F277" s="418"/>
      <c r="G277" s="418"/>
      <c r="H277" s="438"/>
      <c r="I277" s="584" t="s">
        <v>462</v>
      </c>
      <c r="J277" s="585"/>
      <c r="K277" s="602" t="s">
        <v>458</v>
      </c>
      <c r="L277" s="603"/>
      <c r="M277" s="836" t="e">
        <f ca="1">OFFSET(INDIRECT(計算用２!$D$3),3,計算用２!$D$22)*$K$133</f>
        <v>#N/A</v>
      </c>
      <c r="N277" s="837"/>
      <c r="O277" s="853"/>
      <c r="P277" s="854"/>
      <c r="Q277" s="854"/>
      <c r="R277" s="854"/>
      <c r="S277" s="854"/>
      <c r="T277" s="854"/>
      <c r="U277" s="854"/>
      <c r="V277" s="854"/>
      <c r="W277" s="854"/>
      <c r="X277" s="854"/>
      <c r="Y277" s="854"/>
      <c r="Z277" s="855"/>
      <c r="AA277" s="382"/>
      <c r="AB277" s="382"/>
      <c r="AC277" s="382"/>
      <c r="AD277" s="382"/>
      <c r="AE277" s="382"/>
      <c r="AF277" s="382"/>
      <c r="AG277" s="382"/>
      <c r="AH277" s="382"/>
      <c r="AI277" s="382"/>
      <c r="AJ277" s="382"/>
      <c r="AK277" s="382"/>
      <c r="AL277" s="382"/>
      <c r="AM277" s="382"/>
      <c r="AN277" s="382"/>
      <c r="AO277" s="382"/>
      <c r="AP277" s="382"/>
      <c r="AQ277" s="382"/>
      <c r="AR277" s="382"/>
    </row>
    <row r="278" spans="1:44" s="378" customFormat="1" ht="13.5" customHeight="1">
      <c r="A278" s="415"/>
      <c r="B278" s="437"/>
      <c r="C278" s="418"/>
      <c r="D278" s="418"/>
      <c r="E278" s="418"/>
      <c r="F278" s="418"/>
      <c r="G278" s="418"/>
      <c r="H278" s="438"/>
      <c r="I278" s="625"/>
      <c r="J278" s="626"/>
      <c r="K278" s="625" t="s">
        <v>459</v>
      </c>
      <c r="L278" s="626"/>
      <c r="M278" s="838" t="e">
        <f ca="1">OFFSET(INDIRECT(計算用２!$D$3),3,計算用２!$D$23)*$K$133</f>
        <v>#N/A</v>
      </c>
      <c r="N278" s="839"/>
      <c r="O278" s="853"/>
      <c r="P278" s="854"/>
      <c r="Q278" s="854"/>
      <c r="R278" s="854"/>
      <c r="S278" s="854"/>
      <c r="T278" s="854"/>
      <c r="U278" s="854"/>
      <c r="V278" s="854"/>
      <c r="W278" s="854"/>
      <c r="X278" s="854"/>
      <c r="Y278" s="854"/>
      <c r="Z278" s="855"/>
      <c r="AA278" s="382"/>
      <c r="AB278" s="382"/>
      <c r="AC278" s="382"/>
      <c r="AD278" s="382"/>
      <c r="AE278" s="382"/>
      <c r="AF278" s="382"/>
      <c r="AG278" s="382"/>
      <c r="AH278" s="382"/>
      <c r="AI278" s="382"/>
      <c r="AJ278" s="382"/>
      <c r="AK278" s="382"/>
      <c r="AL278" s="382"/>
      <c r="AM278" s="382"/>
      <c r="AN278" s="382"/>
      <c r="AO278" s="382"/>
      <c r="AP278" s="382"/>
      <c r="AQ278" s="382"/>
      <c r="AR278" s="382"/>
    </row>
    <row r="279" spans="1:44" s="378" customFormat="1" ht="13.5" hidden="1" customHeight="1">
      <c r="A279" s="678" t="s">
        <v>37</v>
      </c>
      <c r="B279" s="622" t="s">
        <v>463</v>
      </c>
      <c r="C279" s="623"/>
      <c r="D279" s="623"/>
      <c r="E279" s="623"/>
      <c r="F279" s="623"/>
      <c r="G279" s="623"/>
      <c r="H279" s="624"/>
      <c r="I279" s="746"/>
      <c r="J279" s="747"/>
      <c r="K279" s="719" t="s">
        <v>458</v>
      </c>
      <c r="L279" s="720"/>
      <c r="M279" s="639"/>
      <c r="N279" s="641"/>
      <c r="O279" s="635">
        <f ca="1">ROUNDDOWN(M281,-1)</f>
        <v>0</v>
      </c>
      <c r="P279" s="636"/>
      <c r="Q279" s="636"/>
      <c r="R279" s="658"/>
      <c r="S279" s="656">
        <f ca="1">ROUNDDOWN(M283,-1)</f>
        <v>0</v>
      </c>
      <c r="T279" s="657"/>
      <c r="U279" s="635">
        <f ca="1">ROUNDDOWN(M285,-1)</f>
        <v>0</v>
      </c>
      <c r="V279" s="636"/>
      <c r="W279" s="636">
        <f t="shared" ref="W279:W280" si="27">ROUNDDOWN(Q283*$K$130,-1)</f>
        <v>0</v>
      </c>
      <c r="X279" s="658"/>
      <c r="Y279" s="656">
        <f ca="1">ROUNDDOWN(M287,-1)</f>
        <v>0</v>
      </c>
      <c r="Z279" s="657"/>
      <c r="AA279" s="382"/>
      <c r="AB279" s="382"/>
      <c r="AC279" s="382"/>
      <c r="AD279" s="382"/>
      <c r="AE279" s="382"/>
      <c r="AF279" s="382"/>
      <c r="AG279" s="382"/>
      <c r="AH279" s="382"/>
      <c r="AI279" s="382"/>
      <c r="AJ279" s="382"/>
      <c r="AK279" s="382"/>
      <c r="AL279" s="382"/>
      <c r="AM279" s="382"/>
      <c r="AN279" s="382"/>
      <c r="AO279" s="382"/>
      <c r="AP279" s="382"/>
    </row>
    <row r="280" spans="1:44" s="378" customFormat="1" ht="13.5" hidden="1" customHeight="1">
      <c r="A280" s="615"/>
      <c r="B280" s="616"/>
      <c r="C280" s="617"/>
      <c r="D280" s="617"/>
      <c r="E280" s="617"/>
      <c r="F280" s="617"/>
      <c r="G280" s="617"/>
      <c r="H280" s="618"/>
      <c r="I280" s="746"/>
      <c r="J280" s="747"/>
      <c r="K280" s="584" t="s">
        <v>459</v>
      </c>
      <c r="L280" s="585"/>
      <c r="M280" s="834"/>
      <c r="N280" s="835"/>
      <c r="O280" s="586">
        <f ca="1">ROUNDDOWN(M282,-1)</f>
        <v>0</v>
      </c>
      <c r="P280" s="587"/>
      <c r="Q280" s="587"/>
      <c r="R280" s="588"/>
      <c r="S280" s="589">
        <f ca="1">ROUNDDOWN(M284,-1)</f>
        <v>0</v>
      </c>
      <c r="T280" s="590"/>
      <c r="U280" s="586">
        <f ca="1">ROUNDDOWN(M286,-1)</f>
        <v>0</v>
      </c>
      <c r="V280" s="587"/>
      <c r="W280" s="587">
        <f t="shared" si="27"/>
        <v>0</v>
      </c>
      <c r="X280" s="588"/>
      <c r="Y280" s="589">
        <f ca="1">ROUNDDOWN(M288,-1)</f>
        <v>0</v>
      </c>
      <c r="Z280" s="590"/>
      <c r="AA280" s="382"/>
      <c r="AB280" s="382"/>
      <c r="AC280" s="382"/>
      <c r="AD280" s="382"/>
      <c r="AE280" s="382"/>
      <c r="AF280" s="382"/>
      <c r="AG280" s="382"/>
      <c r="AH280" s="382"/>
      <c r="AI280" s="382"/>
      <c r="AJ280" s="382"/>
      <c r="AK280" s="382"/>
      <c r="AL280" s="382"/>
      <c r="AM280" s="382"/>
    </row>
    <row r="281" spans="1:44" s="378" customFormat="1" ht="13.5" hidden="1" customHeight="1">
      <c r="A281" s="414"/>
      <c r="B281" s="437"/>
      <c r="C281" s="418"/>
      <c r="D281" s="418"/>
      <c r="E281" s="418"/>
      <c r="F281" s="418"/>
      <c r="G281" s="418"/>
      <c r="H281" s="438"/>
      <c r="I281" s="584" t="s">
        <v>112</v>
      </c>
      <c r="J281" s="585"/>
      <c r="K281" s="584" t="s">
        <v>458</v>
      </c>
      <c r="L281" s="585"/>
      <c r="M281" s="836">
        <f ca="1">IFERROR(OFFSET(INDIRECT(計算用２!$D$4),0,計算用２!$D$22)*$K$133,0)</f>
        <v>0</v>
      </c>
      <c r="N281" s="837"/>
      <c r="O281" s="850"/>
      <c r="P281" s="851"/>
      <c r="Q281" s="851"/>
      <c r="R281" s="851"/>
      <c r="S281" s="851"/>
      <c r="T281" s="851"/>
      <c r="U281" s="851"/>
      <c r="V281" s="851"/>
      <c r="W281" s="851"/>
      <c r="X281" s="851"/>
      <c r="Y281" s="851"/>
      <c r="Z281" s="852"/>
      <c r="AA281" s="382"/>
      <c r="AB281" s="382"/>
      <c r="AC281" s="382"/>
      <c r="AD281" s="382"/>
      <c r="AE281" s="382"/>
      <c r="AF281" s="382"/>
      <c r="AG281" s="382"/>
      <c r="AH281" s="382"/>
      <c r="AI281" s="382"/>
      <c r="AJ281" s="382"/>
      <c r="AK281" s="382"/>
      <c r="AL281" s="382"/>
      <c r="AM281" s="382"/>
      <c r="AN281" s="382"/>
      <c r="AO281" s="382"/>
    </row>
    <row r="282" spans="1:44" s="378" customFormat="1" ht="13.5" hidden="1" customHeight="1">
      <c r="A282" s="414"/>
      <c r="B282" s="437"/>
      <c r="C282" s="418"/>
      <c r="D282" s="418"/>
      <c r="E282" s="418"/>
      <c r="F282" s="418"/>
      <c r="G282" s="418"/>
      <c r="H282" s="438"/>
      <c r="I282" s="848"/>
      <c r="J282" s="849"/>
      <c r="K282" s="602" t="s">
        <v>459</v>
      </c>
      <c r="L282" s="603"/>
      <c r="M282" s="836">
        <f ca="1">IFERROR(OFFSET(INDIRECT(計算用２!$D$4),0,計算用２!$D$23)*$K$133,0)</f>
        <v>0</v>
      </c>
      <c r="N282" s="837"/>
      <c r="O282" s="853"/>
      <c r="P282" s="854"/>
      <c r="Q282" s="854"/>
      <c r="R282" s="854"/>
      <c r="S282" s="854"/>
      <c r="T282" s="854"/>
      <c r="U282" s="854"/>
      <c r="V282" s="854"/>
      <c r="W282" s="854"/>
      <c r="X282" s="854"/>
      <c r="Y282" s="854"/>
      <c r="Z282" s="855"/>
      <c r="AA282" s="382"/>
      <c r="AB282" s="382"/>
      <c r="AC282" s="382"/>
      <c r="AD282" s="382"/>
      <c r="AE282" s="382"/>
      <c r="AF282" s="382"/>
      <c r="AG282" s="382"/>
      <c r="AH282" s="382"/>
      <c r="AI282" s="382"/>
      <c r="AJ282" s="382"/>
      <c r="AK282" s="382"/>
      <c r="AL282" s="382"/>
      <c r="AM282" s="382"/>
      <c r="AN282" s="382"/>
      <c r="AO282" s="382"/>
      <c r="AP282" s="382"/>
      <c r="AQ282" s="382"/>
      <c r="AR282" s="382"/>
    </row>
    <row r="283" spans="1:44" s="378" customFormat="1" ht="13.5" hidden="1" customHeight="1">
      <c r="A283" s="414"/>
      <c r="B283" s="437"/>
      <c r="C283" s="418"/>
      <c r="D283" s="418"/>
      <c r="E283" s="418"/>
      <c r="F283" s="418"/>
      <c r="G283" s="418"/>
      <c r="H283" s="438"/>
      <c r="I283" s="584" t="s">
        <v>464</v>
      </c>
      <c r="J283" s="585"/>
      <c r="K283" s="602" t="s">
        <v>458</v>
      </c>
      <c r="L283" s="603"/>
      <c r="M283" s="836">
        <f ca="1">IFERROR(OFFSET(INDIRECT(計算用２!$D$4),1,計算用２!$D$22)*$K$133,0)</f>
        <v>0</v>
      </c>
      <c r="N283" s="837"/>
      <c r="O283" s="853"/>
      <c r="P283" s="854"/>
      <c r="Q283" s="854"/>
      <c r="R283" s="854"/>
      <c r="S283" s="854"/>
      <c r="T283" s="854"/>
      <c r="U283" s="854"/>
      <c r="V283" s="854"/>
      <c r="W283" s="854"/>
      <c r="X283" s="854"/>
      <c r="Y283" s="854"/>
      <c r="Z283" s="855"/>
      <c r="AA283" s="382"/>
      <c r="AB283" s="382"/>
      <c r="AC283" s="382"/>
      <c r="AD283" s="382"/>
      <c r="AE283" s="382"/>
      <c r="AF283" s="382"/>
      <c r="AG283" s="382"/>
      <c r="AH283" s="382"/>
      <c r="AI283" s="382"/>
      <c r="AJ283" s="382"/>
      <c r="AK283" s="382"/>
      <c r="AL283" s="382"/>
      <c r="AM283" s="382"/>
      <c r="AN283" s="382"/>
      <c r="AO283" s="382"/>
    </row>
    <row r="284" spans="1:44" s="378" customFormat="1" ht="13.5" hidden="1" customHeight="1">
      <c r="A284" s="414"/>
      <c r="B284" s="437"/>
      <c r="C284" s="418"/>
      <c r="D284" s="418"/>
      <c r="E284" s="418"/>
      <c r="F284" s="418"/>
      <c r="G284" s="418"/>
      <c r="H284" s="438"/>
      <c r="I284" s="719"/>
      <c r="J284" s="720"/>
      <c r="K284" s="719" t="s">
        <v>459</v>
      </c>
      <c r="L284" s="720"/>
      <c r="M284" s="836">
        <f ca="1">IFERROR(OFFSET(INDIRECT(計算用２!$D$4),1,計算用２!$D$23)*$K$133,0)</f>
        <v>0</v>
      </c>
      <c r="N284" s="837"/>
      <c r="O284" s="853"/>
      <c r="P284" s="854"/>
      <c r="Q284" s="854"/>
      <c r="R284" s="854"/>
      <c r="S284" s="854"/>
      <c r="T284" s="854"/>
      <c r="U284" s="854"/>
      <c r="V284" s="854"/>
      <c r="W284" s="854"/>
      <c r="X284" s="854"/>
      <c r="Y284" s="854"/>
      <c r="Z284" s="855"/>
      <c r="AA284" s="382"/>
      <c r="AB284" s="382"/>
      <c r="AC284" s="382"/>
      <c r="AD284" s="382"/>
      <c r="AE284" s="382"/>
      <c r="AF284" s="382"/>
      <c r="AG284" s="382"/>
      <c r="AH284" s="382"/>
      <c r="AI284" s="382"/>
      <c r="AJ284" s="382"/>
      <c r="AK284" s="382"/>
      <c r="AL284" s="382"/>
      <c r="AM284" s="382"/>
      <c r="AN284" s="382"/>
      <c r="AO284" s="382"/>
    </row>
    <row r="285" spans="1:44" s="378" customFormat="1" ht="13.5" hidden="1" customHeight="1">
      <c r="A285" s="414"/>
      <c r="B285" s="437"/>
      <c r="C285" s="418"/>
      <c r="D285" s="418"/>
      <c r="E285" s="418"/>
      <c r="F285" s="418"/>
      <c r="G285" s="418"/>
      <c r="H285" s="438"/>
      <c r="I285" s="584" t="s">
        <v>461</v>
      </c>
      <c r="J285" s="585"/>
      <c r="K285" s="584" t="s">
        <v>458</v>
      </c>
      <c r="L285" s="585"/>
      <c r="M285" s="836">
        <f ca="1">IFERROR(OFFSET(INDIRECT(計算用２!$D$4),2,計算用２!$D$22)*$K$133,0)</f>
        <v>0</v>
      </c>
      <c r="N285" s="837"/>
      <c r="O285" s="853"/>
      <c r="P285" s="854"/>
      <c r="Q285" s="854"/>
      <c r="R285" s="854"/>
      <c r="S285" s="854"/>
      <c r="T285" s="854"/>
      <c r="U285" s="854"/>
      <c r="V285" s="854"/>
      <c r="W285" s="854"/>
      <c r="X285" s="854"/>
      <c r="Y285" s="854"/>
      <c r="Z285" s="855"/>
      <c r="AA285" s="382"/>
      <c r="AB285" s="382"/>
      <c r="AC285" s="382"/>
      <c r="AD285" s="382"/>
      <c r="AE285" s="382"/>
      <c r="AF285" s="382"/>
      <c r="AG285" s="382"/>
      <c r="AH285" s="382"/>
      <c r="AI285" s="382"/>
      <c r="AJ285" s="382"/>
      <c r="AK285" s="382"/>
      <c r="AL285" s="382"/>
      <c r="AM285" s="382"/>
      <c r="AN285" s="382"/>
      <c r="AO285" s="382"/>
    </row>
    <row r="286" spans="1:44" s="378" customFormat="1" ht="13.5" hidden="1" customHeight="1">
      <c r="A286" s="414"/>
      <c r="B286" s="437"/>
      <c r="C286" s="418"/>
      <c r="D286" s="418"/>
      <c r="E286" s="418"/>
      <c r="F286" s="418"/>
      <c r="G286" s="418"/>
      <c r="H286" s="438"/>
      <c r="I286" s="848"/>
      <c r="J286" s="849"/>
      <c r="K286" s="602" t="s">
        <v>459</v>
      </c>
      <c r="L286" s="603"/>
      <c r="M286" s="836">
        <f ca="1">IFERROR(OFFSET(INDIRECT(計算用２!$D$4),2,計算用２!$D$23)*$K$133,0)</f>
        <v>0</v>
      </c>
      <c r="N286" s="837"/>
      <c r="O286" s="853"/>
      <c r="P286" s="854"/>
      <c r="Q286" s="854"/>
      <c r="R286" s="854"/>
      <c r="S286" s="854"/>
      <c r="T286" s="854"/>
      <c r="U286" s="854"/>
      <c r="V286" s="854"/>
      <c r="W286" s="854"/>
      <c r="X286" s="854"/>
      <c r="Y286" s="854"/>
      <c r="Z286" s="855"/>
      <c r="AA286" s="382"/>
      <c r="AB286" s="382"/>
      <c r="AC286" s="382"/>
      <c r="AD286" s="382"/>
      <c r="AE286" s="382"/>
      <c r="AF286" s="382"/>
      <c r="AG286" s="382"/>
      <c r="AH286" s="382"/>
      <c r="AI286" s="382"/>
      <c r="AJ286" s="382"/>
      <c r="AK286" s="382"/>
      <c r="AL286" s="382"/>
      <c r="AM286" s="382"/>
      <c r="AN286" s="382"/>
      <c r="AO286" s="382"/>
      <c r="AP286" s="382"/>
      <c r="AQ286" s="382"/>
      <c r="AR286" s="382"/>
    </row>
    <row r="287" spans="1:44" s="378" customFormat="1" ht="13.5" hidden="1" customHeight="1">
      <c r="A287" s="414"/>
      <c r="B287" s="437"/>
      <c r="C287" s="418"/>
      <c r="D287" s="418"/>
      <c r="E287" s="418"/>
      <c r="F287" s="418"/>
      <c r="G287" s="418"/>
      <c r="H287" s="438"/>
      <c r="I287" s="584" t="s">
        <v>462</v>
      </c>
      <c r="J287" s="585"/>
      <c r="K287" s="602" t="s">
        <v>458</v>
      </c>
      <c r="L287" s="603"/>
      <c r="M287" s="836">
        <f ca="1">IFERROR(OFFSET(INDIRECT(計算用２!$D$4),3,計算用２!$D$22)*$K$133,0)</f>
        <v>0</v>
      </c>
      <c r="N287" s="837"/>
      <c r="O287" s="853"/>
      <c r="P287" s="854"/>
      <c r="Q287" s="854"/>
      <c r="R287" s="854"/>
      <c r="S287" s="854"/>
      <c r="T287" s="854"/>
      <c r="U287" s="854"/>
      <c r="V287" s="854"/>
      <c r="W287" s="854"/>
      <c r="X287" s="854"/>
      <c r="Y287" s="854"/>
      <c r="Z287" s="855"/>
      <c r="AA287" s="382"/>
      <c r="AB287" s="382"/>
      <c r="AC287" s="382"/>
      <c r="AD287" s="382"/>
      <c r="AE287" s="382"/>
      <c r="AF287" s="382"/>
      <c r="AG287" s="382"/>
      <c r="AH287" s="382"/>
      <c r="AI287" s="382"/>
      <c r="AJ287" s="382"/>
      <c r="AK287" s="382"/>
      <c r="AL287" s="382"/>
      <c r="AM287" s="382"/>
      <c r="AN287" s="382"/>
      <c r="AO287" s="382"/>
      <c r="AP287" s="382"/>
      <c r="AQ287" s="382"/>
      <c r="AR287" s="382"/>
    </row>
    <row r="288" spans="1:44" s="378" customFormat="1" ht="13.5" hidden="1" customHeight="1">
      <c r="A288" s="414"/>
      <c r="B288" s="439"/>
      <c r="C288" s="411"/>
      <c r="D288" s="411"/>
      <c r="E288" s="411"/>
      <c r="F288" s="411"/>
      <c r="G288" s="411"/>
      <c r="H288" s="440"/>
      <c r="I288" s="731"/>
      <c r="J288" s="732"/>
      <c r="K288" s="731" t="s">
        <v>459</v>
      </c>
      <c r="L288" s="732"/>
      <c r="M288" s="838">
        <f ca="1">IFERROR(OFFSET(INDIRECT(計算用２!$D$4),3,計算用２!$D$23)*$K$133,0)</f>
        <v>0</v>
      </c>
      <c r="N288" s="839"/>
      <c r="O288" s="856"/>
      <c r="P288" s="857"/>
      <c r="Q288" s="857"/>
      <c r="R288" s="857"/>
      <c r="S288" s="857"/>
      <c r="T288" s="857"/>
      <c r="U288" s="857"/>
      <c r="V288" s="857"/>
      <c r="W288" s="857"/>
      <c r="X288" s="857"/>
      <c r="Y288" s="857"/>
      <c r="Z288" s="858"/>
      <c r="AA288" s="382"/>
      <c r="AB288" s="382"/>
      <c r="AC288" s="382"/>
      <c r="AD288" s="382"/>
      <c r="AE288" s="382"/>
      <c r="AF288" s="382"/>
      <c r="AG288" s="382"/>
      <c r="AH288" s="382"/>
      <c r="AI288" s="382"/>
      <c r="AJ288" s="382"/>
      <c r="AK288" s="382"/>
      <c r="AL288" s="382"/>
      <c r="AM288" s="382"/>
      <c r="AN288" s="382"/>
      <c r="AO288" s="382"/>
      <c r="AP288" s="382"/>
      <c r="AQ288" s="382"/>
      <c r="AR288" s="382"/>
    </row>
    <row r="289" spans="1:41" s="378" customFormat="1" ht="13.5" customHeight="1">
      <c r="A289" s="412" t="s">
        <v>37</v>
      </c>
      <c r="B289" s="623" t="s">
        <v>407</v>
      </c>
      <c r="C289" s="623"/>
      <c r="D289" s="623"/>
      <c r="E289" s="623"/>
      <c r="F289" s="623"/>
      <c r="G289" s="623"/>
      <c r="H289" s="813"/>
      <c r="I289" s="814" t="s">
        <v>113</v>
      </c>
      <c r="J289" s="815"/>
      <c r="K289" s="815"/>
      <c r="L289" s="816"/>
      <c r="M289" s="817" t="e">
        <f ca="1">M290+M291</f>
        <v>#N/A</v>
      </c>
      <c r="N289" s="818"/>
      <c r="O289" s="819"/>
      <c r="P289" s="820"/>
      <c r="Q289" s="820"/>
      <c r="R289" s="820"/>
      <c r="S289" s="821" t="e">
        <f ca="1">SUM(S290:T291)</f>
        <v>#N/A</v>
      </c>
      <c r="T289" s="822"/>
      <c r="U289" s="823"/>
      <c r="V289" s="824"/>
      <c r="W289" s="824"/>
      <c r="X289" s="824"/>
      <c r="Y289" s="824"/>
      <c r="Z289" s="825"/>
      <c r="AA289" s="413" t="s">
        <v>114</v>
      </c>
      <c r="AB289" s="387" t="s">
        <v>113</v>
      </c>
    </row>
    <row r="290" spans="1:41" s="378" customFormat="1" ht="13.5" hidden="1" customHeight="1">
      <c r="A290" s="414"/>
      <c r="B290" s="794"/>
      <c r="C290" s="599" t="s">
        <v>115</v>
      </c>
      <c r="D290" s="600"/>
      <c r="E290" s="600"/>
      <c r="F290" s="600"/>
      <c r="G290" s="600"/>
      <c r="H290" s="601"/>
      <c r="I290" s="665"/>
      <c r="J290" s="666"/>
      <c r="K290" s="666"/>
      <c r="L290" s="667"/>
      <c r="M290" s="589" t="e">
        <f ca="1">OFFSET(INDIRECT(計算用２!D5),1,計算用２!D24)</f>
        <v>#N/A</v>
      </c>
      <c r="N290" s="590"/>
      <c r="O290" s="642"/>
      <c r="P290" s="643"/>
      <c r="Q290" s="643"/>
      <c r="R290" s="643"/>
      <c r="S290" s="832" t="e">
        <f ca="1">IF(I289="適用",ROUNDDOWN(M290,-1),0)</f>
        <v>#N/A</v>
      </c>
      <c r="T290" s="833"/>
      <c r="U290" s="826"/>
      <c r="V290" s="827"/>
      <c r="W290" s="827"/>
      <c r="X290" s="827"/>
      <c r="Y290" s="827"/>
      <c r="Z290" s="828"/>
      <c r="AA290" s="382"/>
    </row>
    <row r="291" spans="1:41" s="378" customFormat="1" ht="13.5" customHeight="1">
      <c r="A291" s="415"/>
      <c r="B291" s="795"/>
      <c r="C291" s="797" t="s">
        <v>7</v>
      </c>
      <c r="D291" s="681"/>
      <c r="E291" s="681"/>
      <c r="F291" s="681"/>
      <c r="G291" s="681"/>
      <c r="H291" s="682"/>
      <c r="I291" s="668"/>
      <c r="J291" s="669"/>
      <c r="K291" s="669"/>
      <c r="L291" s="670"/>
      <c r="M291" s="594" t="e">
        <f ca="1">OFFSET(INDIRECT(計算用２!D5),1,計算用２!D25)*$K$133</f>
        <v>#N/A</v>
      </c>
      <c r="N291" s="595"/>
      <c r="O291" s="645"/>
      <c r="P291" s="646"/>
      <c r="Q291" s="646"/>
      <c r="R291" s="646"/>
      <c r="S291" s="547" t="e">
        <f ca="1">IF(I289="適用",ROUNDDOWN(M291,-1),0)</f>
        <v>#N/A</v>
      </c>
      <c r="T291" s="687"/>
      <c r="U291" s="829"/>
      <c r="V291" s="830"/>
      <c r="W291" s="830"/>
      <c r="X291" s="830"/>
      <c r="Y291" s="830"/>
      <c r="Z291" s="831"/>
      <c r="AA291" s="382"/>
    </row>
    <row r="292" spans="1:41" s="378" customFormat="1" ht="13.5" customHeight="1">
      <c r="A292" s="678" t="s">
        <v>116</v>
      </c>
      <c r="B292" s="616" t="s">
        <v>465</v>
      </c>
      <c r="C292" s="617"/>
      <c r="D292" s="617"/>
      <c r="E292" s="617"/>
      <c r="F292" s="617"/>
      <c r="G292" s="617"/>
      <c r="H292" s="618"/>
      <c r="I292" s="609" t="s">
        <v>466</v>
      </c>
      <c r="J292" s="610"/>
      <c r="K292" s="842" t="s">
        <v>114</v>
      </c>
      <c r="L292" s="843"/>
      <c r="M292" s="846" t="e">
        <f ca="1">M294+M295</f>
        <v>#N/A</v>
      </c>
      <c r="N292" s="847"/>
      <c r="O292" s="571">
        <f>IF(K292="非適用",0,ROUNDDOWN(M292/P118,-1))</f>
        <v>0</v>
      </c>
      <c r="P292" s="572"/>
      <c r="Q292" s="572"/>
      <c r="R292" s="572"/>
      <c r="S292" s="572"/>
      <c r="T292" s="572"/>
      <c r="U292" s="572"/>
      <c r="V292" s="572"/>
      <c r="W292" s="572"/>
      <c r="X292" s="572"/>
      <c r="Y292" s="572"/>
      <c r="Z292" s="544"/>
      <c r="AA292" s="441" t="s">
        <v>114</v>
      </c>
      <c r="AB292" s="376" t="s">
        <v>467</v>
      </c>
      <c r="AC292" s="376" t="s">
        <v>468</v>
      </c>
      <c r="AD292" s="376" t="s">
        <v>469</v>
      </c>
      <c r="AE292" s="376" t="s">
        <v>470</v>
      </c>
      <c r="AF292" s="376" t="s">
        <v>471</v>
      </c>
      <c r="AG292" s="376" t="s">
        <v>472</v>
      </c>
      <c r="AH292" s="376" t="s">
        <v>473</v>
      </c>
      <c r="AI292" s="376" t="s">
        <v>474</v>
      </c>
      <c r="AJ292" s="376" t="s">
        <v>475</v>
      </c>
      <c r="AK292" s="376" t="s">
        <v>476</v>
      </c>
      <c r="AL292" s="376" t="s">
        <v>477</v>
      </c>
      <c r="AM292" s="376" t="s">
        <v>478</v>
      </c>
      <c r="AN292" s="376" t="s">
        <v>479</v>
      </c>
      <c r="AO292" s="376" t="s">
        <v>480</v>
      </c>
    </row>
    <row r="293" spans="1:41" s="378" customFormat="1" ht="13.5" customHeight="1">
      <c r="A293" s="615"/>
      <c r="B293" s="616"/>
      <c r="C293" s="617"/>
      <c r="D293" s="617"/>
      <c r="E293" s="617"/>
      <c r="F293" s="617"/>
      <c r="G293" s="617"/>
      <c r="H293" s="618"/>
      <c r="I293" s="840"/>
      <c r="J293" s="841"/>
      <c r="K293" s="844"/>
      <c r="L293" s="845"/>
      <c r="M293" s="699"/>
      <c r="N293" s="700"/>
      <c r="O293" s="752"/>
      <c r="P293" s="753"/>
      <c r="Q293" s="753"/>
      <c r="R293" s="753"/>
      <c r="S293" s="753"/>
      <c r="T293" s="753"/>
      <c r="U293" s="753"/>
      <c r="V293" s="753"/>
      <c r="W293" s="753"/>
      <c r="X293" s="753"/>
      <c r="Y293" s="753"/>
      <c r="Z293" s="754"/>
      <c r="AA293" s="442"/>
      <c r="AB293" s="360"/>
      <c r="AC293" s="360"/>
      <c r="AD293" s="360"/>
      <c r="AE293" s="360"/>
      <c r="AF293" s="360"/>
      <c r="AG293" s="360"/>
      <c r="AH293" s="360"/>
      <c r="AI293" s="360"/>
      <c r="AJ293" s="360"/>
      <c r="AK293" s="360"/>
      <c r="AL293" s="360"/>
      <c r="AM293" s="360"/>
      <c r="AN293" s="360"/>
      <c r="AO293" s="360"/>
    </row>
    <row r="294" spans="1:41" s="378" customFormat="1" ht="13.5" hidden="1" customHeight="1">
      <c r="A294" s="414"/>
      <c r="B294" s="810"/>
      <c r="C294" s="599" t="s">
        <v>115</v>
      </c>
      <c r="D294" s="600"/>
      <c r="E294" s="600"/>
      <c r="F294" s="600"/>
      <c r="G294" s="600"/>
      <c r="H294" s="601"/>
      <c r="I294" s="665"/>
      <c r="J294" s="666"/>
      <c r="K294" s="666"/>
      <c r="L294" s="667"/>
      <c r="M294" s="589" t="e">
        <f ca="1">OFFSET(INDIRECT(計算用２!$D$8&amp;7),16+18*4*計算用２!$D$19+3*計算用２!$D$28,計算用２!$D$26)</f>
        <v>#N/A</v>
      </c>
      <c r="N294" s="590"/>
      <c r="O294" s="596">
        <f>O292-O295</f>
        <v>0</v>
      </c>
      <c r="P294" s="597"/>
      <c r="Q294" s="597"/>
      <c r="R294" s="597"/>
      <c r="S294" s="597"/>
      <c r="T294" s="597"/>
      <c r="U294" s="597"/>
      <c r="V294" s="597"/>
      <c r="W294" s="597"/>
      <c r="X294" s="597"/>
      <c r="Y294" s="597"/>
      <c r="Z294" s="598"/>
      <c r="AA294" s="382"/>
    </row>
    <row r="295" spans="1:41" s="378" customFormat="1" ht="13.5" customHeight="1">
      <c r="A295" s="415"/>
      <c r="B295" s="811"/>
      <c r="C295" s="797" t="s">
        <v>7</v>
      </c>
      <c r="D295" s="681"/>
      <c r="E295" s="681"/>
      <c r="F295" s="681"/>
      <c r="G295" s="681"/>
      <c r="H295" s="682"/>
      <c r="I295" s="668"/>
      <c r="J295" s="669"/>
      <c r="K295" s="669"/>
      <c r="L295" s="670"/>
      <c r="M295" s="594" t="e">
        <f ca="1">OFFSET(INDIRECT(計算用２!$D$8&amp;7),16+18*4*計算用２!$D$19+3*計算用２!$D$28,計算用２!$D$27)*$K$133</f>
        <v>#N/A</v>
      </c>
      <c r="N295" s="595"/>
      <c r="O295" s="637">
        <f>IF(K292="非適用",0,ROUNDDOWN(M295/P118,-1))</f>
        <v>0</v>
      </c>
      <c r="P295" s="638"/>
      <c r="Q295" s="638"/>
      <c r="R295" s="638"/>
      <c r="S295" s="638"/>
      <c r="T295" s="638"/>
      <c r="U295" s="638"/>
      <c r="V295" s="638"/>
      <c r="W295" s="638"/>
      <c r="X295" s="638"/>
      <c r="Y295" s="638"/>
      <c r="Z295" s="812"/>
      <c r="AA295" s="382"/>
    </row>
    <row r="296" spans="1:41" s="378" customFormat="1" ht="13.5" customHeight="1">
      <c r="A296" s="678" t="s">
        <v>37</v>
      </c>
      <c r="B296" s="617" t="s">
        <v>481</v>
      </c>
      <c r="C296" s="617"/>
      <c r="D296" s="617"/>
      <c r="E296" s="617"/>
      <c r="F296" s="617"/>
      <c r="G296" s="617"/>
      <c r="H296" s="618"/>
      <c r="I296" s="651" t="s">
        <v>114</v>
      </c>
      <c r="J296" s="653"/>
      <c r="K296" s="683" t="s">
        <v>482</v>
      </c>
      <c r="L296" s="685"/>
      <c r="M296" s="589" t="e">
        <f ca="1">M298+M300</f>
        <v>#N/A</v>
      </c>
      <c r="N296" s="590"/>
      <c r="O296" s="635">
        <f>O298+O300</f>
        <v>0</v>
      </c>
      <c r="P296" s="636"/>
      <c r="Q296" s="636"/>
      <c r="R296" s="636"/>
      <c r="S296" s="636"/>
      <c r="T296" s="658"/>
      <c r="U296" s="639"/>
      <c r="V296" s="640"/>
      <c r="W296" s="640"/>
      <c r="X296" s="640"/>
      <c r="Y296" s="640"/>
      <c r="Z296" s="641"/>
      <c r="AA296" s="382"/>
    </row>
    <row r="297" spans="1:41" s="378" customFormat="1" ht="13.5" customHeight="1">
      <c r="A297" s="615"/>
      <c r="B297" s="617"/>
      <c r="C297" s="617"/>
      <c r="D297" s="617"/>
      <c r="E297" s="617"/>
      <c r="F297" s="617"/>
      <c r="G297" s="617"/>
      <c r="H297" s="618"/>
      <c r="I297" s="808"/>
      <c r="J297" s="809"/>
      <c r="K297" s="798" t="s">
        <v>483</v>
      </c>
      <c r="L297" s="799"/>
      <c r="M297" s="589" t="e">
        <f ca="1">M299+M300</f>
        <v>#N/A</v>
      </c>
      <c r="N297" s="590"/>
      <c r="O297" s="800"/>
      <c r="P297" s="801"/>
      <c r="Q297" s="801"/>
      <c r="R297" s="801"/>
      <c r="S297" s="801"/>
      <c r="T297" s="802"/>
      <c r="U297" s="586">
        <f>U299+O300</f>
        <v>0</v>
      </c>
      <c r="V297" s="587"/>
      <c r="W297" s="587"/>
      <c r="X297" s="587"/>
      <c r="Y297" s="587"/>
      <c r="Z297" s="588"/>
      <c r="AA297" s="382"/>
    </row>
    <row r="298" spans="1:41" s="378" customFormat="1" ht="13.5" hidden="1" customHeight="1">
      <c r="A298" s="414"/>
      <c r="B298" s="794"/>
      <c r="C298" s="707" t="s">
        <v>115</v>
      </c>
      <c r="D298" s="708"/>
      <c r="E298" s="708"/>
      <c r="F298" s="708"/>
      <c r="G298" s="708"/>
      <c r="H298" s="709"/>
      <c r="I298" s="665"/>
      <c r="J298" s="667"/>
      <c r="K298" s="798" t="s">
        <v>482</v>
      </c>
      <c r="L298" s="799"/>
      <c r="M298" s="589" t="e">
        <f ca="1">OFFSET(INDIRECT(計算用２!$D$5),0,計算用２!$D$29)</f>
        <v>#N/A</v>
      </c>
      <c r="N298" s="590"/>
      <c r="O298" s="596">
        <f>IF(I296="適用",ROUNDDOWN(M298,-1),0)</f>
        <v>0</v>
      </c>
      <c r="P298" s="597"/>
      <c r="Q298" s="597"/>
      <c r="R298" s="597"/>
      <c r="S298" s="597"/>
      <c r="T298" s="598"/>
      <c r="U298" s="800"/>
      <c r="V298" s="801"/>
      <c r="W298" s="801"/>
      <c r="X298" s="801"/>
      <c r="Y298" s="801"/>
      <c r="Z298" s="802"/>
      <c r="AA298" s="382"/>
    </row>
    <row r="299" spans="1:41" s="378" customFormat="1" ht="13.5" hidden="1" customHeight="1">
      <c r="A299" s="414"/>
      <c r="B299" s="794"/>
      <c r="C299" s="710"/>
      <c r="D299" s="711"/>
      <c r="E299" s="711"/>
      <c r="F299" s="711"/>
      <c r="G299" s="711"/>
      <c r="H299" s="712"/>
      <c r="I299" s="746"/>
      <c r="J299" s="747"/>
      <c r="K299" s="798" t="s">
        <v>483</v>
      </c>
      <c r="L299" s="799"/>
      <c r="M299" s="589" t="e">
        <f ca="1">OFFSET(INDIRECT(計算用２!$D$5),2,計算用２!$D$29)</f>
        <v>#N/A</v>
      </c>
      <c r="N299" s="590"/>
      <c r="O299" s="800"/>
      <c r="P299" s="801"/>
      <c r="Q299" s="801"/>
      <c r="R299" s="801"/>
      <c r="S299" s="801"/>
      <c r="T299" s="802"/>
      <c r="U299" s="803">
        <f>IF(I296="適用",ROUNDDOWN(M299,-1),0)</f>
        <v>0</v>
      </c>
      <c r="V299" s="804"/>
      <c r="W299" s="804"/>
      <c r="X299" s="804"/>
      <c r="Y299" s="804"/>
      <c r="Z299" s="805"/>
      <c r="AA299" s="382"/>
    </row>
    <row r="300" spans="1:41" s="378" customFormat="1" ht="13.5" customHeight="1">
      <c r="A300" s="415"/>
      <c r="B300" s="795"/>
      <c r="C300" s="797" t="s">
        <v>7</v>
      </c>
      <c r="D300" s="681"/>
      <c r="E300" s="681"/>
      <c r="F300" s="681"/>
      <c r="G300" s="681"/>
      <c r="H300" s="682"/>
      <c r="I300" s="668"/>
      <c r="J300" s="670"/>
      <c r="K300" s="806"/>
      <c r="L300" s="807"/>
      <c r="M300" s="594" t="e">
        <f ca="1">OFFSET(INDIRECT(計算用２!$D$5),0,計算用２!$D$30)*$K$133</f>
        <v>#N/A</v>
      </c>
      <c r="N300" s="595"/>
      <c r="O300" s="686">
        <f>IF(I296="適用",ROUNDDOWN(M300,-1),0)</f>
        <v>0</v>
      </c>
      <c r="P300" s="687"/>
      <c r="Q300" s="687"/>
      <c r="R300" s="687"/>
      <c r="S300" s="687"/>
      <c r="T300" s="687"/>
      <c r="U300" s="687"/>
      <c r="V300" s="687"/>
      <c r="W300" s="687"/>
      <c r="X300" s="687"/>
      <c r="Y300" s="687"/>
      <c r="Z300" s="548"/>
      <c r="AA300" s="382"/>
    </row>
    <row r="301" spans="1:41" s="378" customFormat="1" ht="13.5" customHeight="1">
      <c r="A301" s="412" t="s">
        <v>37</v>
      </c>
      <c r="B301" s="617" t="s">
        <v>410</v>
      </c>
      <c r="C301" s="617"/>
      <c r="D301" s="617"/>
      <c r="E301" s="617"/>
      <c r="F301" s="617"/>
      <c r="G301" s="617"/>
      <c r="H301" s="618"/>
      <c r="I301" s="683" t="s">
        <v>46</v>
      </c>
      <c r="J301" s="685"/>
      <c r="K301" s="722"/>
      <c r="L301" s="723"/>
      <c r="M301" s="589" t="e">
        <f ca="1">M302+M303</f>
        <v>#N/A</v>
      </c>
      <c r="N301" s="590"/>
      <c r="O301" s="635" t="e">
        <f ca="1">SUM(O302:Z303)</f>
        <v>#N/A</v>
      </c>
      <c r="P301" s="636"/>
      <c r="Q301" s="636"/>
      <c r="R301" s="636"/>
      <c r="S301" s="636"/>
      <c r="T301" s="636"/>
      <c r="U301" s="639"/>
      <c r="V301" s="640"/>
      <c r="W301" s="640"/>
      <c r="X301" s="640"/>
      <c r="Y301" s="640"/>
      <c r="Z301" s="641"/>
      <c r="AA301" s="443">
        <v>0</v>
      </c>
      <c r="AB301" s="413">
        <v>1</v>
      </c>
      <c r="AC301" s="387">
        <v>2</v>
      </c>
      <c r="AD301" s="387">
        <v>3</v>
      </c>
      <c r="AE301" s="387">
        <v>3.5</v>
      </c>
      <c r="AF301" s="387">
        <v>4</v>
      </c>
      <c r="AG301" s="387">
        <v>4.5</v>
      </c>
      <c r="AH301" s="387">
        <v>5</v>
      </c>
      <c r="AI301" s="387">
        <v>5.5</v>
      </c>
      <c r="AJ301" s="387">
        <v>6</v>
      </c>
      <c r="AK301" s="387">
        <v>6.5</v>
      </c>
      <c r="AL301" s="387">
        <v>7</v>
      </c>
      <c r="AM301" s="387">
        <v>7.5</v>
      </c>
      <c r="AN301" s="387">
        <v>8</v>
      </c>
    </row>
    <row r="302" spans="1:41" s="378" customFormat="1" ht="13.5" hidden="1" customHeight="1">
      <c r="A302" s="414"/>
      <c r="B302" s="794"/>
      <c r="C302" s="599" t="s">
        <v>115</v>
      </c>
      <c r="D302" s="600"/>
      <c r="E302" s="600"/>
      <c r="F302" s="600"/>
      <c r="G302" s="600"/>
      <c r="H302" s="601"/>
      <c r="I302" s="746"/>
      <c r="J302" s="796"/>
      <c r="K302" s="796"/>
      <c r="L302" s="747"/>
      <c r="M302" s="589" t="e">
        <f ca="1">OFFSET(INDIRECT(計算用２!$D$6),2,計算用２!D31)</f>
        <v>#N/A</v>
      </c>
      <c r="N302" s="590"/>
      <c r="O302" s="596">
        <f>IF(K301&gt;0,ROUNDDOWN(M302*K301,-1),0)</f>
        <v>0</v>
      </c>
      <c r="P302" s="597"/>
      <c r="Q302" s="597"/>
      <c r="R302" s="597"/>
      <c r="S302" s="597"/>
      <c r="T302" s="597"/>
      <c r="U302" s="642"/>
      <c r="V302" s="643"/>
      <c r="W302" s="643"/>
      <c r="X302" s="643"/>
      <c r="Y302" s="643"/>
      <c r="Z302" s="644"/>
    </row>
    <row r="303" spans="1:41" s="378" customFormat="1" ht="13.5" customHeight="1">
      <c r="A303" s="415"/>
      <c r="B303" s="795"/>
      <c r="C303" s="797" t="s">
        <v>7</v>
      </c>
      <c r="D303" s="681"/>
      <c r="E303" s="681"/>
      <c r="F303" s="681"/>
      <c r="G303" s="681"/>
      <c r="H303" s="682"/>
      <c r="I303" s="668"/>
      <c r="J303" s="669"/>
      <c r="K303" s="669"/>
      <c r="L303" s="670"/>
      <c r="M303" s="594" t="e">
        <f ca="1">OFFSET(INDIRECT(計算用２!$D$6),0,計算用２!D32)*$K$133</f>
        <v>#N/A</v>
      </c>
      <c r="N303" s="595"/>
      <c r="O303" s="637" t="e">
        <f ca="1">ROUNDDOWN(M303*K301,-1)</f>
        <v>#N/A</v>
      </c>
      <c r="P303" s="638"/>
      <c r="Q303" s="638"/>
      <c r="R303" s="638"/>
      <c r="S303" s="638"/>
      <c r="T303" s="638"/>
      <c r="U303" s="645"/>
      <c r="V303" s="646"/>
      <c r="W303" s="646"/>
      <c r="X303" s="646"/>
      <c r="Y303" s="646"/>
      <c r="Z303" s="647"/>
    </row>
    <row r="304" spans="1:41" s="378" customFormat="1" ht="13.5" customHeight="1">
      <c r="A304" s="444" t="s">
        <v>37</v>
      </c>
      <c r="B304" s="616" t="s">
        <v>484</v>
      </c>
      <c r="C304" s="617"/>
      <c r="D304" s="617"/>
      <c r="E304" s="617"/>
      <c r="F304" s="617"/>
      <c r="G304" s="617"/>
      <c r="H304" s="618"/>
      <c r="I304" s="609" t="s">
        <v>117</v>
      </c>
      <c r="J304" s="608"/>
      <c r="K304" s="788" t="s">
        <v>114</v>
      </c>
      <c r="L304" s="789"/>
      <c r="M304" s="571" t="e">
        <f ca="1">IF(OR(A125="子どものための教育・保育給付請求明細書（幼保連携型認定こども園）",A125="子どものための教育・保育給付請求明細書（保育所型認定こども園）"),OFFSET(INDIRECT(計算用２!D5),0,計算用２!D33+計算用２!D34),OFFSET(INDIRECT(計算用２!D5),0,計算用２!D33+計算用２!D34+2))</f>
        <v>#N/A</v>
      </c>
      <c r="N304" s="544"/>
      <c r="O304" s="571">
        <f>IF(OR(K304="非適用",K304=""),0,ROUNDDOWN(M304,-1))</f>
        <v>0</v>
      </c>
      <c r="P304" s="572"/>
      <c r="Q304" s="572"/>
      <c r="R304" s="572"/>
      <c r="S304" s="572"/>
      <c r="T304" s="572"/>
      <c r="U304" s="572"/>
      <c r="V304" s="572"/>
      <c r="W304" s="572"/>
      <c r="X304" s="572"/>
      <c r="Y304" s="572"/>
      <c r="Z304" s="572"/>
      <c r="AA304" s="387" t="s">
        <v>114</v>
      </c>
      <c r="AB304" s="387" t="s">
        <v>542</v>
      </c>
      <c r="AC304" s="387" t="s">
        <v>543</v>
      </c>
    </row>
    <row r="305" spans="1:30" s="378" customFormat="1" ht="13.5" customHeight="1">
      <c r="A305" s="678" t="s">
        <v>37</v>
      </c>
      <c r="B305" s="623" t="s">
        <v>486</v>
      </c>
      <c r="C305" s="623"/>
      <c r="D305" s="623"/>
      <c r="E305" s="623"/>
      <c r="F305" s="623"/>
      <c r="G305" s="623"/>
      <c r="H305" s="624"/>
      <c r="I305" s="609" t="s">
        <v>117</v>
      </c>
      <c r="J305" s="608"/>
      <c r="K305" s="792" t="s">
        <v>114</v>
      </c>
      <c r="L305" s="793"/>
      <c r="M305" s="571" t="e">
        <f ca="1">IF(OR(A125="子どものための教育・保育給付請求明細書（幼保連携型認定こども園）",A125="子どものための教育・保育給付請求明細書（保育所型認定こども園）"),OFFSET(INDIRECT(計算用２!D5),計算用２!D37,計算用２!D35+計算用２!D36),OFFSET(INDIRECT(計算用２!D5),計算用２!D37,計算用２!D35+計算用２!D36+2))</f>
        <v>#N/A</v>
      </c>
      <c r="N305" s="544"/>
      <c r="O305" s="571">
        <f>IF(OR(K305="非適用",K305=""),0,ROUNDDOWN(M305,-1))</f>
        <v>0</v>
      </c>
      <c r="P305" s="572"/>
      <c r="Q305" s="572"/>
      <c r="R305" s="572"/>
      <c r="S305" s="572"/>
      <c r="T305" s="572"/>
      <c r="U305" s="572"/>
      <c r="V305" s="572"/>
      <c r="W305" s="572"/>
      <c r="X305" s="572"/>
      <c r="Y305" s="572"/>
      <c r="Z305" s="544"/>
    </row>
    <row r="306" spans="1:30" s="378" customFormat="1" ht="13.5" customHeight="1">
      <c r="A306" s="615"/>
      <c r="B306" s="617"/>
      <c r="C306" s="617"/>
      <c r="D306" s="617"/>
      <c r="E306" s="617"/>
      <c r="F306" s="617"/>
      <c r="G306" s="617"/>
      <c r="H306" s="618"/>
      <c r="I306" s="790"/>
      <c r="J306" s="791"/>
      <c r="K306" s="788"/>
      <c r="L306" s="789"/>
      <c r="M306" s="576"/>
      <c r="N306" s="546"/>
      <c r="O306" s="576"/>
      <c r="P306" s="577"/>
      <c r="Q306" s="577"/>
      <c r="R306" s="577"/>
      <c r="S306" s="577"/>
      <c r="T306" s="577"/>
      <c r="U306" s="577"/>
      <c r="V306" s="577"/>
      <c r="W306" s="577"/>
      <c r="X306" s="577"/>
      <c r="Y306" s="577"/>
      <c r="Z306" s="546"/>
      <c r="AA306" s="413" t="s">
        <v>487</v>
      </c>
      <c r="AB306" s="387" t="s">
        <v>488</v>
      </c>
      <c r="AC306" s="387" t="s">
        <v>489</v>
      </c>
      <c r="AD306" s="387" t="s">
        <v>490</v>
      </c>
    </row>
    <row r="307" spans="1:30" s="378" customFormat="1" ht="13.5" customHeight="1">
      <c r="A307" s="417"/>
      <c r="B307" s="648" t="s">
        <v>396</v>
      </c>
      <c r="C307" s="649"/>
      <c r="D307" s="649"/>
      <c r="E307" s="649"/>
      <c r="F307" s="649"/>
      <c r="G307" s="649"/>
      <c r="H307" s="650"/>
      <c r="I307" s="659" t="s">
        <v>114</v>
      </c>
      <c r="J307" s="660"/>
      <c r="K307" s="660"/>
      <c r="L307" s="661"/>
      <c r="M307" s="654" t="e">
        <f ca="1">OFFSET(INDIRECT(計算用２!D7),0,計算用２!D38)</f>
        <v>#N/A</v>
      </c>
      <c r="N307" s="655"/>
      <c r="O307" s="569">
        <f>IF(AND(I307="適用",OR(U126=3,X126=3)),ROUNDDOWN(M307,-1),0)</f>
        <v>0</v>
      </c>
      <c r="P307" s="634"/>
      <c r="Q307" s="634"/>
      <c r="R307" s="634"/>
      <c r="S307" s="634"/>
      <c r="T307" s="634"/>
      <c r="U307" s="634"/>
      <c r="V307" s="634"/>
      <c r="W307" s="634"/>
      <c r="X307" s="634"/>
      <c r="Y307" s="634"/>
      <c r="Z307" s="570"/>
    </row>
    <row r="308" spans="1:30" s="378" customFormat="1" ht="13.5" customHeight="1">
      <c r="A308" s="417" t="s">
        <v>37</v>
      </c>
      <c r="B308" s="980" t="s">
        <v>118</v>
      </c>
      <c r="C308" s="980"/>
      <c r="D308" s="980"/>
      <c r="E308" s="980"/>
      <c r="F308" s="980"/>
      <c r="G308" s="980"/>
      <c r="H308" s="981"/>
      <c r="I308" s="651" t="s">
        <v>113</v>
      </c>
      <c r="J308" s="652"/>
      <c r="K308" s="652"/>
      <c r="L308" s="653"/>
      <c r="M308" s="989" t="e">
        <f ca="1">OFFSET(INDIRECT(計算用２!D5),0,計算用２!D39)</f>
        <v>#N/A</v>
      </c>
      <c r="N308" s="990"/>
      <c r="O308" s="991" t="e">
        <f ca="1">IF(I308="適用",ROUNDDOWN(M308,-1),0)</f>
        <v>#N/A</v>
      </c>
      <c r="P308" s="992"/>
      <c r="Q308" s="992"/>
      <c r="R308" s="992"/>
      <c r="S308" s="992"/>
      <c r="T308" s="992"/>
      <c r="U308" s="992"/>
      <c r="V308" s="992"/>
      <c r="W308" s="992"/>
      <c r="X308" s="992"/>
      <c r="Y308" s="992"/>
      <c r="Z308" s="993"/>
    </row>
    <row r="309" spans="1:30" s="378" customFormat="1" ht="13.5" customHeight="1">
      <c r="A309" s="418"/>
      <c r="B309" s="407"/>
      <c r="C309" s="407"/>
      <c r="D309" s="407"/>
      <c r="E309" s="407"/>
      <c r="F309" s="407"/>
      <c r="G309" s="407"/>
      <c r="H309" s="407"/>
      <c r="I309" s="408"/>
      <c r="J309" s="408"/>
      <c r="K309" s="408"/>
      <c r="L309" s="408"/>
      <c r="M309" s="408"/>
      <c r="N309" s="408"/>
      <c r="O309" s="409"/>
      <c r="P309" s="409"/>
      <c r="Q309" s="409"/>
      <c r="R309" s="409"/>
      <c r="S309" s="409"/>
      <c r="T309" s="409"/>
      <c r="U309" s="409"/>
      <c r="V309" s="409"/>
      <c r="W309" s="409"/>
      <c r="X309" s="409"/>
      <c r="Y309" s="409"/>
      <c r="Z309" s="409"/>
    </row>
    <row r="310" spans="1:30" s="378" customFormat="1" ht="13.5" customHeight="1">
      <c r="A310" s="419" t="s">
        <v>634</v>
      </c>
      <c r="B310" s="419"/>
      <c r="C310" s="419"/>
      <c r="D310" s="419"/>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row>
    <row r="311" spans="1:30" s="378" customFormat="1" ht="13.5" customHeight="1">
      <c r="A311" s="614" t="s">
        <v>3</v>
      </c>
      <c r="B311" s="611"/>
      <c r="C311" s="611"/>
      <c r="D311" s="611"/>
      <c r="E311" s="611"/>
      <c r="F311" s="611"/>
      <c r="G311" s="611"/>
      <c r="H311" s="612"/>
      <c r="I311" s="614" t="s">
        <v>6</v>
      </c>
      <c r="J311" s="611"/>
      <c r="K311" s="611"/>
      <c r="L311" s="612"/>
      <c r="M311" s="611" t="s">
        <v>107</v>
      </c>
      <c r="N311" s="612"/>
      <c r="O311" s="609" t="s">
        <v>108</v>
      </c>
      <c r="P311" s="608"/>
      <c r="Q311" s="609" t="s">
        <v>109</v>
      </c>
      <c r="R311" s="608"/>
      <c r="S311" s="582" t="s">
        <v>110</v>
      </c>
      <c r="T311" s="583"/>
      <c r="U311" s="608" t="s">
        <v>455</v>
      </c>
      <c r="V311" s="608"/>
      <c r="W311" s="609" t="s">
        <v>456</v>
      </c>
      <c r="X311" s="608"/>
      <c r="Y311" s="609" t="s">
        <v>457</v>
      </c>
      <c r="Z311" s="610"/>
      <c r="AA311" s="382"/>
    </row>
    <row r="312" spans="1:30" s="378" customFormat="1" ht="13.5" customHeight="1">
      <c r="A312" s="412" t="s">
        <v>37</v>
      </c>
      <c r="B312" s="623" t="s">
        <v>632</v>
      </c>
      <c r="C312" s="623"/>
      <c r="D312" s="623"/>
      <c r="E312" s="623"/>
      <c r="F312" s="623"/>
      <c r="G312" s="623"/>
      <c r="H312" s="813"/>
      <c r="I312" s="1082" t="str">
        <f>IF(P114=0,"適用","非適用")</f>
        <v>適用</v>
      </c>
      <c r="J312" s="1083"/>
      <c r="K312" s="1083"/>
      <c r="L312" s="1084"/>
      <c r="M312" s="817" t="e">
        <f ca="1">M313+M314</f>
        <v>#N/A</v>
      </c>
      <c r="N312" s="818"/>
      <c r="O312" s="635" t="e">
        <f ca="1">SUM(O313:Z314)</f>
        <v>#N/A</v>
      </c>
      <c r="P312" s="636"/>
      <c r="Q312" s="636"/>
      <c r="R312" s="636"/>
      <c r="S312" s="636"/>
      <c r="T312" s="636"/>
      <c r="U312" s="636"/>
      <c r="V312" s="636"/>
      <c r="W312" s="636"/>
      <c r="X312" s="636"/>
      <c r="Y312" s="636"/>
      <c r="Z312" s="658"/>
    </row>
    <row r="313" spans="1:30" s="378" customFormat="1" ht="13.5" customHeight="1">
      <c r="A313" s="414"/>
      <c r="B313" s="794"/>
      <c r="C313" s="599" t="s">
        <v>115</v>
      </c>
      <c r="D313" s="600"/>
      <c r="E313" s="600"/>
      <c r="F313" s="600"/>
      <c r="G313" s="600"/>
      <c r="H313" s="601"/>
      <c r="I313" s="665"/>
      <c r="J313" s="666"/>
      <c r="K313" s="666"/>
      <c r="L313" s="667"/>
      <c r="M313" s="589" t="e">
        <f ca="1">-OFFSET(INDIRECT(計算用２!D5),0,計算用２!D40)</f>
        <v>#N/A</v>
      </c>
      <c r="N313" s="590"/>
      <c r="O313" s="596" t="e">
        <f ca="1">IF(I312="適用",ROUNDDOWN(M313,-1),0)</f>
        <v>#N/A</v>
      </c>
      <c r="P313" s="597"/>
      <c r="Q313" s="597"/>
      <c r="R313" s="597"/>
      <c r="S313" s="597"/>
      <c r="T313" s="597"/>
      <c r="U313" s="597"/>
      <c r="V313" s="597"/>
      <c r="W313" s="597"/>
      <c r="X313" s="597"/>
      <c r="Y313" s="597"/>
      <c r="Z313" s="598"/>
      <c r="AA313" s="382"/>
    </row>
    <row r="314" spans="1:30" s="378" customFormat="1" ht="13.5" customHeight="1">
      <c r="A314" s="415"/>
      <c r="B314" s="795"/>
      <c r="C314" s="797" t="s">
        <v>7</v>
      </c>
      <c r="D314" s="681"/>
      <c r="E314" s="681"/>
      <c r="F314" s="681"/>
      <c r="G314" s="681"/>
      <c r="H314" s="682"/>
      <c r="I314" s="668"/>
      <c r="J314" s="669"/>
      <c r="K314" s="669"/>
      <c r="L314" s="670"/>
      <c r="M314" s="594" t="e">
        <f ca="1">-OFFSET(INDIRECT(計算用２!D5),0,計算用２!D41)*$K$133</f>
        <v>#N/A</v>
      </c>
      <c r="N314" s="595"/>
      <c r="O314" s="637" t="e">
        <f ca="1">IF(I312="適用",ROUNDDOWN(M314,-1),0)</f>
        <v>#N/A</v>
      </c>
      <c r="P314" s="638"/>
      <c r="Q314" s="638"/>
      <c r="R314" s="638"/>
      <c r="S314" s="638"/>
      <c r="T314" s="638"/>
      <c r="U314" s="638"/>
      <c r="V314" s="638"/>
      <c r="W314" s="638"/>
      <c r="X314" s="638"/>
      <c r="Y314" s="638"/>
      <c r="Z314" s="812"/>
      <c r="AA314" s="382"/>
    </row>
    <row r="315" spans="1:30" s="378" customFormat="1" ht="13.5" hidden="1" customHeight="1">
      <c r="A315" s="678" t="s">
        <v>37</v>
      </c>
      <c r="B315" s="622" t="s">
        <v>491</v>
      </c>
      <c r="C315" s="623"/>
      <c r="D315" s="623"/>
      <c r="E315" s="623"/>
      <c r="F315" s="623"/>
      <c r="G315" s="623"/>
      <c r="H315" s="624"/>
      <c r="I315" s="776"/>
      <c r="J315" s="1085"/>
      <c r="K315" s="584" t="s">
        <v>458</v>
      </c>
      <c r="L315" s="585"/>
      <c r="M315" s="1086" t="e">
        <f ca="1">-OFFSET(INDIRECT(計算用２!D8&amp;計算用２!D19*72+7),36,計算用２!D42)</f>
        <v>#N/A</v>
      </c>
      <c r="N315" s="1087"/>
      <c r="O315" s="586" t="e">
        <f ca="1">ROUNDDOWN(SUM(O263,O279)*M315,-1)</f>
        <v>#N/A</v>
      </c>
      <c r="P315" s="587"/>
      <c r="Q315" s="587"/>
      <c r="R315" s="588"/>
      <c r="S315" s="589" t="e">
        <f ca="1">ROUNDDOWN(SUM(S263,S279)*M315,-1)</f>
        <v>#N/A</v>
      </c>
      <c r="T315" s="590"/>
      <c r="U315" s="586" t="e">
        <f ca="1">ROUNDDOWN(SUM(U263,U279)*M315,-1)</f>
        <v>#N/A</v>
      </c>
      <c r="V315" s="587"/>
      <c r="W315" s="587"/>
      <c r="X315" s="588"/>
      <c r="Y315" s="589" t="e">
        <f ca="1">ROUNDDOWN(SUM(Y263,Y279)*M315,-1)</f>
        <v>#N/A</v>
      </c>
      <c r="Z315" s="590"/>
    </row>
    <row r="316" spans="1:30" s="378" customFormat="1" ht="13.5" hidden="1" customHeight="1">
      <c r="A316" s="615"/>
      <c r="B316" s="616"/>
      <c r="C316" s="617"/>
      <c r="D316" s="617"/>
      <c r="E316" s="617"/>
      <c r="F316" s="617"/>
      <c r="G316" s="617"/>
      <c r="H316" s="618"/>
      <c r="I316" s="746"/>
      <c r="J316" s="796"/>
      <c r="K316" s="602" t="s">
        <v>459</v>
      </c>
      <c r="L316" s="603"/>
      <c r="M316" s="770"/>
      <c r="N316" s="771"/>
      <c r="O316" s="586" t="e">
        <f ca="1">ROUNDDOWN(SUM(O264,O280)*M315,-1)</f>
        <v>#N/A</v>
      </c>
      <c r="P316" s="587"/>
      <c r="Q316" s="587"/>
      <c r="R316" s="588"/>
      <c r="S316" s="589" t="e">
        <f ca="1">ROUNDDOWN(SUM(S264,S280)*M315,-1)</f>
        <v>#N/A</v>
      </c>
      <c r="T316" s="590"/>
      <c r="U316" s="586" t="e">
        <f ca="1">ROUNDDOWN(SUM(U264,U280)*M315,-1)</f>
        <v>#N/A</v>
      </c>
      <c r="V316" s="587"/>
      <c r="W316" s="587"/>
      <c r="X316" s="588"/>
      <c r="Y316" s="589" t="e">
        <f ca="1">ROUNDDOWN(SUM(Y264,Y280)*M315,-1)</f>
        <v>#N/A</v>
      </c>
      <c r="Z316" s="590"/>
    </row>
    <row r="317" spans="1:30" s="378" customFormat="1" ht="13.5" hidden="1" customHeight="1">
      <c r="A317" s="414"/>
      <c r="B317" s="705"/>
      <c r="C317" s="782" t="s">
        <v>115</v>
      </c>
      <c r="D317" s="783"/>
      <c r="E317" s="783"/>
      <c r="F317" s="783"/>
      <c r="G317" s="783"/>
      <c r="H317" s="784"/>
      <c r="I317" s="746"/>
      <c r="J317" s="796"/>
      <c r="K317" s="584" t="s">
        <v>458</v>
      </c>
      <c r="L317" s="585"/>
      <c r="M317" s="772"/>
      <c r="N317" s="773"/>
      <c r="O317" s="586" t="e">
        <f ca="1">O315-O319</f>
        <v>#N/A</v>
      </c>
      <c r="P317" s="587"/>
      <c r="Q317" s="587"/>
      <c r="R317" s="588"/>
      <c r="S317" s="589" t="e">
        <f t="shared" ref="S317:S318" ca="1" si="28">S315-S319</f>
        <v>#N/A</v>
      </c>
      <c r="T317" s="590"/>
      <c r="U317" s="586" t="e">
        <f ca="1">U315-U319</f>
        <v>#N/A</v>
      </c>
      <c r="V317" s="587"/>
      <c r="W317" s="587"/>
      <c r="X317" s="588"/>
      <c r="Y317" s="589" t="e">
        <f ca="1">Y315-Y319</f>
        <v>#N/A</v>
      </c>
      <c r="Z317" s="590"/>
      <c r="AA317" s="420"/>
    </row>
    <row r="318" spans="1:30" s="378" customFormat="1" ht="13.5" hidden="1" customHeight="1">
      <c r="A318" s="414"/>
      <c r="B318" s="705"/>
      <c r="C318" s="710"/>
      <c r="D318" s="711"/>
      <c r="E318" s="711"/>
      <c r="F318" s="711"/>
      <c r="G318" s="711"/>
      <c r="H318" s="712"/>
      <c r="I318" s="746"/>
      <c r="J318" s="796"/>
      <c r="K318" s="602" t="s">
        <v>459</v>
      </c>
      <c r="L318" s="603"/>
      <c r="M318" s="772"/>
      <c r="N318" s="773"/>
      <c r="O318" s="586" t="e">
        <f t="shared" ref="O318" ca="1" si="29">O316-O320</f>
        <v>#N/A</v>
      </c>
      <c r="P318" s="587"/>
      <c r="Q318" s="587"/>
      <c r="R318" s="588"/>
      <c r="S318" s="589" t="e">
        <f t="shared" ca="1" si="28"/>
        <v>#N/A</v>
      </c>
      <c r="T318" s="590"/>
      <c r="U318" s="586" t="e">
        <f ca="1">U316-U320</f>
        <v>#N/A</v>
      </c>
      <c r="V318" s="587"/>
      <c r="W318" s="587"/>
      <c r="X318" s="588"/>
      <c r="Y318" s="589" t="e">
        <f ca="1">Y316-Y320</f>
        <v>#N/A</v>
      </c>
      <c r="Z318" s="590"/>
      <c r="AA318" s="420"/>
    </row>
    <row r="319" spans="1:30" s="378" customFormat="1" ht="13.5" hidden="1" customHeight="1">
      <c r="A319" s="414"/>
      <c r="B319" s="705"/>
      <c r="C319" s="701" t="s">
        <v>7</v>
      </c>
      <c r="D319" s="617"/>
      <c r="E319" s="617"/>
      <c r="F319" s="617"/>
      <c r="G319" s="617"/>
      <c r="H319" s="618"/>
      <c r="I319" s="746"/>
      <c r="J319" s="796"/>
      <c r="K319" s="602" t="s">
        <v>458</v>
      </c>
      <c r="L319" s="603"/>
      <c r="M319" s="772"/>
      <c r="N319" s="773"/>
      <c r="O319" s="586" t="e">
        <f ca="1">ROUNDDOWN(O279*M315,-1)</f>
        <v>#N/A</v>
      </c>
      <c r="P319" s="587"/>
      <c r="Q319" s="587"/>
      <c r="R319" s="588"/>
      <c r="S319" s="589" t="e">
        <f ca="1">ROUNDDOWN(S279*M315,-1)</f>
        <v>#N/A</v>
      </c>
      <c r="T319" s="590"/>
      <c r="U319" s="586" t="e">
        <f ca="1">ROUNDDOWN(U279*M315,-1)</f>
        <v>#N/A</v>
      </c>
      <c r="V319" s="587"/>
      <c r="W319" s="587">
        <f>ROUNDDOWN(W279,-1)</f>
        <v>0</v>
      </c>
      <c r="X319" s="588"/>
      <c r="Y319" s="589" t="e">
        <f ca="1">ROUNDDOWN(Y279*M315,-1)</f>
        <v>#N/A</v>
      </c>
      <c r="Z319" s="590"/>
      <c r="AA319" s="420"/>
    </row>
    <row r="320" spans="1:30" s="378" customFormat="1" ht="13.5" hidden="1" customHeight="1">
      <c r="A320" s="415"/>
      <c r="B320" s="706"/>
      <c r="C320" s="702"/>
      <c r="D320" s="703"/>
      <c r="E320" s="703"/>
      <c r="F320" s="703"/>
      <c r="G320" s="703"/>
      <c r="H320" s="704"/>
      <c r="I320" s="748"/>
      <c r="J320" s="1025"/>
      <c r="K320" s="625" t="s">
        <v>459</v>
      </c>
      <c r="L320" s="626"/>
      <c r="M320" s="774"/>
      <c r="N320" s="775"/>
      <c r="O320" s="785" t="e">
        <f ca="1">ROUNDDOWN(O280*M315,-1)</f>
        <v>#N/A</v>
      </c>
      <c r="P320" s="786"/>
      <c r="Q320" s="786"/>
      <c r="R320" s="787"/>
      <c r="S320" s="764" t="e">
        <f ca="1">ROUNDDOWN(S280*M315,-1)</f>
        <v>#N/A</v>
      </c>
      <c r="T320" s="765"/>
      <c r="U320" s="785" t="e">
        <f ca="1">ROUNDDOWN(U280*M315,-1)</f>
        <v>#N/A</v>
      </c>
      <c r="V320" s="786"/>
      <c r="W320" s="786">
        <f>ROUNDDOWN(W280,-1)</f>
        <v>0</v>
      </c>
      <c r="X320" s="787"/>
      <c r="Y320" s="764" t="e">
        <f ca="1">ROUNDDOWN(Y280*M315,-1)</f>
        <v>#N/A</v>
      </c>
      <c r="Z320" s="765"/>
    </row>
    <row r="321" spans="1:31" s="378" customFormat="1" ht="13.5" customHeight="1">
      <c r="A321" s="678" t="s">
        <v>37</v>
      </c>
      <c r="B321" s="622" t="s">
        <v>492</v>
      </c>
      <c r="C321" s="623"/>
      <c r="D321" s="623"/>
      <c r="E321" s="623"/>
      <c r="F321" s="623"/>
      <c r="G321" s="623"/>
      <c r="H321" s="624"/>
      <c r="I321" s="683" t="s">
        <v>493</v>
      </c>
      <c r="J321" s="685"/>
      <c r="K321" s="719" t="s">
        <v>458</v>
      </c>
      <c r="L321" s="720"/>
      <c r="M321" s="766" t="e">
        <f ca="1">-OFFSET(INDIRECT(計算用２!D3),2,計算用２!D45+計算用２!D46)</f>
        <v>#N/A</v>
      </c>
      <c r="N321" s="767"/>
      <c r="O321" s="586">
        <f>IF($I$322="0日",0,ROUNDDOWN(SUM(O261,O269,O296)*M321,-1))</f>
        <v>0</v>
      </c>
      <c r="P321" s="587"/>
      <c r="Q321" s="587"/>
      <c r="R321" s="588"/>
      <c r="S321" s="589">
        <f>IF($I$322="0日",0,ROUNDDOWN(SUM(S261,S269,S289,O296)*M321,-1))</f>
        <v>0</v>
      </c>
      <c r="T321" s="590"/>
      <c r="U321" s="586">
        <f>IF($I$322="0日",0,ROUNDDOWN(SUM(U261,U269,U297)*M321,-1))</f>
        <v>0</v>
      </c>
      <c r="V321" s="587"/>
      <c r="W321" s="587"/>
      <c r="X321" s="588"/>
      <c r="Y321" s="589">
        <f>IF($I$322="0日",0,ROUNDDOWN(SUM(Y261,Y269,U297)*M321,-1))</f>
        <v>0</v>
      </c>
      <c r="Z321" s="590"/>
      <c r="AA321" s="413" t="s">
        <v>494</v>
      </c>
      <c r="AB321" s="387" t="s">
        <v>495</v>
      </c>
      <c r="AC321" s="387" t="s">
        <v>496</v>
      </c>
      <c r="AD321" s="387" t="s">
        <v>497</v>
      </c>
      <c r="AE321" s="387" t="s">
        <v>498</v>
      </c>
    </row>
    <row r="322" spans="1:31" s="378" customFormat="1" ht="13.5" customHeight="1">
      <c r="A322" s="615"/>
      <c r="B322" s="616"/>
      <c r="C322" s="617"/>
      <c r="D322" s="617"/>
      <c r="E322" s="617"/>
      <c r="F322" s="617"/>
      <c r="G322" s="617"/>
      <c r="H322" s="618"/>
      <c r="I322" s="768" t="s">
        <v>494</v>
      </c>
      <c r="J322" s="769"/>
      <c r="K322" s="602" t="s">
        <v>459</v>
      </c>
      <c r="L322" s="603"/>
      <c r="M322" s="770"/>
      <c r="N322" s="771"/>
      <c r="O322" s="586">
        <f>IF($I$322="0日",0,ROUNDDOWN(SUM(O262,O270,O296)*M321,-1))</f>
        <v>0</v>
      </c>
      <c r="P322" s="587"/>
      <c r="Q322" s="587"/>
      <c r="R322" s="588"/>
      <c r="S322" s="589">
        <f>IF($I$322="0日",0,ROUNDDOWN(SUM(S262,S270,S290,O296)*M321,-1))</f>
        <v>0</v>
      </c>
      <c r="T322" s="590"/>
      <c r="U322" s="586">
        <f>IF($I$322="0日",0,ROUNDDOWN(SUM(U262,U270,U297)*M321,-1))</f>
        <v>0</v>
      </c>
      <c r="V322" s="587"/>
      <c r="W322" s="587"/>
      <c r="X322" s="588"/>
      <c r="Y322" s="589">
        <f>IF($I$322="0日",0,ROUNDDOWN(SUM(Y262,Y270,U297)*M321,-1))</f>
        <v>0</v>
      </c>
      <c r="Z322" s="590"/>
      <c r="AA322" s="382"/>
      <c r="AB322" s="382"/>
      <c r="AC322" s="382"/>
      <c r="AD322" s="382"/>
      <c r="AE322" s="382"/>
    </row>
    <row r="323" spans="1:31" s="378" customFormat="1" ht="13.5" customHeight="1">
      <c r="A323" s="414"/>
      <c r="B323" s="705"/>
      <c r="C323" s="782" t="s">
        <v>115</v>
      </c>
      <c r="D323" s="783"/>
      <c r="E323" s="783"/>
      <c r="F323" s="783"/>
      <c r="G323" s="783"/>
      <c r="H323" s="784"/>
      <c r="I323" s="665"/>
      <c r="J323" s="667"/>
      <c r="K323" s="584" t="s">
        <v>458</v>
      </c>
      <c r="L323" s="585"/>
      <c r="M323" s="772"/>
      <c r="N323" s="773"/>
      <c r="O323" s="586">
        <f>O321-O325</f>
        <v>0</v>
      </c>
      <c r="P323" s="587"/>
      <c r="Q323" s="587"/>
      <c r="R323" s="588"/>
      <c r="S323" s="589">
        <f t="shared" ref="S323:S324" si="30">S321-S325</f>
        <v>0</v>
      </c>
      <c r="T323" s="590"/>
      <c r="U323" s="586">
        <f>U321-U325</f>
        <v>0</v>
      </c>
      <c r="V323" s="587"/>
      <c r="W323" s="587"/>
      <c r="X323" s="588"/>
      <c r="Y323" s="589">
        <f t="shared" ref="Y323:Y324" si="31">Y321-Y325</f>
        <v>0</v>
      </c>
      <c r="Z323" s="590"/>
      <c r="AA323" s="382"/>
      <c r="AB323" s="382"/>
      <c r="AC323" s="382"/>
      <c r="AD323" s="382"/>
      <c r="AE323" s="382"/>
    </row>
    <row r="324" spans="1:31" s="378" customFormat="1" ht="13.5" customHeight="1">
      <c r="A324" s="414"/>
      <c r="B324" s="705"/>
      <c r="C324" s="710"/>
      <c r="D324" s="711"/>
      <c r="E324" s="711"/>
      <c r="F324" s="711"/>
      <c r="G324" s="711"/>
      <c r="H324" s="712"/>
      <c r="I324" s="746"/>
      <c r="J324" s="747"/>
      <c r="K324" s="602" t="s">
        <v>459</v>
      </c>
      <c r="L324" s="603"/>
      <c r="M324" s="772"/>
      <c r="N324" s="773"/>
      <c r="O324" s="586">
        <f t="shared" ref="O324" si="32">O322-O326</f>
        <v>0</v>
      </c>
      <c r="P324" s="587"/>
      <c r="Q324" s="587"/>
      <c r="R324" s="588"/>
      <c r="S324" s="589">
        <f t="shared" si="30"/>
        <v>0</v>
      </c>
      <c r="T324" s="590"/>
      <c r="U324" s="586">
        <f>U322-U326</f>
        <v>0</v>
      </c>
      <c r="V324" s="587"/>
      <c r="W324" s="587"/>
      <c r="X324" s="588"/>
      <c r="Y324" s="589">
        <f t="shared" si="31"/>
        <v>0</v>
      </c>
      <c r="Z324" s="590"/>
      <c r="AA324" s="420"/>
    </row>
    <row r="325" spans="1:31" s="378" customFormat="1" ht="13.5" customHeight="1">
      <c r="A325" s="414"/>
      <c r="B325" s="705"/>
      <c r="C325" s="701" t="s">
        <v>7</v>
      </c>
      <c r="D325" s="617"/>
      <c r="E325" s="617"/>
      <c r="F325" s="617"/>
      <c r="G325" s="617"/>
      <c r="H325" s="618"/>
      <c r="I325" s="746"/>
      <c r="J325" s="747"/>
      <c r="K325" s="602" t="s">
        <v>458</v>
      </c>
      <c r="L325" s="603"/>
      <c r="M325" s="772"/>
      <c r="N325" s="773"/>
      <c r="O325" s="586">
        <f>IF($I$322="0日",0,ROUNDDOWN(SUM(,O269,O300)*M321,-1))</f>
        <v>0</v>
      </c>
      <c r="P325" s="587"/>
      <c r="Q325" s="587"/>
      <c r="R325" s="588"/>
      <c r="S325" s="589">
        <f>IF($I$322="0日",0,ROUNDDOWN(SUM(S269,S291,O300)*M321,-1))</f>
        <v>0</v>
      </c>
      <c r="T325" s="590"/>
      <c r="U325" s="586">
        <f>IF($I$322="0日",0,ROUNDDOWN(SUM(U269,O300)*M321,-1))</f>
        <v>0</v>
      </c>
      <c r="V325" s="587"/>
      <c r="W325" s="587"/>
      <c r="X325" s="588"/>
      <c r="Y325" s="589">
        <f>IF($I$322="0日",0,ROUNDDOWN(SUM(Y269,O300)*M321,-1))</f>
        <v>0</v>
      </c>
      <c r="Z325" s="590"/>
      <c r="AA325" s="420"/>
    </row>
    <row r="326" spans="1:31" s="378" customFormat="1" ht="13.5" customHeight="1">
      <c r="A326" s="414"/>
      <c r="B326" s="706"/>
      <c r="C326" s="702"/>
      <c r="D326" s="703"/>
      <c r="E326" s="703"/>
      <c r="F326" s="703"/>
      <c r="G326" s="703"/>
      <c r="H326" s="704"/>
      <c r="I326" s="748"/>
      <c r="J326" s="749"/>
      <c r="K326" s="625" t="s">
        <v>459</v>
      </c>
      <c r="L326" s="626"/>
      <c r="M326" s="774"/>
      <c r="N326" s="775"/>
      <c r="O326" s="785">
        <f>IF($I$322="0日",0,ROUNDDOWN(SUM(,O270,O300)*M321,-1))</f>
        <v>0</v>
      </c>
      <c r="P326" s="786"/>
      <c r="Q326" s="786"/>
      <c r="R326" s="787"/>
      <c r="S326" s="764">
        <f>IF($I$322="0日",0,ROUNDDOWN(SUM(S270,S292,O300)*M321,-1))</f>
        <v>0</v>
      </c>
      <c r="T326" s="765"/>
      <c r="U326" s="785">
        <f>IF($I$322="0日",0,ROUNDDOWN(SUM(U270,O300)*M321,-1))</f>
        <v>0</v>
      </c>
      <c r="V326" s="786"/>
      <c r="W326" s="786"/>
      <c r="X326" s="787"/>
      <c r="Y326" s="764">
        <f>IF($I$322="0日",0,ROUNDDOWN(SUM(Y270,O300)*M321,-1))</f>
        <v>0</v>
      </c>
      <c r="Z326" s="765"/>
    </row>
    <row r="327" spans="1:31" s="378" customFormat="1" ht="13.5" hidden="1" customHeight="1">
      <c r="A327" s="678" t="s">
        <v>37</v>
      </c>
      <c r="B327" s="622" t="s">
        <v>499</v>
      </c>
      <c r="C327" s="623"/>
      <c r="D327" s="623"/>
      <c r="E327" s="623"/>
      <c r="F327" s="623"/>
      <c r="G327" s="623"/>
      <c r="H327" s="624"/>
      <c r="I327" s="776"/>
      <c r="J327" s="777"/>
      <c r="K327" s="584" t="s">
        <v>458</v>
      </c>
      <c r="L327" s="585"/>
      <c r="M327" s="778"/>
      <c r="N327" s="779"/>
      <c r="O327" s="586">
        <f>IF($I$322="0日",0,ROUNDDOWN(SUM(O263,O279,O296)*M321,-1))</f>
        <v>0</v>
      </c>
      <c r="P327" s="587"/>
      <c r="Q327" s="587"/>
      <c r="R327" s="588"/>
      <c r="S327" s="589">
        <f>IF($I$322="0日",0,ROUNDDOWN(SUM(S263,S279,S289,O296)*M321,-1))</f>
        <v>0</v>
      </c>
      <c r="T327" s="590"/>
      <c r="U327" s="586">
        <f>IF($I$322="0日",0,ROUNDDOWN(SUM(U263,U279,U297)*M321,-1))</f>
        <v>0</v>
      </c>
      <c r="V327" s="587"/>
      <c r="W327" s="587"/>
      <c r="X327" s="588"/>
      <c r="Y327" s="589">
        <f>IF($I$322="0日",0,ROUNDDOWN(SUM(Y263,Y279,U297)*M321,-1))</f>
        <v>0</v>
      </c>
      <c r="Z327" s="590"/>
    </row>
    <row r="328" spans="1:31" s="378" customFormat="1" ht="13.5" hidden="1" customHeight="1">
      <c r="A328" s="615"/>
      <c r="B328" s="616"/>
      <c r="C328" s="617"/>
      <c r="D328" s="617"/>
      <c r="E328" s="617"/>
      <c r="F328" s="617"/>
      <c r="G328" s="617"/>
      <c r="H328" s="618"/>
      <c r="I328" s="746"/>
      <c r="J328" s="747"/>
      <c r="K328" s="602" t="s">
        <v>459</v>
      </c>
      <c r="L328" s="603"/>
      <c r="M328" s="772"/>
      <c r="N328" s="773"/>
      <c r="O328" s="586">
        <f>IF($I$322="0日",0,ROUNDDOWN(SUM(O264,O280,O296)*M321,-1))</f>
        <v>0</v>
      </c>
      <c r="P328" s="587"/>
      <c r="Q328" s="587"/>
      <c r="R328" s="588"/>
      <c r="S328" s="589">
        <f>IF($I$322="0日",0,ROUNDDOWN(SUM(S264,S280,S289,O296)*M321,-1))</f>
        <v>0</v>
      </c>
      <c r="T328" s="590"/>
      <c r="U328" s="586">
        <f>IF($I$322="0日",0,ROUNDDOWN(SUM(U264,U280,U297)*M321,-1))</f>
        <v>0</v>
      </c>
      <c r="V328" s="587"/>
      <c r="W328" s="587"/>
      <c r="X328" s="588"/>
      <c r="Y328" s="589">
        <f>IF($I$322="0日",0,ROUNDDOWN(SUM(Y264,Y280,U297)*M321,-1))</f>
        <v>0</v>
      </c>
      <c r="Z328" s="590"/>
      <c r="AA328" s="382"/>
      <c r="AB328" s="382"/>
      <c r="AC328" s="382"/>
      <c r="AD328" s="382"/>
      <c r="AE328" s="382"/>
    </row>
    <row r="329" spans="1:31" s="378" customFormat="1" ht="13.5" hidden="1" customHeight="1">
      <c r="A329" s="414"/>
      <c r="B329" s="705"/>
      <c r="C329" s="782" t="s">
        <v>115</v>
      </c>
      <c r="D329" s="783"/>
      <c r="E329" s="783"/>
      <c r="F329" s="783"/>
      <c r="G329" s="783"/>
      <c r="H329" s="784"/>
      <c r="I329" s="746"/>
      <c r="J329" s="747"/>
      <c r="K329" s="584" t="s">
        <v>458</v>
      </c>
      <c r="L329" s="585"/>
      <c r="M329" s="772"/>
      <c r="N329" s="773"/>
      <c r="O329" s="586">
        <f>O327-O331</f>
        <v>0</v>
      </c>
      <c r="P329" s="587"/>
      <c r="Q329" s="587"/>
      <c r="R329" s="588"/>
      <c r="S329" s="589">
        <f t="shared" ref="S329:S330" si="33">S327-S331</f>
        <v>0</v>
      </c>
      <c r="T329" s="590"/>
      <c r="U329" s="586">
        <f>U327-U331</f>
        <v>0</v>
      </c>
      <c r="V329" s="587"/>
      <c r="W329" s="587"/>
      <c r="X329" s="588"/>
      <c r="Y329" s="589">
        <f t="shared" ref="Y329:Y330" si="34">Y327-Y331</f>
        <v>0</v>
      </c>
      <c r="Z329" s="590"/>
      <c r="AA329" s="382"/>
      <c r="AB329" s="382"/>
      <c r="AC329" s="382"/>
      <c r="AD329" s="382"/>
      <c r="AE329" s="382"/>
    </row>
    <row r="330" spans="1:31" s="378" customFormat="1" ht="13.5" hidden="1" customHeight="1">
      <c r="A330" s="414"/>
      <c r="B330" s="705"/>
      <c r="C330" s="710"/>
      <c r="D330" s="711"/>
      <c r="E330" s="711"/>
      <c r="F330" s="711"/>
      <c r="G330" s="711"/>
      <c r="H330" s="712"/>
      <c r="I330" s="746"/>
      <c r="J330" s="747"/>
      <c r="K330" s="602" t="s">
        <v>459</v>
      </c>
      <c r="L330" s="603"/>
      <c r="M330" s="772"/>
      <c r="N330" s="773"/>
      <c r="O330" s="586">
        <f t="shared" ref="O330" si="35">O328-O332</f>
        <v>0</v>
      </c>
      <c r="P330" s="587"/>
      <c r="Q330" s="587"/>
      <c r="R330" s="588"/>
      <c r="S330" s="589">
        <f t="shared" si="33"/>
        <v>0</v>
      </c>
      <c r="T330" s="590"/>
      <c r="U330" s="586">
        <f>U328-U332</f>
        <v>0</v>
      </c>
      <c r="V330" s="587"/>
      <c r="W330" s="587"/>
      <c r="X330" s="588"/>
      <c r="Y330" s="589">
        <f t="shared" si="34"/>
        <v>0</v>
      </c>
      <c r="Z330" s="590"/>
      <c r="AA330" s="420"/>
    </row>
    <row r="331" spans="1:31" s="378" customFormat="1" ht="13.5" hidden="1" customHeight="1">
      <c r="A331" s="414"/>
      <c r="B331" s="705"/>
      <c r="C331" s="701" t="s">
        <v>7</v>
      </c>
      <c r="D331" s="617"/>
      <c r="E331" s="617"/>
      <c r="F331" s="617"/>
      <c r="G331" s="617"/>
      <c r="H331" s="618"/>
      <c r="I331" s="746"/>
      <c r="J331" s="747"/>
      <c r="K331" s="602" t="s">
        <v>458</v>
      </c>
      <c r="L331" s="603"/>
      <c r="M331" s="772"/>
      <c r="N331" s="773"/>
      <c r="O331" s="586">
        <f>IF($I$322="0日",0,ROUNDDOWN(SUM(O279,O300)*M321,-1))</f>
        <v>0</v>
      </c>
      <c r="P331" s="587"/>
      <c r="Q331" s="587"/>
      <c r="R331" s="588"/>
      <c r="S331" s="589">
        <f>IF($I$322="0日",0,ROUNDDOWN(SUM(S279,S291,O300)*M321,-1))</f>
        <v>0</v>
      </c>
      <c r="T331" s="590"/>
      <c r="U331" s="586">
        <f>IF($I$322="0日",0,ROUNDDOWN(SUM(U279,O300)*M321,-1))</f>
        <v>0</v>
      </c>
      <c r="V331" s="587"/>
      <c r="W331" s="587"/>
      <c r="X331" s="588"/>
      <c r="Y331" s="589">
        <f>IF($I$322="0日",0,ROUNDDOWN(SUM(Y279,O300)*M321,-1))</f>
        <v>0</v>
      </c>
      <c r="Z331" s="590"/>
      <c r="AA331" s="420"/>
    </row>
    <row r="332" spans="1:31" s="378" customFormat="1" ht="13.5" hidden="1" customHeight="1">
      <c r="A332" s="415"/>
      <c r="B332" s="706"/>
      <c r="C332" s="702"/>
      <c r="D332" s="703"/>
      <c r="E332" s="703"/>
      <c r="F332" s="703"/>
      <c r="G332" s="703"/>
      <c r="H332" s="704"/>
      <c r="I332" s="748"/>
      <c r="J332" s="749"/>
      <c r="K332" s="731" t="s">
        <v>459</v>
      </c>
      <c r="L332" s="732"/>
      <c r="M332" s="780"/>
      <c r="N332" s="781"/>
      <c r="O332" s="733">
        <f>IF($I$322="0日",0,ROUNDDOWN(SUM(O280,O300)*M321,-1))</f>
        <v>0</v>
      </c>
      <c r="P332" s="734"/>
      <c r="Q332" s="734"/>
      <c r="R332" s="735"/>
      <c r="S332" s="736">
        <f>IF($I$322="0日",0,ROUNDDOWN(SUM(S280,S291,O300)*M321,-1))</f>
        <v>0</v>
      </c>
      <c r="T332" s="737"/>
      <c r="U332" s="733">
        <f>IF($I$322="0日",0,ROUNDDOWN(SUM(U280,O300)*M321,-1))</f>
        <v>0</v>
      </c>
      <c r="V332" s="734"/>
      <c r="W332" s="734"/>
      <c r="X332" s="735"/>
      <c r="Y332" s="736">
        <f>IF($I$322="0日",0,ROUNDDOWN(SUM(Y280,O300)*M321,-1))</f>
        <v>0</v>
      </c>
      <c r="Z332" s="737"/>
    </row>
    <row r="333" spans="1:31" s="378" customFormat="1" ht="13.5" customHeight="1">
      <c r="A333" s="678" t="s">
        <v>37</v>
      </c>
      <c r="B333" s="887" t="s">
        <v>397</v>
      </c>
      <c r="C333" s="888"/>
      <c r="D333" s="888"/>
      <c r="E333" s="888"/>
      <c r="F333" s="888"/>
      <c r="G333" s="888"/>
      <c r="H333" s="889"/>
      <c r="I333" s="893" t="s">
        <v>114</v>
      </c>
      <c r="J333" s="815"/>
      <c r="K333" s="815"/>
      <c r="L333" s="816"/>
      <c r="M333" s="895" t="e">
        <f ca="1">(M335+M336)</f>
        <v>#N/A</v>
      </c>
      <c r="N333" s="896"/>
      <c r="O333" s="573">
        <f>SUM(O335:Z336)</f>
        <v>0</v>
      </c>
      <c r="P333" s="574"/>
      <c r="Q333" s="574"/>
      <c r="R333" s="574"/>
      <c r="S333" s="574"/>
      <c r="T333" s="574"/>
      <c r="U333" s="574"/>
      <c r="V333" s="574"/>
      <c r="W333" s="574"/>
      <c r="X333" s="574"/>
      <c r="Y333" s="574"/>
      <c r="Z333" s="897"/>
    </row>
    <row r="334" spans="1:31" s="378" customFormat="1" ht="13.5" customHeight="1">
      <c r="A334" s="615"/>
      <c r="B334" s="890"/>
      <c r="C334" s="891"/>
      <c r="D334" s="891"/>
      <c r="E334" s="891"/>
      <c r="F334" s="891"/>
      <c r="G334" s="891"/>
      <c r="H334" s="892"/>
      <c r="I334" s="768"/>
      <c r="J334" s="894"/>
      <c r="K334" s="894"/>
      <c r="L334" s="769"/>
      <c r="M334" s="699"/>
      <c r="N334" s="700"/>
      <c r="O334" s="752"/>
      <c r="P334" s="753"/>
      <c r="Q334" s="753"/>
      <c r="R334" s="753"/>
      <c r="S334" s="753"/>
      <c r="T334" s="753"/>
      <c r="U334" s="753"/>
      <c r="V334" s="753"/>
      <c r="W334" s="753"/>
      <c r="X334" s="753"/>
      <c r="Y334" s="753"/>
      <c r="Z334" s="754"/>
    </row>
    <row r="335" spans="1:31" s="378" customFormat="1" ht="13.5" customHeight="1">
      <c r="A335" s="414"/>
      <c r="B335" s="755"/>
      <c r="C335" s="599" t="s">
        <v>115</v>
      </c>
      <c r="D335" s="600"/>
      <c r="E335" s="600"/>
      <c r="F335" s="600"/>
      <c r="G335" s="600"/>
      <c r="H335" s="601"/>
      <c r="I335" s="665"/>
      <c r="J335" s="666"/>
      <c r="K335" s="666"/>
      <c r="L335" s="667"/>
      <c r="M335" s="589" t="e">
        <f ca="1">-OFFSET(INDIRECT(計算用２!$D$5),1,計算用２!D47)</f>
        <v>#N/A</v>
      </c>
      <c r="N335" s="590"/>
      <c r="O335" s="596">
        <f>IF(I333="適用",M335,0)</f>
        <v>0</v>
      </c>
      <c r="P335" s="597"/>
      <c r="Q335" s="597"/>
      <c r="R335" s="597"/>
      <c r="S335" s="597"/>
      <c r="T335" s="597"/>
      <c r="U335" s="597"/>
      <c r="V335" s="597"/>
      <c r="W335" s="597"/>
      <c r="X335" s="597"/>
      <c r="Y335" s="597"/>
      <c r="Z335" s="598"/>
      <c r="AA335" s="420"/>
    </row>
    <row r="336" spans="1:31" s="378" customFormat="1" ht="13.5" customHeight="1">
      <c r="A336" s="415"/>
      <c r="B336" s="756"/>
      <c r="C336" s="591" t="s">
        <v>7</v>
      </c>
      <c r="D336" s="592"/>
      <c r="E336" s="592"/>
      <c r="F336" s="592"/>
      <c r="G336" s="592"/>
      <c r="H336" s="593"/>
      <c r="I336" s="668"/>
      <c r="J336" s="669"/>
      <c r="K336" s="669"/>
      <c r="L336" s="670"/>
      <c r="M336" s="594" t="e">
        <f ca="1">-OFFSET(INDIRECT(計算用２!$D$5),1,計算用２!D48)*$K$133</f>
        <v>#N/A</v>
      </c>
      <c r="N336" s="595"/>
      <c r="O336" s="757">
        <f>IF(I333="適用",M336,0)</f>
        <v>0</v>
      </c>
      <c r="P336" s="758"/>
      <c r="Q336" s="758"/>
      <c r="R336" s="758"/>
      <c r="S336" s="758"/>
      <c r="T336" s="758"/>
      <c r="U336" s="758"/>
      <c r="V336" s="758"/>
      <c r="W336" s="758"/>
      <c r="X336" s="758"/>
      <c r="Y336" s="758"/>
      <c r="Z336" s="759"/>
    </row>
    <row r="337" spans="1:42" s="378" customFormat="1" ht="13.5" customHeight="1">
      <c r="A337" s="412" t="s">
        <v>37</v>
      </c>
      <c r="B337" s="617" t="s">
        <v>47</v>
      </c>
      <c r="C337" s="617"/>
      <c r="D337" s="617"/>
      <c r="E337" s="617"/>
      <c r="F337" s="617"/>
      <c r="G337" s="617"/>
      <c r="H337" s="618"/>
      <c r="I337" s="760" t="s">
        <v>46</v>
      </c>
      <c r="J337" s="761"/>
      <c r="K337" s="762"/>
      <c r="L337" s="763"/>
      <c r="M337" s="699" t="e">
        <f ca="1">(M338+M339)</f>
        <v>#N/A</v>
      </c>
      <c r="N337" s="700"/>
      <c r="O337" s="635">
        <f>IF(K337&gt;0,ROUNDDOWN(M337*K337,-1),0)</f>
        <v>0</v>
      </c>
      <c r="P337" s="636"/>
      <c r="Q337" s="636"/>
      <c r="R337" s="636"/>
      <c r="S337" s="636"/>
      <c r="T337" s="636"/>
      <c r="U337" s="636"/>
      <c r="V337" s="636"/>
      <c r="W337" s="636"/>
      <c r="X337" s="636"/>
      <c r="Y337" s="636"/>
      <c r="Z337" s="658"/>
    </row>
    <row r="338" spans="1:42" s="378" customFormat="1" ht="13.5" customHeight="1">
      <c r="A338" s="414"/>
      <c r="B338" s="755"/>
      <c r="C338" s="599" t="s">
        <v>115</v>
      </c>
      <c r="D338" s="600"/>
      <c r="E338" s="600"/>
      <c r="F338" s="600"/>
      <c r="G338" s="600"/>
      <c r="H338" s="601"/>
      <c r="I338" s="665"/>
      <c r="J338" s="666"/>
      <c r="K338" s="666"/>
      <c r="L338" s="667"/>
      <c r="M338" s="589" t="e">
        <f ca="1">-OFFSET(INDIRECT(計算用２!$D$5),1,計算用２!D49)</f>
        <v>#N/A</v>
      </c>
      <c r="N338" s="590"/>
      <c r="O338" s="596">
        <f>O337-O339</f>
        <v>0</v>
      </c>
      <c r="P338" s="597"/>
      <c r="Q338" s="597"/>
      <c r="R338" s="597"/>
      <c r="S338" s="597"/>
      <c r="T338" s="597"/>
      <c r="U338" s="597"/>
      <c r="V338" s="597"/>
      <c r="W338" s="597"/>
      <c r="X338" s="597"/>
      <c r="Y338" s="597"/>
      <c r="Z338" s="598"/>
      <c r="AA338" s="420"/>
    </row>
    <row r="339" spans="1:42" s="378" customFormat="1" ht="13.5" customHeight="1">
      <c r="A339" s="415"/>
      <c r="B339" s="756"/>
      <c r="C339" s="591" t="s">
        <v>7</v>
      </c>
      <c r="D339" s="592"/>
      <c r="E339" s="592"/>
      <c r="F339" s="592"/>
      <c r="G339" s="592"/>
      <c r="H339" s="593"/>
      <c r="I339" s="668"/>
      <c r="J339" s="669"/>
      <c r="K339" s="669"/>
      <c r="L339" s="670"/>
      <c r="M339" s="764" t="e">
        <f ca="1">-OFFSET(INDIRECT(計算用２!$D$5),1,計算用２!D50)*$K$133</f>
        <v>#N/A</v>
      </c>
      <c r="N339" s="765"/>
      <c r="O339" s="757">
        <f>IF(K337&gt;0,ROUNDDOWN(M339*K337,-1),0)</f>
        <v>0</v>
      </c>
      <c r="P339" s="758"/>
      <c r="Q339" s="758"/>
      <c r="R339" s="758"/>
      <c r="S339" s="758"/>
      <c r="T339" s="758"/>
      <c r="U339" s="758"/>
      <c r="V339" s="758"/>
      <c r="W339" s="758"/>
      <c r="X339" s="758"/>
      <c r="Y339" s="758"/>
      <c r="Z339" s="759"/>
    </row>
    <row r="340" spans="1:42" s="378" customFormat="1" ht="13.5" customHeight="1">
      <c r="A340" s="678" t="s">
        <v>37</v>
      </c>
      <c r="B340" s="898" t="s">
        <v>398</v>
      </c>
      <c r="C340" s="899"/>
      <c r="D340" s="899"/>
      <c r="E340" s="899"/>
      <c r="F340" s="899"/>
      <c r="G340" s="899"/>
      <c r="H340" s="900"/>
      <c r="I340" s="609" t="s">
        <v>46</v>
      </c>
      <c r="J340" s="608"/>
      <c r="K340" s="902"/>
      <c r="L340" s="903"/>
      <c r="M340" s="846" t="e">
        <f ca="1">(M342+M343)</f>
        <v>#N/A</v>
      </c>
      <c r="N340" s="847"/>
      <c r="O340" s="571">
        <f>IF(K340&gt;0,ROUNDDOWN(M340*K340,-1),0)</f>
        <v>0</v>
      </c>
      <c r="P340" s="572"/>
      <c r="Q340" s="572"/>
      <c r="R340" s="572"/>
      <c r="S340" s="572"/>
      <c r="T340" s="572"/>
      <c r="U340" s="572"/>
      <c r="V340" s="572"/>
      <c r="W340" s="572"/>
      <c r="X340" s="572"/>
      <c r="Y340" s="572"/>
      <c r="Z340" s="544"/>
    </row>
    <row r="341" spans="1:42" s="378" customFormat="1" ht="13.5" customHeight="1">
      <c r="A341" s="615"/>
      <c r="B341" s="898"/>
      <c r="C341" s="899"/>
      <c r="D341" s="899"/>
      <c r="E341" s="899"/>
      <c r="F341" s="899"/>
      <c r="G341" s="899"/>
      <c r="H341" s="900"/>
      <c r="I341" s="840"/>
      <c r="J341" s="901"/>
      <c r="K341" s="904"/>
      <c r="L341" s="905"/>
      <c r="M341" s="699"/>
      <c r="N341" s="700"/>
      <c r="O341" s="752"/>
      <c r="P341" s="753"/>
      <c r="Q341" s="753"/>
      <c r="R341" s="753"/>
      <c r="S341" s="753"/>
      <c r="T341" s="753"/>
      <c r="U341" s="753"/>
      <c r="V341" s="753"/>
      <c r="W341" s="753"/>
      <c r="X341" s="753"/>
      <c r="Y341" s="753"/>
      <c r="Z341" s="754"/>
    </row>
    <row r="342" spans="1:42" s="378" customFormat="1" ht="13.5" customHeight="1">
      <c r="A342" s="414"/>
      <c r="B342" s="755"/>
      <c r="C342" s="599" t="s">
        <v>115</v>
      </c>
      <c r="D342" s="600"/>
      <c r="E342" s="600"/>
      <c r="F342" s="600"/>
      <c r="G342" s="600"/>
      <c r="H342" s="601"/>
      <c r="I342" s="665"/>
      <c r="J342" s="666"/>
      <c r="K342" s="666"/>
      <c r="L342" s="667"/>
      <c r="M342" s="589" t="e">
        <f ca="1">-OFFSET(INDIRECT(計算用２!$D$5),1,計算用２!D51)</f>
        <v>#N/A</v>
      </c>
      <c r="N342" s="590"/>
      <c r="O342" s="596">
        <f>O340-O343</f>
        <v>0</v>
      </c>
      <c r="P342" s="597"/>
      <c r="Q342" s="597"/>
      <c r="R342" s="597"/>
      <c r="S342" s="597"/>
      <c r="T342" s="597"/>
      <c r="U342" s="597"/>
      <c r="V342" s="597"/>
      <c r="W342" s="597"/>
      <c r="X342" s="597"/>
      <c r="Y342" s="597"/>
      <c r="Z342" s="598"/>
      <c r="AA342" s="420"/>
    </row>
    <row r="343" spans="1:42" s="378" customFormat="1" ht="13.5" customHeight="1">
      <c r="A343" s="415"/>
      <c r="B343" s="756"/>
      <c r="C343" s="591" t="s">
        <v>7</v>
      </c>
      <c r="D343" s="592"/>
      <c r="E343" s="592"/>
      <c r="F343" s="592"/>
      <c r="G343" s="592"/>
      <c r="H343" s="593"/>
      <c r="I343" s="668"/>
      <c r="J343" s="669"/>
      <c r="K343" s="669"/>
      <c r="L343" s="670"/>
      <c r="M343" s="594" t="e">
        <f ca="1">-OFFSET(INDIRECT(計算用２!$D$5),1,計算用２!D52)*$K$133</f>
        <v>#N/A</v>
      </c>
      <c r="N343" s="595"/>
      <c r="O343" s="757">
        <f>IF(K340&gt;0,ROUNDDOWN(M343*K340,-1),0)</f>
        <v>0</v>
      </c>
      <c r="P343" s="758"/>
      <c r="Q343" s="758"/>
      <c r="R343" s="758"/>
      <c r="S343" s="758"/>
      <c r="T343" s="758"/>
      <c r="U343" s="758"/>
      <c r="V343" s="758"/>
      <c r="W343" s="758"/>
      <c r="X343" s="758"/>
      <c r="Y343" s="758"/>
      <c r="Z343" s="759"/>
    </row>
    <row r="344" spans="1:42" s="378" customFormat="1" ht="13.5" customHeight="1">
      <c r="A344" s="678" t="s">
        <v>37</v>
      </c>
      <c r="B344" s="622" t="s">
        <v>9</v>
      </c>
      <c r="C344" s="623"/>
      <c r="D344" s="623"/>
      <c r="E344" s="623"/>
      <c r="F344" s="623"/>
      <c r="G344" s="623"/>
      <c r="H344" s="624"/>
      <c r="I344" s="738" t="s">
        <v>114</v>
      </c>
      <c r="J344" s="739"/>
      <c r="K344" s="739"/>
      <c r="L344" s="740"/>
      <c r="M344" s="741">
        <f ca="1">IF('請求書（認定こども園）'!I344="非適用",0,OFFSET(INDIRECT(計算用２!I6),0,計算用２!I5))</f>
        <v>0</v>
      </c>
      <c r="N344" s="742"/>
      <c r="O344" s="743"/>
      <c r="P344" s="744"/>
      <c r="Q344" s="744"/>
      <c r="R344" s="744"/>
      <c r="S344" s="744"/>
      <c r="T344" s="744"/>
      <c r="U344" s="744"/>
      <c r="V344" s="744"/>
      <c r="W344" s="744"/>
      <c r="X344" s="744"/>
      <c r="Y344" s="744"/>
      <c r="Z344" s="745"/>
    </row>
    <row r="345" spans="1:42" s="378" customFormat="1" ht="13.5" customHeight="1">
      <c r="A345" s="615"/>
      <c r="B345" s="616"/>
      <c r="C345" s="617"/>
      <c r="D345" s="617"/>
      <c r="E345" s="617"/>
      <c r="F345" s="617"/>
      <c r="G345" s="617"/>
      <c r="H345" s="618"/>
      <c r="I345" s="746"/>
      <c r="J345" s="747"/>
      <c r="K345" s="719" t="s">
        <v>458</v>
      </c>
      <c r="L345" s="720"/>
      <c r="M345" s="642"/>
      <c r="N345" s="644"/>
      <c r="O345" s="752">
        <f>IF(I344="適用",ROUNDDOWN(SUM(O261,O269,O292,O296,O301,O304,O305,O315,O321,O333,O337,O340)*M344,-1),0)</f>
        <v>0</v>
      </c>
      <c r="P345" s="753"/>
      <c r="Q345" s="753"/>
      <c r="R345" s="754"/>
      <c r="S345" s="699">
        <f>IF(I344="適用",ROUNDDOWN(SUM(S261,S269,S289,O292,O296,O301,O304,O305,O312,S321,O333,O337,O340)*M344,-1),0)</f>
        <v>0</v>
      </c>
      <c r="T345" s="700"/>
      <c r="U345" s="752">
        <f>IF(I344="適用",ROUNDDOWN(SUM(U261,U269,O292,U297,O304,O305,O312,U321,O333,O337,O340)*M344,-1),0)</f>
        <v>0</v>
      </c>
      <c r="V345" s="753"/>
      <c r="W345" s="753" t="e">
        <f>ROUNDDOWN(#REF!*$K$130,-1)</f>
        <v>#REF!</v>
      </c>
      <c r="X345" s="754"/>
      <c r="Y345" s="699">
        <f>IF(I344="適用",ROUNDDOWN(SUM(Y261,Y269,O292,U297,O304,O305,O312,Y321,O333,O337,O340)*M344,-1),0)</f>
        <v>0</v>
      </c>
      <c r="Z345" s="700"/>
      <c r="AA345" s="382"/>
      <c r="AB345" s="382"/>
      <c r="AC345" s="382"/>
      <c r="AD345" s="382"/>
      <c r="AE345" s="382"/>
      <c r="AF345" s="382"/>
      <c r="AG345" s="382"/>
      <c r="AH345" s="382"/>
      <c r="AI345" s="382"/>
      <c r="AJ345" s="382"/>
      <c r="AK345" s="382"/>
      <c r="AL345" s="382"/>
      <c r="AM345" s="382"/>
      <c r="AN345" s="382"/>
      <c r="AO345" s="382"/>
      <c r="AP345" s="382"/>
    </row>
    <row r="346" spans="1:42" s="378" customFormat="1" ht="13.5" customHeight="1">
      <c r="A346" s="615"/>
      <c r="B346" s="616"/>
      <c r="C346" s="617"/>
      <c r="D346" s="617"/>
      <c r="E346" s="617"/>
      <c r="F346" s="617"/>
      <c r="G346" s="617"/>
      <c r="H346" s="618"/>
      <c r="I346" s="746"/>
      <c r="J346" s="747"/>
      <c r="K346" s="584" t="s">
        <v>459</v>
      </c>
      <c r="L346" s="585"/>
      <c r="M346" s="642"/>
      <c r="N346" s="644"/>
      <c r="O346" s="586">
        <f>IF(I344="適用",ROUNDDOWN(SUM(O262,O270,O292,O301,O296,O304,O305,O312,O322,O333,O337,O340)*M344,-1),0)</f>
        <v>0</v>
      </c>
      <c r="P346" s="587"/>
      <c r="Q346" s="587"/>
      <c r="R346" s="588"/>
      <c r="S346" s="589">
        <f>IF(I344="適用",ROUNDDOWN(SUM(S262,S270,S289,O292,O296,O301,O304,O305,O312,S322,O333,O337,O340)*M344,-1),0)</f>
        <v>0</v>
      </c>
      <c r="T346" s="590"/>
      <c r="U346" s="586">
        <f>IF(I344="適用",ROUNDDOWN(SUM(U262,U270,O292,U297,O304,O305,O312,U322,O333,O337,O340)*M344,-1),0)</f>
        <v>0</v>
      </c>
      <c r="V346" s="587"/>
      <c r="W346" s="587" t="e">
        <f>ROUNDDOWN(#REF!*$K$130,-1)</f>
        <v>#REF!</v>
      </c>
      <c r="X346" s="588"/>
      <c r="Y346" s="589">
        <f>IF(I344="適用",ROUNDDOWN(SUM(Y262,Y270,O292,U297,O304,O305,O312,Y322,O333,O337,O340)*M344,-1),0)</f>
        <v>0</v>
      </c>
      <c r="Z346" s="590"/>
      <c r="AA346" s="382"/>
      <c r="AB346" s="382"/>
      <c r="AC346" s="382"/>
      <c r="AD346" s="382"/>
      <c r="AE346" s="382"/>
      <c r="AF346" s="382"/>
      <c r="AG346" s="382"/>
      <c r="AH346" s="382"/>
      <c r="AI346" s="382"/>
      <c r="AJ346" s="382"/>
      <c r="AK346" s="382"/>
      <c r="AL346" s="382"/>
      <c r="AM346" s="382"/>
    </row>
    <row r="347" spans="1:42" s="378" customFormat="1" ht="13.5" customHeight="1">
      <c r="A347" s="414"/>
      <c r="B347" s="705"/>
      <c r="C347" s="707" t="s">
        <v>115</v>
      </c>
      <c r="D347" s="708"/>
      <c r="E347" s="708"/>
      <c r="F347" s="708"/>
      <c r="G347" s="708"/>
      <c r="H347" s="709"/>
      <c r="I347" s="746"/>
      <c r="J347" s="747"/>
      <c r="K347" s="584" t="s">
        <v>458</v>
      </c>
      <c r="L347" s="585"/>
      <c r="M347" s="642"/>
      <c r="N347" s="644"/>
      <c r="O347" s="586">
        <f>O345-O349</f>
        <v>0</v>
      </c>
      <c r="P347" s="587"/>
      <c r="Q347" s="587"/>
      <c r="R347" s="588"/>
      <c r="S347" s="589">
        <f t="shared" ref="S347:S348" si="36">S345-S349</f>
        <v>0</v>
      </c>
      <c r="T347" s="590"/>
      <c r="U347" s="586">
        <f>U345-U349</f>
        <v>0</v>
      </c>
      <c r="V347" s="587"/>
      <c r="W347" s="587"/>
      <c r="X347" s="588"/>
      <c r="Y347" s="589">
        <f t="shared" ref="Y347:Y348" si="37">Y345-Y349</f>
        <v>0</v>
      </c>
      <c r="Z347" s="590"/>
      <c r="AA347" s="382"/>
      <c r="AB347" s="382"/>
      <c r="AC347" s="382"/>
      <c r="AD347" s="382"/>
      <c r="AE347" s="382"/>
    </row>
    <row r="348" spans="1:42" s="378" customFormat="1" ht="13.5" customHeight="1">
      <c r="A348" s="414"/>
      <c r="B348" s="705"/>
      <c r="C348" s="710"/>
      <c r="D348" s="711"/>
      <c r="E348" s="711"/>
      <c r="F348" s="711"/>
      <c r="G348" s="711"/>
      <c r="H348" s="712"/>
      <c r="I348" s="746"/>
      <c r="J348" s="747"/>
      <c r="K348" s="602" t="s">
        <v>459</v>
      </c>
      <c r="L348" s="603"/>
      <c r="M348" s="642"/>
      <c r="N348" s="644"/>
      <c r="O348" s="586">
        <f t="shared" ref="O348" si="38">O346-O350</f>
        <v>0</v>
      </c>
      <c r="P348" s="587"/>
      <c r="Q348" s="587"/>
      <c r="R348" s="588"/>
      <c r="S348" s="589">
        <f t="shared" si="36"/>
        <v>0</v>
      </c>
      <c r="T348" s="590"/>
      <c r="U348" s="586">
        <f>U346-U350</f>
        <v>0</v>
      </c>
      <c r="V348" s="587"/>
      <c r="W348" s="587"/>
      <c r="X348" s="588"/>
      <c r="Y348" s="589">
        <f t="shared" si="37"/>
        <v>0</v>
      </c>
      <c r="Z348" s="590"/>
      <c r="AA348" s="420"/>
    </row>
    <row r="349" spans="1:42" s="378" customFormat="1" ht="13.5" customHeight="1">
      <c r="A349" s="414"/>
      <c r="B349" s="705"/>
      <c r="C349" s="701" t="s">
        <v>7</v>
      </c>
      <c r="D349" s="617"/>
      <c r="E349" s="617"/>
      <c r="F349" s="617"/>
      <c r="G349" s="617"/>
      <c r="H349" s="618"/>
      <c r="I349" s="746"/>
      <c r="J349" s="747"/>
      <c r="K349" s="602" t="s">
        <v>458</v>
      </c>
      <c r="L349" s="603"/>
      <c r="M349" s="642"/>
      <c r="N349" s="644"/>
      <c r="O349" s="586">
        <f>IF(I344="適用",ROUNDDOWN(SUM(O269,O295,O300,O303,O314,O325,O336,O339,O343)*M344,-1),0)</f>
        <v>0</v>
      </c>
      <c r="P349" s="587"/>
      <c r="Q349" s="587"/>
      <c r="R349" s="588"/>
      <c r="S349" s="589">
        <f>IF(I344="適用",ROUNDDOWN(SUM(S269,S291,O295,O300,O303,O314,S325,O336,O339,O343)*M344,-1),0)</f>
        <v>0</v>
      </c>
      <c r="T349" s="590"/>
      <c r="U349" s="586">
        <f>IF(I344="適用",ROUNDDOWN(SUM(U269,O295,O300,O314,U325,O336,O339,O343)*M344,-1),0)</f>
        <v>0</v>
      </c>
      <c r="V349" s="587"/>
      <c r="W349" s="587"/>
      <c r="X349" s="588"/>
      <c r="Y349" s="589">
        <f>IF(I344="適用",ROUNDDOWN(SUM(Y269,O295,O300,O314,Y325,O336,O339,O343)*M344,-1),0)</f>
        <v>0</v>
      </c>
      <c r="Z349" s="590"/>
      <c r="AA349" s="420"/>
    </row>
    <row r="350" spans="1:42" s="378" customFormat="1" ht="13.5" customHeight="1">
      <c r="A350" s="415"/>
      <c r="B350" s="706"/>
      <c r="C350" s="702"/>
      <c r="D350" s="703"/>
      <c r="E350" s="703"/>
      <c r="F350" s="703"/>
      <c r="G350" s="703"/>
      <c r="H350" s="704"/>
      <c r="I350" s="748"/>
      <c r="J350" s="749"/>
      <c r="K350" s="731" t="s">
        <v>459</v>
      </c>
      <c r="L350" s="732"/>
      <c r="M350" s="750"/>
      <c r="N350" s="751"/>
      <c r="O350" s="733">
        <f>IF(I344="適用",ROUNDDOWN(SUM(O270,O295,O300,O303,O314,O326,O336,O339,O343)*M344,-1),0)</f>
        <v>0</v>
      </c>
      <c r="P350" s="734"/>
      <c r="Q350" s="734"/>
      <c r="R350" s="735"/>
      <c r="S350" s="736">
        <f>IF(I344="適用",ROUNDDOWN(SUM(S270,S291,O295,O300,O303,O314,S326,O336,O339,O343)*M344,-1),0)</f>
        <v>0</v>
      </c>
      <c r="T350" s="737"/>
      <c r="U350" s="733">
        <f>IF(I344="適用",ROUNDDOWN(SUM(U270,O295,O300,O314,U326,O336,O339,O343)*M344,-1),0)</f>
        <v>0</v>
      </c>
      <c r="V350" s="734"/>
      <c r="W350" s="734"/>
      <c r="X350" s="735"/>
      <c r="Y350" s="736">
        <f>IF(I344="適用",ROUNDDOWN(SUM(Y270,O295,O300,O314,Y326,O336,O339,O343)*M344,-1),0)</f>
        <v>0</v>
      </c>
      <c r="Z350" s="737"/>
    </row>
    <row r="351" spans="1:42" s="378" customFormat="1" ht="13.5" hidden="1" customHeight="1">
      <c r="A351" s="615" t="s">
        <v>37</v>
      </c>
      <c r="B351" s="616" t="s">
        <v>500</v>
      </c>
      <c r="C351" s="617"/>
      <c r="D351" s="617"/>
      <c r="E351" s="617"/>
      <c r="F351" s="617"/>
      <c r="G351" s="617"/>
      <c r="H351" s="618"/>
      <c r="I351" s="713"/>
      <c r="J351" s="714"/>
      <c r="K351" s="719" t="s">
        <v>458</v>
      </c>
      <c r="L351" s="720"/>
      <c r="M351" s="714"/>
      <c r="N351" s="717"/>
      <c r="O351" s="586">
        <f>IF(I344="適用",ROUNDDOWN(SUM(O263,O279,O292,O296,O301,O304,O305,O312,O315,O327,O333,O337,O340)*M344,-1),0)</f>
        <v>0</v>
      </c>
      <c r="P351" s="587"/>
      <c r="Q351" s="587"/>
      <c r="R351" s="588"/>
      <c r="S351" s="699">
        <f>IF(I344="適用",ROUNDDOWN(SUM(S263,S279,S289,O292,O296,O301,O304,O305,O312,S315,S327,O333,O337,O340)*M344,-1),0)</f>
        <v>0</v>
      </c>
      <c r="T351" s="700"/>
      <c r="U351" s="586">
        <f>IF(I344="適用",ROUNDDOWN(SUM(U263,U279,O292,U297,O304,O305,O312,U315,U327,O333,O337,O340)*M344,-1),0)</f>
        <v>0</v>
      </c>
      <c r="V351" s="587"/>
      <c r="W351" s="587"/>
      <c r="X351" s="588"/>
      <c r="Y351" s="699">
        <f>IF(I344="適用",ROUNDDOWN(SUM(Y263,Y279,O292,U297,O304,O305,O312,Y315,Y327,O333,O337,O340)*M344,-1),0)</f>
        <v>0</v>
      </c>
      <c r="Z351" s="700"/>
      <c r="AA351" s="382"/>
      <c r="AB351" s="382"/>
      <c r="AC351" s="382"/>
      <c r="AD351" s="382"/>
      <c r="AE351" s="382"/>
      <c r="AF351" s="382"/>
      <c r="AG351" s="382"/>
      <c r="AH351" s="382"/>
      <c r="AI351" s="382"/>
      <c r="AJ351" s="382"/>
      <c r="AK351" s="382"/>
      <c r="AL351" s="382"/>
      <c r="AM351" s="382"/>
      <c r="AN351" s="382"/>
      <c r="AO351" s="382"/>
      <c r="AP351" s="382"/>
    </row>
    <row r="352" spans="1:42" s="378" customFormat="1" ht="13.5" hidden="1" customHeight="1">
      <c r="A352" s="615"/>
      <c r="B352" s="616"/>
      <c r="C352" s="617"/>
      <c r="D352" s="617"/>
      <c r="E352" s="617"/>
      <c r="F352" s="617"/>
      <c r="G352" s="617"/>
      <c r="H352" s="618"/>
      <c r="I352" s="713"/>
      <c r="J352" s="714"/>
      <c r="K352" s="584" t="s">
        <v>459</v>
      </c>
      <c r="L352" s="585"/>
      <c r="M352" s="714"/>
      <c r="N352" s="717"/>
      <c r="O352" s="586">
        <f>IF(I344="適用",ROUNDDOWN(SUM(O264,O280,O292,O296,O301,O304,O305,O312,O316,O328,O333,O337,O340)*M344,-1),0)</f>
        <v>0</v>
      </c>
      <c r="P352" s="587"/>
      <c r="Q352" s="587"/>
      <c r="R352" s="588"/>
      <c r="S352" s="589">
        <f>IF(I344="適用",ROUNDDOWN(SUM(S264,S280,S289,O292,O296,O301,O304,O305,O312,S316,S328,O333,O337,O340)*M344,-1),0)</f>
        <v>0</v>
      </c>
      <c r="T352" s="590"/>
      <c r="U352" s="586">
        <f>IF(I344="適用",ROUNDDOWN(SUM(U264,U280,O292,U297,O304,O305,O312,U316,U328,O333,O337,O340)*M344,-1),0)</f>
        <v>0</v>
      </c>
      <c r="V352" s="587"/>
      <c r="W352" s="587"/>
      <c r="X352" s="588"/>
      <c r="Y352" s="589">
        <f>IF(I344="適用",ROUNDDOWN(SUM(Y264,Y280,O292,U297,O304,O305,O312,Y316,Y328,O333,O337,O340)*M344,-1),0)</f>
        <v>0</v>
      </c>
      <c r="Z352" s="590"/>
      <c r="AA352" s="382"/>
      <c r="AB352" s="382"/>
      <c r="AC352" s="382"/>
      <c r="AD352" s="382"/>
      <c r="AE352" s="382"/>
      <c r="AF352" s="382"/>
      <c r="AG352" s="382"/>
      <c r="AH352" s="382"/>
      <c r="AI352" s="382"/>
      <c r="AJ352" s="382"/>
      <c r="AK352" s="382"/>
      <c r="AL352" s="382"/>
      <c r="AM352" s="382"/>
    </row>
    <row r="353" spans="1:127" s="378" customFormat="1" ht="13.5" hidden="1" customHeight="1">
      <c r="A353" s="414"/>
      <c r="B353" s="705"/>
      <c r="C353" s="707" t="s">
        <v>115</v>
      </c>
      <c r="D353" s="708"/>
      <c r="E353" s="708"/>
      <c r="F353" s="708"/>
      <c r="G353" s="708"/>
      <c r="H353" s="709"/>
      <c r="I353" s="713"/>
      <c r="J353" s="714"/>
      <c r="K353" s="584" t="s">
        <v>458</v>
      </c>
      <c r="L353" s="585"/>
      <c r="M353" s="714"/>
      <c r="N353" s="717"/>
      <c r="O353" s="586">
        <f>O351-O355</f>
        <v>0</v>
      </c>
      <c r="P353" s="587"/>
      <c r="Q353" s="587"/>
      <c r="R353" s="588"/>
      <c r="S353" s="589">
        <f t="shared" ref="S353:S354" si="39">S351-S355</f>
        <v>0</v>
      </c>
      <c r="T353" s="590"/>
      <c r="U353" s="586">
        <f>U351-U355</f>
        <v>0</v>
      </c>
      <c r="V353" s="587"/>
      <c r="W353" s="587"/>
      <c r="X353" s="588"/>
      <c r="Y353" s="589">
        <f t="shared" ref="Y353:Y354" si="40">Y351-Y355</f>
        <v>0</v>
      </c>
      <c r="Z353" s="590"/>
      <c r="AA353" s="382"/>
      <c r="AB353" s="382"/>
      <c r="AC353" s="382"/>
      <c r="AD353" s="382"/>
      <c r="AE353" s="382"/>
    </row>
    <row r="354" spans="1:127" s="378" customFormat="1" ht="13.5" hidden="1" customHeight="1">
      <c r="A354" s="414"/>
      <c r="B354" s="705"/>
      <c r="C354" s="710"/>
      <c r="D354" s="711"/>
      <c r="E354" s="711"/>
      <c r="F354" s="711"/>
      <c r="G354" s="711"/>
      <c r="H354" s="712"/>
      <c r="I354" s="713"/>
      <c r="J354" s="714"/>
      <c r="K354" s="602" t="s">
        <v>459</v>
      </c>
      <c r="L354" s="603"/>
      <c r="M354" s="714"/>
      <c r="N354" s="717"/>
      <c r="O354" s="586">
        <f t="shared" ref="O354" si="41">O352-O356</f>
        <v>0</v>
      </c>
      <c r="P354" s="587"/>
      <c r="Q354" s="587"/>
      <c r="R354" s="588"/>
      <c r="S354" s="589">
        <f t="shared" si="39"/>
        <v>0</v>
      </c>
      <c r="T354" s="590"/>
      <c r="U354" s="586">
        <f>U352-U356</f>
        <v>0</v>
      </c>
      <c r="V354" s="587"/>
      <c r="W354" s="587"/>
      <c r="X354" s="588"/>
      <c r="Y354" s="589">
        <f t="shared" si="40"/>
        <v>0</v>
      </c>
      <c r="Z354" s="590"/>
      <c r="AA354" s="420"/>
    </row>
    <row r="355" spans="1:127" s="378" customFormat="1" ht="13.5" hidden="1" customHeight="1">
      <c r="A355" s="414"/>
      <c r="B355" s="705"/>
      <c r="C355" s="701" t="s">
        <v>7</v>
      </c>
      <c r="D355" s="617"/>
      <c r="E355" s="617"/>
      <c r="F355" s="617"/>
      <c r="G355" s="617"/>
      <c r="H355" s="618"/>
      <c r="I355" s="713"/>
      <c r="J355" s="714"/>
      <c r="K355" s="602" t="s">
        <v>458</v>
      </c>
      <c r="L355" s="603"/>
      <c r="M355" s="714"/>
      <c r="N355" s="717"/>
      <c r="O355" s="586">
        <f>IF(I344="適用",ROUNDDOWN(SUM(O279,O295,O300,O303,O314,O319,O331,O336,O339,O343)*M344,-1),0)</f>
        <v>0</v>
      </c>
      <c r="P355" s="587"/>
      <c r="Q355" s="587"/>
      <c r="R355" s="588"/>
      <c r="S355" s="589">
        <f>IF(I344="適用",ROUNDDOWN(SUM(S279,S291,O295,O300,O303,O314,S319,S331,O336,O339,O343)*M344,-1),0)</f>
        <v>0</v>
      </c>
      <c r="T355" s="590"/>
      <c r="U355" s="586">
        <f>IF(I344="適用",ROUNDDOWN(SUM(U279,O295,O300,O314,U319,U331,O336,O339,O343)*M344,-1),0)</f>
        <v>0</v>
      </c>
      <c r="V355" s="587"/>
      <c r="W355" s="587"/>
      <c r="X355" s="588"/>
      <c r="Y355" s="589">
        <f>IF(I344="適用",ROUNDDOWN(SUM(Y279,O295,O300,O314,Y319,Y331,O336,O339,O343)*M344,-1),0)</f>
        <v>0</v>
      </c>
      <c r="Z355" s="590"/>
      <c r="AA355" s="420"/>
    </row>
    <row r="356" spans="1:127" s="378" customFormat="1" ht="13.5" hidden="1" customHeight="1">
      <c r="A356" s="415"/>
      <c r="B356" s="706"/>
      <c r="C356" s="702"/>
      <c r="D356" s="703"/>
      <c r="E356" s="703"/>
      <c r="F356" s="703"/>
      <c r="G356" s="703"/>
      <c r="H356" s="704"/>
      <c r="I356" s="715"/>
      <c r="J356" s="716"/>
      <c r="K356" s="625" t="s">
        <v>459</v>
      </c>
      <c r="L356" s="626"/>
      <c r="M356" s="716"/>
      <c r="N356" s="718"/>
      <c r="O356" s="586">
        <f>IF(I344="適用",ROUNDDOWN(SUM(O280,O295,O300,O303,O314,O320,O332,O336,O339,O343)*M344,-1),0)</f>
        <v>0</v>
      </c>
      <c r="P356" s="587"/>
      <c r="Q356" s="587"/>
      <c r="R356" s="588"/>
      <c r="S356" s="589">
        <f>IF(I344="適用",ROUNDDOWN(SUM(S280,S291,O295,O300,O303,O314,S320,S332,O336,O339,O343)*M344,-1),0)</f>
        <v>0</v>
      </c>
      <c r="T356" s="590"/>
      <c r="U356" s="586">
        <f>IF(I344="適用",ROUNDDOWN(SUM(U280,O295,O300,O314,U320,U332,O336,O339,O343)*M344,-1),0)</f>
        <v>0</v>
      </c>
      <c r="V356" s="587"/>
      <c r="W356" s="587"/>
      <c r="X356" s="588"/>
      <c r="Y356" s="589">
        <f>IF(I344="適用",ROUNDDOWN(SUM(Y280,O295,O300,O314,Y320,Y332,O336,O339,O343)*M344,-1),0)</f>
        <v>0</v>
      </c>
      <c r="Z356" s="590"/>
    </row>
    <row r="357" spans="1:127" s="378" customFormat="1" ht="13.5" customHeight="1">
      <c r="A357" s="407"/>
      <c r="B357" s="407"/>
      <c r="C357" s="407"/>
      <c r="D357" s="407"/>
      <c r="E357" s="407"/>
      <c r="F357" s="407"/>
      <c r="G357" s="407"/>
      <c r="H357" s="407"/>
      <c r="I357" s="408"/>
      <c r="J357" s="408"/>
      <c r="K357" s="408"/>
      <c r="L357" s="408"/>
      <c r="M357" s="408"/>
      <c r="N357" s="408"/>
      <c r="O357" s="409"/>
      <c r="P357" s="409"/>
      <c r="Q357" s="409"/>
      <c r="R357" s="409"/>
      <c r="S357" s="409"/>
      <c r="T357" s="409"/>
      <c r="U357" s="409"/>
      <c r="V357" s="409"/>
      <c r="W357" s="409"/>
      <c r="X357" s="409"/>
      <c r="Y357" s="409"/>
      <c r="Z357" s="409"/>
    </row>
    <row r="358" spans="1:127" s="378" customFormat="1" ht="13.5" customHeight="1">
      <c r="A358" s="419" t="s">
        <v>635</v>
      </c>
      <c r="B358" s="419"/>
      <c r="C358" s="419"/>
      <c r="D358" s="419"/>
      <c r="E358" s="419"/>
      <c r="F358" s="419"/>
      <c r="G358" s="419"/>
      <c r="H358" s="419"/>
      <c r="I358" s="419"/>
      <c r="J358" s="419"/>
      <c r="K358" s="419"/>
      <c r="L358" s="419"/>
      <c r="M358" s="419"/>
      <c r="N358" s="419"/>
      <c r="O358" s="419"/>
      <c r="P358" s="419"/>
      <c r="Q358" s="419"/>
      <c r="R358" s="419"/>
      <c r="S358" s="419"/>
      <c r="T358" s="419"/>
      <c r="U358" s="419"/>
      <c r="V358" s="419"/>
      <c r="W358" s="419"/>
      <c r="X358" s="419"/>
      <c r="Y358" s="419"/>
      <c r="Z358" s="419"/>
    </row>
    <row r="359" spans="1:127" s="378" customFormat="1" ht="13.5" customHeight="1">
      <c r="A359" s="614" t="s">
        <v>3</v>
      </c>
      <c r="B359" s="611"/>
      <c r="C359" s="611"/>
      <c r="D359" s="611"/>
      <c r="E359" s="611"/>
      <c r="F359" s="611"/>
      <c r="G359" s="611"/>
      <c r="H359" s="612"/>
      <c r="I359" s="614" t="s">
        <v>6</v>
      </c>
      <c r="J359" s="611"/>
      <c r="K359" s="611"/>
      <c r="L359" s="612"/>
      <c r="M359" s="611" t="s">
        <v>107</v>
      </c>
      <c r="N359" s="612"/>
      <c r="O359" s="609" t="s">
        <v>108</v>
      </c>
      <c r="P359" s="608"/>
      <c r="Q359" s="609" t="s">
        <v>109</v>
      </c>
      <c r="R359" s="608"/>
      <c r="S359" s="582" t="s">
        <v>110</v>
      </c>
      <c r="T359" s="583"/>
      <c r="U359" s="608" t="s">
        <v>455</v>
      </c>
      <c r="V359" s="608"/>
      <c r="W359" s="609" t="s">
        <v>456</v>
      </c>
      <c r="X359" s="608"/>
      <c r="Y359" s="609" t="s">
        <v>457</v>
      </c>
      <c r="Z359" s="610"/>
      <c r="AA359" s="382"/>
    </row>
    <row r="360" spans="1:127" s="378" customFormat="1" ht="13.5" customHeight="1">
      <c r="A360" s="412" t="s">
        <v>116</v>
      </c>
      <c r="B360" s="622" t="s">
        <v>5</v>
      </c>
      <c r="C360" s="623"/>
      <c r="D360" s="623"/>
      <c r="E360" s="623"/>
      <c r="F360" s="623"/>
      <c r="G360" s="623"/>
      <c r="H360" s="624"/>
      <c r="I360" s="695" t="s">
        <v>119</v>
      </c>
      <c r="J360" s="696"/>
      <c r="K360" s="697"/>
      <c r="L360" s="698"/>
      <c r="M360" s="656">
        <f>M361+M362</f>
        <v>49860</v>
      </c>
      <c r="N360" s="657"/>
      <c r="O360" s="635">
        <f>IF(OR(K360="A",K360="B"),ROUNDDOWN(M360/P118,-1),0)</f>
        <v>0</v>
      </c>
      <c r="P360" s="636"/>
      <c r="Q360" s="636"/>
      <c r="R360" s="636"/>
      <c r="S360" s="636"/>
      <c r="T360" s="636"/>
      <c r="U360" s="636"/>
      <c r="V360" s="636"/>
      <c r="W360" s="636"/>
      <c r="X360" s="636"/>
      <c r="Y360" s="636"/>
      <c r="Z360" s="658"/>
      <c r="AA360" s="413" t="s">
        <v>114</v>
      </c>
      <c r="AB360" s="387" t="s">
        <v>120</v>
      </c>
      <c r="AC360" s="387" t="s">
        <v>121</v>
      </c>
    </row>
    <row r="361" spans="1:127" s="378" customFormat="1" ht="13.5" customHeight="1">
      <c r="A361" s="414"/>
      <c r="B361" s="437"/>
      <c r="C361" s="599" t="s">
        <v>115</v>
      </c>
      <c r="D361" s="600"/>
      <c r="E361" s="600"/>
      <c r="F361" s="600"/>
      <c r="G361" s="600"/>
      <c r="H361" s="601"/>
      <c r="I361" s="665"/>
      <c r="J361" s="666"/>
      <c r="K361" s="666"/>
      <c r="L361" s="667"/>
      <c r="M361" s="589">
        <f>IF(I312="適用",IF(K360="B",'２・３号単価表②'!E7,'２・３号単価表②'!E4)*2,IF(K360="B",'２・３号単価表②'!E7,'２・３号単価表②'!E4))</f>
        <v>49860</v>
      </c>
      <c r="N361" s="590"/>
      <c r="O361" s="596">
        <f>O360-O362</f>
        <v>0</v>
      </c>
      <c r="P361" s="597"/>
      <c r="Q361" s="597"/>
      <c r="R361" s="597"/>
      <c r="S361" s="597"/>
      <c r="T361" s="597"/>
      <c r="U361" s="597"/>
      <c r="V361" s="597"/>
      <c r="W361" s="597"/>
      <c r="X361" s="597"/>
      <c r="Y361" s="597"/>
      <c r="Z361" s="598"/>
    </row>
    <row r="362" spans="1:127" s="378" customFormat="1" ht="13.5" customHeight="1">
      <c r="A362" s="415"/>
      <c r="B362" s="445"/>
      <c r="C362" s="591" t="s">
        <v>7</v>
      </c>
      <c r="D362" s="592"/>
      <c r="E362" s="592"/>
      <c r="F362" s="592"/>
      <c r="G362" s="592"/>
      <c r="H362" s="593"/>
      <c r="I362" s="668"/>
      <c r="J362" s="669"/>
      <c r="K362" s="669"/>
      <c r="L362" s="670"/>
      <c r="M362" s="594">
        <f>IF(I312="適用",IF(K360="B",'２・３号単価表②'!K7,'２・３号単価表②'!K4)*2,IF(K360="B",'２・３号単価表②'!K7,'２・３号単価表②'!K4))*$K$133</f>
        <v>0</v>
      </c>
      <c r="N362" s="595"/>
      <c r="O362" s="596">
        <f>IF(OR(K360="A",K360="B"),ROUNDDOWN(M362/P118,-1),0)</f>
        <v>0</v>
      </c>
      <c r="P362" s="597"/>
      <c r="Q362" s="597"/>
      <c r="R362" s="597"/>
      <c r="S362" s="597"/>
      <c r="T362" s="597"/>
      <c r="U362" s="597"/>
      <c r="V362" s="597"/>
      <c r="W362" s="597"/>
      <c r="X362" s="597"/>
      <c r="Y362" s="597"/>
      <c r="Z362" s="598"/>
    </row>
    <row r="363" spans="1:127" s="378" customFormat="1" ht="13.5" customHeight="1">
      <c r="A363" s="721" t="s">
        <v>116</v>
      </c>
      <c r="B363" s="616" t="s">
        <v>51</v>
      </c>
      <c r="C363" s="617"/>
      <c r="D363" s="617"/>
      <c r="E363" s="617"/>
      <c r="F363" s="617"/>
      <c r="G363" s="617"/>
      <c r="H363" s="618"/>
      <c r="I363" s="683" t="s">
        <v>122</v>
      </c>
      <c r="J363" s="684"/>
      <c r="K363" s="722"/>
      <c r="L363" s="723"/>
      <c r="M363" s="656">
        <f>IF(I312="適用",'２・３号単価表②'!L11*2,'２・３号単価表②'!L11)/2</f>
        <v>49980</v>
      </c>
      <c r="N363" s="657"/>
      <c r="O363" s="635">
        <f>IF(SUM(K363:L364)&gt;0,ROUNDDOWN(SUM(M363*K363,M364*K364)/P118,-1),0)</f>
        <v>0</v>
      </c>
      <c r="P363" s="636"/>
      <c r="Q363" s="636"/>
      <c r="R363" s="636"/>
      <c r="S363" s="636"/>
      <c r="T363" s="636"/>
      <c r="U363" s="636"/>
      <c r="V363" s="636"/>
      <c r="W363" s="636"/>
      <c r="X363" s="636"/>
      <c r="Y363" s="636"/>
      <c r="Z363" s="658"/>
      <c r="AA363" s="413">
        <v>0</v>
      </c>
      <c r="AB363" s="387">
        <v>1</v>
      </c>
      <c r="AC363" s="387">
        <v>2</v>
      </c>
      <c r="AD363" s="387">
        <v>3</v>
      </c>
      <c r="AE363" s="387">
        <v>4</v>
      </c>
      <c r="AF363" s="387">
        <v>5</v>
      </c>
      <c r="AG363" s="387">
        <v>6</v>
      </c>
      <c r="AH363" s="387">
        <v>7</v>
      </c>
      <c r="AI363" s="387">
        <v>8</v>
      </c>
      <c r="AJ363" s="387">
        <v>9</v>
      </c>
      <c r="AK363" s="387">
        <v>10</v>
      </c>
      <c r="AL363" s="387">
        <v>11</v>
      </c>
      <c r="AM363" s="387">
        <v>12</v>
      </c>
      <c r="AN363" s="387">
        <v>13</v>
      </c>
      <c r="AO363" s="387">
        <v>14</v>
      </c>
      <c r="AP363" s="387">
        <v>15</v>
      </c>
      <c r="AQ363" s="387">
        <v>16</v>
      </c>
      <c r="AR363" s="387">
        <v>17</v>
      </c>
      <c r="AS363" s="387">
        <v>18</v>
      </c>
      <c r="AT363" s="387">
        <v>19</v>
      </c>
      <c r="AU363" s="387">
        <v>20</v>
      </c>
    </row>
    <row r="364" spans="1:127" s="378" customFormat="1" ht="13.5" customHeight="1">
      <c r="A364" s="721"/>
      <c r="B364" s="680"/>
      <c r="C364" s="681"/>
      <c r="D364" s="681"/>
      <c r="E364" s="681"/>
      <c r="F364" s="681"/>
      <c r="G364" s="681"/>
      <c r="H364" s="682"/>
      <c r="I364" s="724" t="s">
        <v>123</v>
      </c>
      <c r="J364" s="725"/>
      <c r="K364" s="726"/>
      <c r="L364" s="727"/>
      <c r="M364" s="594">
        <f>IF(I312="適用",'２・３号単価表②'!L12*2,'２・３号単価表②'!L12)/2</f>
        <v>6250</v>
      </c>
      <c r="N364" s="595"/>
      <c r="O364" s="728"/>
      <c r="P364" s="729"/>
      <c r="Q364" s="729"/>
      <c r="R364" s="729"/>
      <c r="S364" s="729"/>
      <c r="T364" s="729"/>
      <c r="U364" s="729"/>
      <c r="V364" s="729"/>
      <c r="W364" s="729"/>
      <c r="X364" s="729"/>
      <c r="Y364" s="729"/>
      <c r="Z364" s="730"/>
    </row>
    <row r="365" spans="1:127" s="378" customFormat="1" ht="33" customHeight="1">
      <c r="A365" s="446" t="s">
        <v>116</v>
      </c>
      <c r="B365" s="562" t="s">
        <v>726</v>
      </c>
      <c r="C365" s="563"/>
      <c r="D365" s="563"/>
      <c r="E365" s="563"/>
      <c r="F365" s="563"/>
      <c r="G365" s="563"/>
      <c r="H365" s="564"/>
      <c r="I365" s="565" t="s">
        <v>789</v>
      </c>
      <c r="J365" s="566"/>
      <c r="K365" s="567">
        <v>0</v>
      </c>
      <c r="L365" s="568"/>
      <c r="M365" s="569">
        <f>'１号単価表②'!D30</f>
        <v>11280</v>
      </c>
      <c r="N365" s="570"/>
      <c r="O365" s="571">
        <f>IF(K365&gt;0,ROUNDDOWN(M365*K365/(P118-T118),-1),0)</f>
        <v>0</v>
      </c>
      <c r="P365" s="572"/>
      <c r="Q365" s="572"/>
      <c r="R365" s="572"/>
      <c r="S365" s="572"/>
      <c r="T365" s="572"/>
      <c r="U365" s="572"/>
      <c r="V365" s="572"/>
      <c r="W365" s="572"/>
      <c r="X365" s="572"/>
      <c r="Y365" s="572"/>
      <c r="Z365" s="544"/>
      <c r="AA365" s="376">
        <v>0</v>
      </c>
      <c r="AB365" s="376">
        <v>1</v>
      </c>
      <c r="AC365" s="376">
        <v>2</v>
      </c>
      <c r="AD365" s="376">
        <v>3</v>
      </c>
      <c r="AE365" s="376">
        <v>4</v>
      </c>
      <c r="AF365" s="376">
        <v>5</v>
      </c>
      <c r="AG365" s="376">
        <v>6</v>
      </c>
      <c r="AH365" s="376">
        <v>7</v>
      </c>
      <c r="AI365" s="376">
        <v>8</v>
      </c>
      <c r="AJ365" s="376">
        <v>9</v>
      </c>
      <c r="AK365" s="376">
        <v>10</v>
      </c>
      <c r="AL365" s="376">
        <v>11</v>
      </c>
      <c r="AM365" s="376">
        <v>12</v>
      </c>
      <c r="AN365" s="376">
        <v>13</v>
      </c>
      <c r="AO365" s="376">
        <v>14</v>
      </c>
      <c r="AP365" s="376">
        <v>15</v>
      </c>
      <c r="AQ365" s="376">
        <v>16</v>
      </c>
      <c r="AR365" s="376">
        <v>17</v>
      </c>
      <c r="AS365" s="376">
        <v>18</v>
      </c>
      <c r="AT365" s="376">
        <v>19</v>
      </c>
      <c r="AU365" s="376">
        <v>20</v>
      </c>
      <c r="AV365" s="376">
        <v>21</v>
      </c>
      <c r="AW365" s="376">
        <v>22</v>
      </c>
      <c r="AX365" s="376">
        <v>23</v>
      </c>
      <c r="AY365" s="376">
        <v>24</v>
      </c>
      <c r="AZ365" s="376">
        <v>25</v>
      </c>
      <c r="BA365" s="376">
        <v>26</v>
      </c>
      <c r="BB365" s="376">
        <v>27</v>
      </c>
      <c r="BC365" s="376">
        <v>28</v>
      </c>
      <c r="BD365" s="376">
        <v>29</v>
      </c>
      <c r="BE365" s="376">
        <v>30</v>
      </c>
      <c r="BF365" s="376">
        <v>31</v>
      </c>
      <c r="BG365" s="376">
        <v>32</v>
      </c>
      <c r="BH365" s="376">
        <v>33</v>
      </c>
      <c r="BI365" s="376">
        <v>34</v>
      </c>
      <c r="BJ365" s="376">
        <v>35</v>
      </c>
      <c r="BK365" s="376">
        <v>36</v>
      </c>
      <c r="BL365" s="376">
        <v>37</v>
      </c>
      <c r="BM365" s="376">
        <v>38</v>
      </c>
      <c r="BN365" s="376">
        <v>39</v>
      </c>
      <c r="BO365" s="376">
        <v>40</v>
      </c>
      <c r="BP365" s="376">
        <v>41</v>
      </c>
      <c r="BQ365" s="376">
        <v>42</v>
      </c>
      <c r="BR365" s="376">
        <v>43</v>
      </c>
      <c r="BS365" s="376">
        <v>44</v>
      </c>
      <c r="BT365" s="376">
        <v>45</v>
      </c>
      <c r="BU365" s="376">
        <v>46</v>
      </c>
      <c r="BV365" s="376">
        <v>47</v>
      </c>
      <c r="BW365" s="376">
        <v>48</v>
      </c>
      <c r="BX365" s="376">
        <v>49</v>
      </c>
      <c r="BY365" s="376">
        <v>50</v>
      </c>
      <c r="BZ365" s="376">
        <v>51</v>
      </c>
      <c r="CA365" s="376">
        <v>52</v>
      </c>
      <c r="CB365" s="376">
        <v>53</v>
      </c>
      <c r="CC365" s="376">
        <v>54</v>
      </c>
      <c r="CD365" s="376">
        <v>55</v>
      </c>
      <c r="CE365" s="376">
        <v>56</v>
      </c>
      <c r="CF365" s="376">
        <v>57</v>
      </c>
      <c r="CG365" s="376">
        <v>58</v>
      </c>
      <c r="CH365" s="376">
        <v>59</v>
      </c>
      <c r="CI365" s="376">
        <v>60</v>
      </c>
      <c r="CJ365" s="376">
        <v>61</v>
      </c>
      <c r="CK365" s="376">
        <v>62</v>
      </c>
      <c r="CL365" s="376">
        <v>63</v>
      </c>
      <c r="CM365" s="376">
        <v>64</v>
      </c>
      <c r="CN365" s="376">
        <v>65</v>
      </c>
      <c r="CO365" s="376">
        <v>66</v>
      </c>
      <c r="CP365" s="376">
        <v>67</v>
      </c>
      <c r="CQ365" s="376">
        <v>68</v>
      </c>
      <c r="CR365" s="376">
        <v>69</v>
      </c>
      <c r="CS365" s="376">
        <v>70</v>
      </c>
      <c r="CT365" s="376">
        <v>71</v>
      </c>
      <c r="CU365" s="376">
        <v>72</v>
      </c>
      <c r="CV365" s="376">
        <v>73</v>
      </c>
      <c r="CW365" s="376">
        <v>74</v>
      </c>
      <c r="CX365" s="376">
        <v>75</v>
      </c>
      <c r="CY365" s="376">
        <v>76</v>
      </c>
      <c r="CZ365" s="376">
        <v>77</v>
      </c>
      <c r="DA365" s="376">
        <v>78</v>
      </c>
      <c r="DB365" s="376">
        <v>79</v>
      </c>
      <c r="DC365" s="376">
        <v>80</v>
      </c>
      <c r="DD365" s="376">
        <v>81</v>
      </c>
      <c r="DE365" s="376">
        <v>82</v>
      </c>
      <c r="DF365" s="376">
        <v>83</v>
      </c>
      <c r="DG365" s="376">
        <v>84</v>
      </c>
      <c r="DH365" s="376">
        <v>85</v>
      </c>
      <c r="DI365" s="376">
        <v>86</v>
      </c>
      <c r="DJ365" s="376">
        <v>87</v>
      </c>
      <c r="DK365" s="376">
        <v>88</v>
      </c>
      <c r="DL365" s="376">
        <v>89</v>
      </c>
      <c r="DM365" s="376">
        <v>90</v>
      </c>
      <c r="DN365" s="376">
        <v>91</v>
      </c>
      <c r="DO365" s="376">
        <v>92</v>
      </c>
      <c r="DP365" s="376">
        <v>93</v>
      </c>
      <c r="DQ365" s="376">
        <v>94</v>
      </c>
      <c r="DR365" s="376">
        <v>95</v>
      </c>
      <c r="DS365" s="376">
        <v>96</v>
      </c>
      <c r="DT365" s="376">
        <v>97</v>
      </c>
      <c r="DU365" s="376">
        <v>98</v>
      </c>
      <c r="DV365" s="376">
        <v>99</v>
      </c>
      <c r="DW365" s="376">
        <v>100</v>
      </c>
    </row>
    <row r="366" spans="1:127" s="378" customFormat="1" ht="35.25" customHeight="1">
      <c r="A366" s="446" t="s">
        <v>116</v>
      </c>
      <c r="B366" s="562" t="s">
        <v>727</v>
      </c>
      <c r="C366" s="563"/>
      <c r="D366" s="563"/>
      <c r="E366" s="563"/>
      <c r="F366" s="563"/>
      <c r="G366" s="563"/>
      <c r="H366" s="564"/>
      <c r="I366" s="565" t="s">
        <v>789</v>
      </c>
      <c r="J366" s="566"/>
      <c r="K366" s="567">
        <v>0</v>
      </c>
      <c r="L366" s="568"/>
      <c r="M366" s="569">
        <f>'１号単価表②'!D30</f>
        <v>11280</v>
      </c>
      <c r="N366" s="570"/>
      <c r="O366" s="571">
        <f>IF(K366&gt;0,ROUNDDOWN(M366*K366/P118,0),0)</f>
        <v>0</v>
      </c>
      <c r="P366" s="572"/>
      <c r="Q366" s="572"/>
      <c r="R366" s="572"/>
      <c r="S366" s="572"/>
      <c r="T366" s="572"/>
      <c r="U366" s="572"/>
      <c r="V366" s="572"/>
      <c r="W366" s="572"/>
      <c r="X366" s="572"/>
      <c r="Y366" s="572"/>
      <c r="Z366" s="544"/>
      <c r="AA366" s="376">
        <v>0</v>
      </c>
      <c r="AB366" s="376">
        <v>1</v>
      </c>
      <c r="AC366" s="376">
        <v>2</v>
      </c>
      <c r="AD366" s="376">
        <v>3</v>
      </c>
      <c r="AE366" s="376">
        <v>4</v>
      </c>
      <c r="AF366" s="376">
        <v>5</v>
      </c>
      <c r="AG366" s="376">
        <v>6</v>
      </c>
      <c r="AH366" s="376">
        <v>7</v>
      </c>
      <c r="AI366" s="376">
        <v>8</v>
      </c>
      <c r="AJ366" s="376">
        <v>9</v>
      </c>
      <c r="AK366" s="376">
        <v>10</v>
      </c>
      <c r="AL366" s="376">
        <v>11</v>
      </c>
      <c r="AM366" s="376">
        <v>12</v>
      </c>
      <c r="AN366" s="376">
        <v>13</v>
      </c>
      <c r="AO366" s="376">
        <v>14</v>
      </c>
      <c r="AP366" s="376">
        <v>15</v>
      </c>
      <c r="AQ366" s="376">
        <v>16</v>
      </c>
      <c r="AR366" s="376">
        <v>17</v>
      </c>
      <c r="AS366" s="376">
        <v>18</v>
      </c>
      <c r="AT366" s="376">
        <v>19</v>
      </c>
      <c r="AU366" s="376">
        <v>20</v>
      </c>
      <c r="AV366" s="376">
        <v>21</v>
      </c>
      <c r="AW366" s="376">
        <v>22</v>
      </c>
      <c r="AX366" s="376">
        <v>23</v>
      </c>
      <c r="AY366" s="376">
        <v>24</v>
      </c>
      <c r="AZ366" s="376">
        <v>25</v>
      </c>
      <c r="BA366" s="376">
        <v>26</v>
      </c>
      <c r="BB366" s="376">
        <v>27</v>
      </c>
      <c r="BC366" s="376">
        <v>28</v>
      </c>
      <c r="BD366" s="376">
        <v>29</v>
      </c>
      <c r="BE366" s="376">
        <v>30</v>
      </c>
      <c r="BF366" s="376">
        <v>31</v>
      </c>
      <c r="BG366" s="376">
        <v>32</v>
      </c>
      <c r="BH366" s="376">
        <v>33</v>
      </c>
      <c r="BI366" s="376">
        <v>34</v>
      </c>
      <c r="BJ366" s="376">
        <v>35</v>
      </c>
      <c r="BK366" s="376">
        <v>36</v>
      </c>
      <c r="BL366" s="376">
        <v>37</v>
      </c>
      <c r="BM366" s="376">
        <v>38</v>
      </c>
      <c r="BN366" s="376">
        <v>39</v>
      </c>
      <c r="BO366" s="376">
        <v>40</v>
      </c>
      <c r="BP366" s="376">
        <v>41</v>
      </c>
      <c r="BQ366" s="376">
        <v>42</v>
      </c>
      <c r="BR366" s="376">
        <v>43</v>
      </c>
      <c r="BS366" s="376">
        <v>44</v>
      </c>
      <c r="BT366" s="376">
        <v>45</v>
      </c>
      <c r="BU366" s="376">
        <v>46</v>
      </c>
      <c r="BV366" s="376">
        <v>47</v>
      </c>
      <c r="BW366" s="376">
        <v>48</v>
      </c>
      <c r="BX366" s="376">
        <v>49</v>
      </c>
      <c r="BY366" s="376">
        <v>50</v>
      </c>
      <c r="BZ366" s="376">
        <v>51</v>
      </c>
      <c r="CA366" s="376">
        <v>52</v>
      </c>
      <c r="CB366" s="376">
        <v>53</v>
      </c>
      <c r="CC366" s="376">
        <v>54</v>
      </c>
      <c r="CD366" s="376">
        <v>55</v>
      </c>
      <c r="CE366" s="376">
        <v>56</v>
      </c>
      <c r="CF366" s="376">
        <v>57</v>
      </c>
      <c r="CG366" s="376">
        <v>58</v>
      </c>
      <c r="CH366" s="376">
        <v>59</v>
      </c>
      <c r="CI366" s="376">
        <v>60</v>
      </c>
      <c r="CJ366" s="376">
        <v>61</v>
      </c>
      <c r="CK366" s="376">
        <v>62</v>
      </c>
      <c r="CL366" s="376">
        <v>63</v>
      </c>
      <c r="CM366" s="376">
        <v>64</v>
      </c>
      <c r="CN366" s="376">
        <v>65</v>
      </c>
      <c r="CO366" s="376">
        <v>66</v>
      </c>
      <c r="CP366" s="376">
        <v>67</v>
      </c>
      <c r="CQ366" s="376">
        <v>68</v>
      </c>
      <c r="CR366" s="376">
        <v>69</v>
      </c>
      <c r="CS366" s="376">
        <v>70</v>
      </c>
      <c r="CT366" s="376">
        <v>71</v>
      </c>
      <c r="CU366" s="376">
        <v>72</v>
      </c>
      <c r="CV366" s="376">
        <v>73</v>
      </c>
      <c r="CW366" s="376">
        <v>74</v>
      </c>
      <c r="CX366" s="376">
        <v>75</v>
      </c>
      <c r="CY366" s="376">
        <v>76</v>
      </c>
      <c r="CZ366" s="376">
        <v>77</v>
      </c>
      <c r="DA366" s="376">
        <v>78</v>
      </c>
      <c r="DB366" s="376">
        <v>79</v>
      </c>
      <c r="DC366" s="376">
        <v>80</v>
      </c>
      <c r="DD366" s="376">
        <v>81</v>
      </c>
      <c r="DE366" s="376">
        <v>82</v>
      </c>
      <c r="DF366" s="376">
        <v>83</v>
      </c>
      <c r="DG366" s="376">
        <v>84</v>
      </c>
      <c r="DH366" s="376">
        <v>85</v>
      </c>
      <c r="DI366" s="376">
        <v>86</v>
      </c>
      <c r="DJ366" s="376">
        <v>87</v>
      </c>
      <c r="DK366" s="376">
        <v>88</v>
      </c>
      <c r="DL366" s="376">
        <v>89</v>
      </c>
      <c r="DM366" s="376">
        <v>90</v>
      </c>
      <c r="DN366" s="376">
        <v>91</v>
      </c>
      <c r="DO366" s="376">
        <v>92</v>
      </c>
      <c r="DP366" s="376">
        <v>93</v>
      </c>
      <c r="DQ366" s="376">
        <v>94</v>
      </c>
      <c r="DR366" s="376">
        <v>95</v>
      </c>
      <c r="DS366" s="376">
        <v>96</v>
      </c>
      <c r="DT366" s="376">
        <v>97</v>
      </c>
      <c r="DU366" s="376">
        <v>98</v>
      </c>
      <c r="DV366" s="376">
        <v>99</v>
      </c>
      <c r="DW366" s="376">
        <v>100</v>
      </c>
    </row>
    <row r="367" spans="1:127" s="378" customFormat="1" ht="13.5" customHeight="1">
      <c r="A367" s="417" t="s">
        <v>37</v>
      </c>
      <c r="B367" s="662" t="s">
        <v>52</v>
      </c>
      <c r="C367" s="663"/>
      <c r="D367" s="663"/>
      <c r="E367" s="663"/>
      <c r="F367" s="663"/>
      <c r="G367" s="663"/>
      <c r="H367" s="664"/>
      <c r="I367" s="614" t="s">
        <v>117</v>
      </c>
      <c r="J367" s="611"/>
      <c r="K367" s="676" t="s">
        <v>80</v>
      </c>
      <c r="L367" s="677"/>
      <c r="M367" s="654">
        <f ca="1">IF(計算用２!D54&lt;3,OFFSET('２・３号単価表②'!H17,計算用２!D54,0),OFFSET('２・３号単価表②'!R17,計算用２!D54-3,0))</f>
        <v>110</v>
      </c>
      <c r="N367" s="655"/>
      <c r="O367" s="569">
        <f ca="1">IF(OR(K367="その他",K367="１級地",K367="２級地",K367="３級地",K367="４級地"),ROUNDDOWN(M367,-1),0)</f>
        <v>110</v>
      </c>
      <c r="P367" s="634"/>
      <c r="Q367" s="634"/>
      <c r="R367" s="634"/>
      <c r="S367" s="634"/>
      <c r="T367" s="634"/>
      <c r="U367" s="634"/>
      <c r="V367" s="634"/>
      <c r="W367" s="634"/>
      <c r="X367" s="634"/>
      <c r="Y367" s="634"/>
      <c r="Z367" s="570"/>
      <c r="AA367" s="404" t="s">
        <v>124</v>
      </c>
      <c r="AB367" s="403" t="s">
        <v>125</v>
      </c>
      <c r="AC367" s="403" t="s">
        <v>126</v>
      </c>
      <c r="AD367" s="403" t="s">
        <v>127</v>
      </c>
      <c r="AE367" s="403" t="s">
        <v>80</v>
      </c>
    </row>
    <row r="368" spans="1:127" s="378" customFormat="1" ht="13.5" customHeight="1">
      <c r="A368" s="417" t="s">
        <v>116</v>
      </c>
      <c r="B368" s="663" t="s">
        <v>413</v>
      </c>
      <c r="C368" s="663"/>
      <c r="D368" s="663"/>
      <c r="E368" s="663"/>
      <c r="F368" s="663"/>
      <c r="G368" s="663"/>
      <c r="H368" s="664"/>
      <c r="I368" s="614" t="s">
        <v>414</v>
      </c>
      <c r="J368" s="611"/>
      <c r="K368" s="659" t="s">
        <v>114</v>
      </c>
      <c r="L368" s="660"/>
      <c r="M368" s="654">
        <f>IF(I312="適用",IF(K368="B",'２・３号単価表②'!D23,'２・３号単価表②'!D21)*2,IF(K368="B",'２・３号単価表②'!D23,'２・３号単価表②'!D21))</f>
        <v>306020</v>
      </c>
      <c r="N368" s="655"/>
      <c r="O368" s="569">
        <f>IF(OR(K368="A",K368="B"),ROUNDDOWN(M368/L119,-1),0)</f>
        <v>0</v>
      </c>
      <c r="P368" s="634"/>
      <c r="Q368" s="634"/>
      <c r="R368" s="634"/>
      <c r="S368" s="634"/>
      <c r="T368" s="634"/>
      <c r="U368" s="634"/>
      <c r="V368" s="634"/>
      <c r="W368" s="634"/>
      <c r="X368" s="634"/>
      <c r="Y368" s="634"/>
      <c r="Z368" s="570"/>
      <c r="AA368" s="403" t="s">
        <v>114</v>
      </c>
      <c r="AB368" s="387" t="s">
        <v>120</v>
      </c>
      <c r="AC368" s="387" t="s">
        <v>121</v>
      </c>
    </row>
    <row r="369" spans="1:30" s="378" customFormat="1" ht="13.5" customHeight="1">
      <c r="A369" s="417"/>
      <c r="B369" s="663" t="s">
        <v>648</v>
      </c>
      <c r="C369" s="663"/>
      <c r="D369" s="663"/>
      <c r="E369" s="663"/>
      <c r="F369" s="663"/>
      <c r="G369" s="663"/>
      <c r="H369" s="664"/>
      <c r="I369" s="659" t="s">
        <v>114</v>
      </c>
      <c r="J369" s="660"/>
      <c r="K369" s="660"/>
      <c r="L369" s="661"/>
      <c r="M369" s="654">
        <f>'２・３号単価表②'!C26</f>
        <v>6120</v>
      </c>
      <c r="N369" s="655"/>
      <c r="O369" s="569">
        <f>IF(AND(I369="適用",OR(M4=3,P4=3)),M369,0)</f>
        <v>0</v>
      </c>
      <c r="P369" s="634"/>
      <c r="Q369" s="634"/>
      <c r="R369" s="634"/>
      <c r="S369" s="634"/>
      <c r="T369" s="634"/>
      <c r="U369" s="634"/>
      <c r="V369" s="634"/>
      <c r="W369" s="634"/>
      <c r="X369" s="634"/>
      <c r="Y369" s="634"/>
      <c r="Z369" s="570"/>
    </row>
    <row r="370" spans="1:30" s="378" customFormat="1" ht="13.5" customHeight="1">
      <c r="A370" s="417" t="s">
        <v>116</v>
      </c>
      <c r="B370" s="663" t="s">
        <v>649</v>
      </c>
      <c r="C370" s="663"/>
      <c r="D370" s="663"/>
      <c r="E370" s="663"/>
      <c r="F370" s="663"/>
      <c r="G370" s="663"/>
      <c r="H370" s="664"/>
      <c r="I370" s="659" t="s">
        <v>114</v>
      </c>
      <c r="J370" s="660"/>
      <c r="K370" s="660"/>
      <c r="L370" s="661"/>
      <c r="M370" s="654">
        <f>'２・３号単価表②'!C28</f>
        <v>77440</v>
      </c>
      <c r="N370" s="655"/>
      <c r="O370" s="569">
        <f>IF(AND(I370="適用",OR(M4=3,P4=3)),ROUNDDOWN(M370/L119,-1),0)</f>
        <v>0</v>
      </c>
      <c r="P370" s="634"/>
      <c r="Q370" s="634"/>
      <c r="R370" s="634"/>
      <c r="S370" s="634"/>
      <c r="T370" s="634"/>
      <c r="U370" s="634"/>
      <c r="V370" s="634"/>
      <c r="W370" s="634"/>
      <c r="X370" s="634"/>
      <c r="Y370" s="634"/>
      <c r="Z370" s="570"/>
    </row>
    <row r="371" spans="1:30" s="378" customFormat="1" ht="13.5" customHeight="1">
      <c r="A371" s="678" t="s">
        <v>116</v>
      </c>
      <c r="B371" s="619" t="s">
        <v>501</v>
      </c>
      <c r="C371" s="620"/>
      <c r="D371" s="620"/>
      <c r="E371" s="620"/>
      <c r="F371" s="620"/>
      <c r="G371" s="620"/>
      <c r="H371" s="621"/>
      <c r="I371" s="683" t="s">
        <v>502</v>
      </c>
      <c r="J371" s="684"/>
      <c r="K371" s="684"/>
      <c r="L371" s="685"/>
      <c r="M371" s="571">
        <f ca="1">IF(計算用２!D55&lt;1,'２・３号単価表②'!L30,OFFSET('２・３号単価表②'!L30,計算用２!D55*2,0))</f>
        <v>456000</v>
      </c>
      <c r="N371" s="544"/>
      <c r="O371" s="571">
        <f>IF(AND(OR(I372="400時間以上800時間未満",I372="800時間以上1,200時間未満",I372="1,200時間以上"),OR(M4=3,P4=3)),ROUNDDOWN(M371/L119,-1),0)</f>
        <v>0</v>
      </c>
      <c r="P371" s="572"/>
      <c r="Q371" s="572"/>
      <c r="R371" s="572"/>
      <c r="S371" s="572"/>
      <c r="T371" s="572"/>
      <c r="U371" s="572"/>
      <c r="V371" s="572"/>
      <c r="W371" s="572"/>
      <c r="X371" s="572"/>
      <c r="Y371" s="572"/>
      <c r="Z371" s="544"/>
      <c r="AA371" s="401" t="s">
        <v>503</v>
      </c>
      <c r="AB371" s="376" t="s">
        <v>504</v>
      </c>
      <c r="AC371" s="376" t="s">
        <v>505</v>
      </c>
    </row>
    <row r="372" spans="1:30" s="378" customFormat="1" ht="13.5" customHeight="1">
      <c r="A372" s="679"/>
      <c r="B372" s="680"/>
      <c r="C372" s="681"/>
      <c r="D372" s="681"/>
      <c r="E372" s="681"/>
      <c r="F372" s="681"/>
      <c r="G372" s="681"/>
      <c r="H372" s="682"/>
      <c r="I372" s="688"/>
      <c r="J372" s="689"/>
      <c r="K372" s="689"/>
      <c r="L372" s="690"/>
      <c r="M372" s="686"/>
      <c r="N372" s="548"/>
      <c r="O372" s="686"/>
      <c r="P372" s="687"/>
      <c r="Q372" s="687"/>
      <c r="R372" s="687"/>
      <c r="S372" s="687"/>
      <c r="T372" s="687"/>
      <c r="U372" s="687"/>
      <c r="V372" s="687"/>
      <c r="W372" s="687"/>
      <c r="X372" s="687"/>
      <c r="Y372" s="687"/>
      <c r="Z372" s="548"/>
      <c r="AA372" s="447"/>
      <c r="AB372" s="382"/>
      <c r="AC372" s="382"/>
    </row>
    <row r="373" spans="1:30" s="378" customFormat="1" ht="13.5" customHeight="1">
      <c r="A373" s="417" t="s">
        <v>116</v>
      </c>
      <c r="B373" s="662" t="s">
        <v>128</v>
      </c>
      <c r="C373" s="663"/>
      <c r="D373" s="663"/>
      <c r="E373" s="663"/>
      <c r="F373" s="663"/>
      <c r="G373" s="663"/>
      <c r="H373" s="664"/>
      <c r="I373" s="614" t="s">
        <v>129</v>
      </c>
      <c r="J373" s="611"/>
      <c r="K373" s="691"/>
      <c r="L373" s="692"/>
      <c r="M373" s="569">
        <f>IF(I312="適用",'２・３号単価表②'!C37*2,'２・３号単価表②'!C37)</f>
        <v>160000</v>
      </c>
      <c r="N373" s="570"/>
      <c r="O373" s="569">
        <f>IF(AND(K373&gt;0,OR(M4=3,P4=3)),ROUNDDOWN(MIN(K373,M373)/L119,-1),0)</f>
        <v>0</v>
      </c>
      <c r="P373" s="634"/>
      <c r="Q373" s="634"/>
      <c r="R373" s="634"/>
      <c r="S373" s="634"/>
      <c r="T373" s="634"/>
      <c r="U373" s="634"/>
      <c r="V373" s="634"/>
      <c r="W373" s="634"/>
      <c r="X373" s="634"/>
      <c r="Y373" s="634"/>
      <c r="Z373" s="570"/>
    </row>
    <row r="374" spans="1:30" s="378" customFormat="1" ht="13.5" customHeight="1">
      <c r="A374" s="417" t="s">
        <v>116</v>
      </c>
      <c r="B374" s="662" t="s">
        <v>130</v>
      </c>
      <c r="C374" s="663"/>
      <c r="D374" s="663"/>
      <c r="E374" s="663"/>
      <c r="F374" s="663"/>
      <c r="G374" s="663"/>
      <c r="H374" s="664"/>
      <c r="I374" s="659"/>
      <c r="J374" s="660"/>
      <c r="K374" s="660"/>
      <c r="L374" s="661"/>
      <c r="M374" s="654">
        <f>IF(I312="適用",'２・３号単価表②'!C39*2,'２・３号単価表②'!C39)</f>
        <v>96840</v>
      </c>
      <c r="N374" s="655"/>
      <c r="O374" s="569">
        <f>IF(AND(I374="適用",OR(M4=3,P4=3)),ROUNDDOWN(M374/L119,-1),0)</f>
        <v>0</v>
      </c>
      <c r="P374" s="634"/>
      <c r="Q374" s="634"/>
      <c r="R374" s="634"/>
      <c r="S374" s="634"/>
      <c r="T374" s="634"/>
      <c r="U374" s="634"/>
      <c r="V374" s="634"/>
      <c r="W374" s="634"/>
      <c r="X374" s="634"/>
      <c r="Y374" s="634"/>
      <c r="Z374" s="570"/>
    </row>
    <row r="375" spans="1:30" s="378" customFormat="1" ht="13.5" customHeight="1">
      <c r="A375" s="412" t="s">
        <v>116</v>
      </c>
      <c r="B375" s="619" t="s">
        <v>415</v>
      </c>
      <c r="C375" s="620"/>
      <c r="D375" s="620"/>
      <c r="E375" s="620"/>
      <c r="F375" s="620"/>
      <c r="G375" s="620"/>
      <c r="H375" s="621"/>
      <c r="I375" s="609" t="s">
        <v>131</v>
      </c>
      <c r="J375" s="610"/>
      <c r="K375" s="651"/>
      <c r="L375" s="653"/>
      <c r="M375" s="656" t="e">
        <f ca="1">M376+M377</f>
        <v>#N/A</v>
      </c>
      <c r="N375" s="657"/>
      <c r="O375" s="635">
        <f>IF(OR(K375="A",K375="B",K375="C"),ROUNDDOWN(M375/P118,-1),0)</f>
        <v>0</v>
      </c>
      <c r="P375" s="636"/>
      <c r="Q375" s="636"/>
      <c r="R375" s="636"/>
      <c r="S375" s="636"/>
      <c r="T375" s="636"/>
      <c r="U375" s="636"/>
      <c r="V375" s="636"/>
      <c r="W375" s="636"/>
      <c r="X375" s="636"/>
      <c r="Y375" s="636"/>
      <c r="Z375" s="658"/>
      <c r="AA375" s="413" t="s">
        <v>114</v>
      </c>
      <c r="AB375" s="387" t="s">
        <v>120</v>
      </c>
      <c r="AC375" s="387" t="s">
        <v>121</v>
      </c>
      <c r="AD375" s="387" t="s">
        <v>132</v>
      </c>
    </row>
    <row r="376" spans="1:30" s="378" customFormat="1" ht="13.5" customHeight="1">
      <c r="A376" s="414"/>
      <c r="B376" s="437"/>
      <c r="C376" s="599" t="s">
        <v>115</v>
      </c>
      <c r="D376" s="600"/>
      <c r="E376" s="600"/>
      <c r="F376" s="600"/>
      <c r="G376" s="600"/>
      <c r="H376" s="601"/>
      <c r="I376" s="665"/>
      <c r="J376" s="666"/>
      <c r="K376" s="666"/>
      <c r="L376" s="667"/>
      <c r="M376" s="589" t="e">
        <f ca="1">IF(INDEX(計算用２!B64:B67,MATCH(K375,計算用２!M64:M67,0))&lt;2,'２・３号単価表②'!E42,OFFSET('２・３号単価表②'!E42,(INDEX(計算用２!B64:B67,MATCH(K375,計算用２!M64:M67,0))-1)*3,0))</f>
        <v>#N/A</v>
      </c>
      <c r="N376" s="590"/>
      <c r="O376" s="596">
        <f>O375-O377</f>
        <v>0</v>
      </c>
      <c r="P376" s="597"/>
      <c r="Q376" s="597"/>
      <c r="R376" s="597"/>
      <c r="S376" s="597"/>
      <c r="T376" s="597"/>
      <c r="U376" s="597"/>
      <c r="V376" s="597"/>
      <c r="W376" s="597"/>
      <c r="X376" s="597"/>
      <c r="Y376" s="597"/>
      <c r="Z376" s="598"/>
    </row>
    <row r="377" spans="1:30" s="378" customFormat="1" ht="13.5" customHeight="1">
      <c r="A377" s="415"/>
      <c r="B377" s="445"/>
      <c r="C377" s="671" t="s">
        <v>7</v>
      </c>
      <c r="D377" s="672"/>
      <c r="E377" s="672"/>
      <c r="F377" s="672"/>
      <c r="G377" s="672"/>
      <c r="H377" s="673"/>
      <c r="I377" s="668"/>
      <c r="J377" s="669"/>
      <c r="K377" s="669"/>
      <c r="L377" s="670"/>
      <c r="M377" s="674" t="e">
        <f ca="1">IF(INDEX(計算用２!B64:B67,MATCH(K375,計算用２!M64:M67,0))&lt;2,'２・３号単価表②'!K42,OFFSET('２・３号単価表②'!K42,(INDEX(計算用２!B64:B67,MATCH(K375,計算用２!M64:M67,0))-1)*3,0))*$K$133</f>
        <v>#N/A</v>
      </c>
      <c r="N377" s="675"/>
      <c r="O377" s="596">
        <f>IF(OR(K375="A",K375="B",K375="C"),ROUNDDOWN(M377/P118,-1),0)</f>
        <v>0</v>
      </c>
      <c r="P377" s="597"/>
      <c r="Q377" s="597"/>
      <c r="R377" s="597"/>
      <c r="S377" s="597"/>
      <c r="T377" s="597"/>
      <c r="U377" s="597"/>
      <c r="V377" s="597"/>
      <c r="W377" s="597"/>
      <c r="X377" s="597"/>
      <c r="Y377" s="597"/>
      <c r="Z377" s="598"/>
    </row>
    <row r="378" spans="1:30" s="378" customFormat="1" ht="13.5" customHeight="1">
      <c r="A378" s="417" t="s">
        <v>116</v>
      </c>
      <c r="B378" s="648" t="s">
        <v>133</v>
      </c>
      <c r="C378" s="649"/>
      <c r="D378" s="649"/>
      <c r="E378" s="649"/>
      <c r="F378" s="649"/>
      <c r="G378" s="649"/>
      <c r="H378" s="650"/>
      <c r="I378" s="651"/>
      <c r="J378" s="652"/>
      <c r="K378" s="652"/>
      <c r="L378" s="653"/>
      <c r="M378" s="654">
        <f>IF(I312="適用",'２・３号単価表②'!C50*2,'２・３号単価表②'!C50)</f>
        <v>150000</v>
      </c>
      <c r="N378" s="655"/>
      <c r="O378" s="569">
        <f>IF(AND(I378="適用"),ROUNDDOWN(M378/L119,-1),0)</f>
        <v>0</v>
      </c>
      <c r="P378" s="634"/>
      <c r="Q378" s="634"/>
      <c r="R378" s="634"/>
      <c r="S378" s="634"/>
      <c r="T378" s="634"/>
      <c r="U378" s="634"/>
      <c r="V378" s="634"/>
      <c r="W378" s="634"/>
      <c r="X378" s="634"/>
      <c r="Y378" s="634"/>
      <c r="Z378" s="570"/>
    </row>
    <row r="379" spans="1:30" s="378" customFormat="1" ht="13.5" customHeight="1">
      <c r="A379" s="617" t="s">
        <v>134</v>
      </c>
      <c r="B379" s="617"/>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row>
    <row r="380" spans="1:30" s="378" customFormat="1" ht="13.5" customHeight="1">
      <c r="A380" s="617" t="s">
        <v>135</v>
      </c>
      <c r="B380" s="617"/>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row>
    <row r="382" spans="1:30" s="378" customFormat="1" ht="13.5" customHeight="1">
      <c r="A382" s="609" t="s">
        <v>3</v>
      </c>
      <c r="B382" s="608"/>
      <c r="C382" s="608"/>
      <c r="D382" s="608"/>
      <c r="E382" s="608"/>
      <c r="F382" s="608"/>
      <c r="G382" s="608"/>
      <c r="H382" s="608"/>
      <c r="I382" s="608"/>
      <c r="J382" s="608"/>
      <c r="K382" s="608"/>
      <c r="L382" s="608"/>
      <c r="M382" s="608"/>
      <c r="N382" s="610"/>
      <c r="O382" s="609" t="s">
        <v>108</v>
      </c>
      <c r="P382" s="608"/>
      <c r="Q382" s="609" t="s">
        <v>109</v>
      </c>
      <c r="R382" s="608"/>
      <c r="S382" s="582" t="s">
        <v>110</v>
      </c>
      <c r="T382" s="583"/>
      <c r="U382" s="608" t="s">
        <v>455</v>
      </c>
      <c r="V382" s="608"/>
      <c r="W382" s="609" t="s">
        <v>456</v>
      </c>
      <c r="X382" s="608"/>
      <c r="Y382" s="609" t="s">
        <v>457</v>
      </c>
      <c r="Z382" s="610"/>
      <c r="AA382" s="382"/>
    </row>
    <row r="383" spans="1:30" s="378" customFormat="1" ht="13.5" customHeight="1">
      <c r="A383" s="1091" t="s">
        <v>608</v>
      </c>
      <c r="B383" s="623"/>
      <c r="C383" s="623"/>
      <c r="D383" s="623"/>
      <c r="E383" s="623"/>
      <c r="F383" s="623"/>
      <c r="G383" s="623"/>
      <c r="H383" s="623"/>
      <c r="I383" s="623"/>
      <c r="J383" s="623"/>
      <c r="K383" s="623"/>
      <c r="L383" s="623"/>
      <c r="M383" s="1092" t="s">
        <v>458</v>
      </c>
      <c r="N383" s="1093"/>
      <c r="O383" s="1094" t="e">
        <f ca="1">IF(I344="適用",SUM(O345,O360,O363,O365,O367,O368,O369,O370,O371,O373,O374,O375,O378),SUM(O261,O269,O292,O296,O301,O304,O305,O312,O321,O333,O337,O340,O360,O363,O365,O367,O368,O369,O370,O371,O373,O374,O375,O378))</f>
        <v>#N/A</v>
      </c>
      <c r="P383" s="1095"/>
      <c r="Q383" s="1094" t="e">
        <f ca="1">IF(I344="適用",SUM(O345,O360,O363,O365,O367,O368,O369,O370,O371,O373,O374,O375,O378),SUM(O261,O269,O292,O296,O301,O304,O305,O312,O321,O333,O337,O340,O360,O363,O365,O367,O368,O369,O370,O371,O373,O374,O375,O378))</f>
        <v>#N/A</v>
      </c>
      <c r="R383" s="1095"/>
      <c r="S383" s="1094" t="e">
        <f ca="1">IF(I344="適用",SUM(S345,O360,O363,O365,O367,O368,O369,O370,O371,O373,O374,O375,O378),SUM(S261,S269,S289,O292,O296,O301,O304,O305,O312,S321,O333,O337,O340,O360,O363,O365,O367,O368,O369,O370,O371,O373,O374,O375,O378))</f>
        <v>#N/A</v>
      </c>
      <c r="T383" s="1095"/>
      <c r="U383" s="1094" t="e">
        <f ca="1">IF(I344="適用",SUM(U345,O360,O363,O365,O367,O368,O369,O370,O371,O373,O374,O375,O378),SUM(U261,U269,O292,U297,O304,O305,O312,U321,O333,O337,O340,O360,O363,O365,O367,O368,O369,O370,O371,O373,O374,O375,O378))</f>
        <v>#N/A</v>
      </c>
      <c r="V383" s="1095"/>
      <c r="W383" s="1094" t="e">
        <f ca="1">IF(I344="適用",SUM(U345,O360,O363,O365,O367,O368,O369,O370,O371,O373,O374,O375,O378),SUM(U261,U269,O292,U297,O304,O305,O312,U321,O333,O337,O340,O360,O363,O365,O367,O368,O369,O370,O371,O373,O374,O375,O378))</f>
        <v>#N/A</v>
      </c>
      <c r="X383" s="1095"/>
      <c r="Y383" s="1094" t="e">
        <f ca="1">IF(I344="適用",SUM(Y345,O360,O363,O365,O367,O368,O369,O370,O371,O373,O374,O375,O378),SUM(Y261,Y269,O292,U297,O304,O305,O312,Y321,O333,O337,O340,O360,O363,O365,O367,O368,O369,O370,O371,O373,O374,O375,O378))</f>
        <v>#N/A</v>
      </c>
      <c r="Z383" s="1095"/>
      <c r="AA383" s="382"/>
    </row>
    <row r="384" spans="1:30" s="378" customFormat="1" ht="13.5" customHeight="1">
      <c r="A384" s="911"/>
      <c r="B384" s="711"/>
      <c r="C384" s="711"/>
      <c r="D384" s="711"/>
      <c r="E384" s="711"/>
      <c r="F384" s="711"/>
      <c r="G384" s="711"/>
      <c r="H384" s="711"/>
      <c r="I384" s="711"/>
      <c r="J384" s="711"/>
      <c r="K384" s="711"/>
      <c r="L384" s="711"/>
      <c r="M384" s="1096" t="s">
        <v>459</v>
      </c>
      <c r="N384" s="1097"/>
      <c r="O384" s="953" t="e">
        <f ca="1">IF(I344="適用",SUM(O346,O360,O363,O365,O367,O368,O369,O370,O371,O373,O374,O375,O378),SUM(O262,O270,O292,O296,O301,O304,O305,O312,O322,O333,O337,O340,O360,O363,O365,O367,O368,O369,O370,O371,O373,O374,O375,O378))</f>
        <v>#N/A</v>
      </c>
      <c r="P384" s="955"/>
      <c r="Q384" s="953" t="e">
        <f ca="1">IF(I344="適用",SUM(O346,O360,O363,O365,O367,O368,O369,O370,O371,O373,O374,O375,O378),SUM(O262,O270,O292,O296,O301,O304,O305,O312,O322,O333,O337,O340,O360,O363,O367,O365,O368,O369,O370,O371,O373,O374,O375,O378))</f>
        <v>#N/A</v>
      </c>
      <c r="R384" s="955"/>
      <c r="S384" s="1098" t="e">
        <f ca="1">IF(I344="適用",SUM(S346,O360,O363,O365,O367,O368,O369,O370,O371,O373,O374,O375,O378),SUM(S262,S270,S289,O292,O296,O301,O304,O305,O312,S322,O333,O337,O340,O360,O363,O365,O367,O368,O369,O370,O371,O373,O374,O375,O378))</f>
        <v>#N/A</v>
      </c>
      <c r="T384" s="1098"/>
      <c r="U384" s="1098" t="e">
        <f ca="1">IF(I344="適用",SUM(U346,O360,O363,O365,O367,O368,O369,O370,O371,O373,O374,O375,O378),SUM(U262,U270,O292,U297,O304,O305,O312,U322,O333,O337,O340,O360,O363,O365,O367,O368,O369,O370,O371,O373,O374,O375,O378))</f>
        <v>#N/A</v>
      </c>
      <c r="V384" s="1098"/>
      <c r="W384" s="1098" t="e">
        <f ca="1">IF(I344="適用",SUM(U346,O360,O363,O365,O367,O368,O369,O370,O371,O373,O374,O375,O378),SUM(U262,U270,O292,U297,O304,O305,O312,U322,O333,O337,O340,O360,O363,O365,O367,O368,O369,O370,O371,O373,O374,O375,O378))</f>
        <v>#N/A</v>
      </c>
      <c r="X384" s="1098"/>
      <c r="Y384" s="1098" t="e">
        <f ca="1">IF(I344="適用",SUM(Y346,O360,O363,O365,O367,O368,O369,O370,O371,O373,O374,O375,O378),SUM(Y262,Y270,O292,U297,O304,O305,O312,Y322,O333,O337,O340,O360,O363,O365,O367,O368,O369,O370,O371,O373,O374,O375,O378))</f>
        <v>#N/A</v>
      </c>
      <c r="Z384" s="1098"/>
      <c r="AA384" s="382"/>
    </row>
    <row r="385" spans="1:27" s="378" customFormat="1" ht="13.5" customHeight="1">
      <c r="A385" s="448"/>
      <c r="B385" s="708" t="s">
        <v>10</v>
      </c>
      <c r="C385" s="708"/>
      <c r="D385" s="708"/>
      <c r="E385" s="708"/>
      <c r="F385" s="708"/>
      <c r="G385" s="708"/>
      <c r="H385" s="708"/>
      <c r="I385" s="708"/>
      <c r="J385" s="708"/>
      <c r="K385" s="708"/>
      <c r="L385" s="708"/>
      <c r="M385" s="1096" t="s">
        <v>458</v>
      </c>
      <c r="N385" s="1097"/>
      <c r="O385" s="953" t="e">
        <f ca="1">IF(I344="適用",SUM(O349,O362,O377),SUM(O269,O295,O300,O303,O314,O325,O336,O339,O343,O362,O377))</f>
        <v>#N/A</v>
      </c>
      <c r="P385" s="955"/>
      <c r="Q385" s="953" t="e">
        <f ca="1">IF(I344="適用",SUM(O349,O362,O377),SUM(O269,O295,O300,O303,O314,O325,O336,O339,O343,O362,O377))</f>
        <v>#N/A</v>
      </c>
      <c r="R385" s="955"/>
      <c r="S385" s="1098" t="e">
        <f ca="1">IF(I344="適用",SUM(S349,O362,O377),SUM(S269,S291,O295,O300,O303,O314,S325,O336,O339,O343,O362,O377))</f>
        <v>#N/A</v>
      </c>
      <c r="T385" s="1098"/>
      <c r="U385" s="1098" t="e">
        <f ca="1">IF(I344="適用",SUM(U349,O362,O377),SUM(U269,O295,O300,O314,U325,O336,O339,O343,O362,O377))</f>
        <v>#N/A</v>
      </c>
      <c r="V385" s="1098"/>
      <c r="W385" s="1098" t="e">
        <f ca="1">IF(I344="適用",SUM(U349,O362,O377),SUM(U269,O295,O300,O314,U325,O336,O339,O343,O362,O377))</f>
        <v>#N/A</v>
      </c>
      <c r="X385" s="1098"/>
      <c r="Y385" s="1098" t="e">
        <f ca="1">IF(I344="適用",SUM(Y349,O362,O377),SUM(Y269,O295,O300,O314,Y325,O336,O339,O343,O362,O377))</f>
        <v>#N/A</v>
      </c>
      <c r="Z385" s="1098"/>
      <c r="AA385" s="382"/>
    </row>
    <row r="386" spans="1:27" s="378" customFormat="1" ht="13.5" customHeight="1">
      <c r="A386" s="449"/>
      <c r="B386" s="711"/>
      <c r="C386" s="711"/>
      <c r="D386" s="711"/>
      <c r="E386" s="711"/>
      <c r="F386" s="711"/>
      <c r="G386" s="711"/>
      <c r="H386" s="711"/>
      <c r="I386" s="711"/>
      <c r="J386" s="711"/>
      <c r="K386" s="711"/>
      <c r="L386" s="711"/>
      <c r="M386" s="1096" t="s">
        <v>459</v>
      </c>
      <c r="N386" s="1097"/>
      <c r="O386" s="1099" t="e">
        <f ca="1">IF(I344="適用",SUM(O350,O362,O377),SUM(O270,O295,O300,O303,O314,O326,O336,O339,O343,O362,O377))</f>
        <v>#N/A</v>
      </c>
      <c r="P386" s="1100"/>
      <c r="Q386" s="1099" t="e">
        <f ca="1">IF(I344="適用",SUM(O350,O362,O377),SUM(O270,O295,O300,O303,O314,O326,O336,O339,O343,O362,O377))</f>
        <v>#N/A</v>
      </c>
      <c r="R386" s="1100"/>
      <c r="S386" s="1098" t="e">
        <f ca="1">IF(I344="適用",SUM(S350,O362,O377),SUM(S270,S291,O295,O300,O303,O314,S326,O336,O339,O343,O362,O377))</f>
        <v>#N/A</v>
      </c>
      <c r="T386" s="1098"/>
      <c r="U386" s="1098" t="e">
        <f ca="1">IF(I344="適用",SUM(U350,O362,O377),SUM(U270,O295,O300,O314,U326,O336,O339,O343,O362,O377))</f>
        <v>#N/A</v>
      </c>
      <c r="V386" s="1098"/>
      <c r="W386" s="1098" t="e">
        <f ca="1">IF(I344="適用",SUM(U350,O362,O377),SUM(U270,O295,O300,O314,U326,O336,O339,O343,O362,O377))</f>
        <v>#N/A</v>
      </c>
      <c r="X386" s="1098"/>
      <c r="Y386" s="1098" t="e">
        <f ca="1">IF(I344="適用",SUM(Y350,O362,O377),SUM(Y270,O295,O300,O314,Y326,O336,O339,O343,O362,O377))</f>
        <v>#N/A</v>
      </c>
      <c r="Z386" s="1098"/>
      <c r="AA386" s="382"/>
    </row>
    <row r="387" spans="1:27" s="378" customFormat="1" ht="13.5" customHeight="1">
      <c r="A387" s="956" t="s">
        <v>136</v>
      </c>
      <c r="B387" s="708"/>
      <c r="C387" s="708"/>
      <c r="D387" s="708"/>
      <c r="E387" s="708"/>
      <c r="F387" s="708"/>
      <c r="G387" s="708"/>
      <c r="H387" s="708"/>
      <c r="I387" s="708"/>
      <c r="J387" s="708"/>
      <c r="K387" s="708"/>
      <c r="L387" s="708"/>
      <c r="M387" s="1096" t="s">
        <v>458</v>
      </c>
      <c r="N387" s="1097"/>
      <c r="O387" s="953" t="e">
        <f ca="1">O383+O308</f>
        <v>#N/A</v>
      </c>
      <c r="P387" s="955"/>
      <c r="Q387" s="953" t="e">
        <f ca="1">Q383+O308</f>
        <v>#N/A</v>
      </c>
      <c r="R387" s="955"/>
      <c r="S387" s="953" t="e">
        <f ca="1">S383+O308</f>
        <v>#N/A</v>
      </c>
      <c r="T387" s="955"/>
      <c r="U387" s="865"/>
      <c r="V387" s="1112"/>
      <c r="W387" s="1112"/>
      <c r="X387" s="1112"/>
      <c r="Y387" s="1112"/>
      <c r="Z387" s="866"/>
      <c r="AA387" s="382"/>
    </row>
    <row r="388" spans="1:27" s="378" customFormat="1" ht="13.5" customHeight="1">
      <c r="A388" s="911"/>
      <c r="B388" s="711"/>
      <c r="C388" s="711"/>
      <c r="D388" s="711"/>
      <c r="E388" s="711"/>
      <c r="F388" s="711"/>
      <c r="G388" s="711"/>
      <c r="H388" s="711"/>
      <c r="I388" s="711"/>
      <c r="J388" s="711"/>
      <c r="K388" s="711"/>
      <c r="L388" s="711"/>
      <c r="M388" s="1096" t="s">
        <v>459</v>
      </c>
      <c r="N388" s="1097"/>
      <c r="O388" s="953" t="e">
        <f ca="1">O384+O308</f>
        <v>#N/A</v>
      </c>
      <c r="P388" s="955"/>
      <c r="Q388" s="953" t="e">
        <f ca="1">Q384+O308</f>
        <v>#N/A</v>
      </c>
      <c r="R388" s="955"/>
      <c r="S388" s="953" t="e">
        <f ca="1">S384+O308</f>
        <v>#N/A</v>
      </c>
      <c r="T388" s="955"/>
      <c r="U388" s="642"/>
      <c r="V388" s="643"/>
      <c r="W388" s="643"/>
      <c r="X388" s="643"/>
      <c r="Y388" s="643"/>
      <c r="Z388" s="644"/>
      <c r="AA388" s="382"/>
    </row>
    <row r="389" spans="1:27" s="378" customFormat="1" ht="13.5" customHeight="1">
      <c r="A389" s="450"/>
      <c r="B389" s="708" t="s">
        <v>10</v>
      </c>
      <c r="C389" s="708"/>
      <c r="D389" s="708"/>
      <c r="E389" s="708"/>
      <c r="F389" s="708"/>
      <c r="G389" s="708"/>
      <c r="H389" s="708"/>
      <c r="I389" s="708"/>
      <c r="J389" s="708"/>
      <c r="K389" s="708"/>
      <c r="L389" s="708"/>
      <c r="M389" s="1096" t="s">
        <v>458</v>
      </c>
      <c r="N389" s="1097"/>
      <c r="O389" s="953" t="e">
        <f ca="1">O385</f>
        <v>#N/A</v>
      </c>
      <c r="P389" s="955"/>
      <c r="Q389" s="953" t="e">
        <f t="shared" ref="Q389:Q390" ca="1" si="42">Q385</f>
        <v>#N/A</v>
      </c>
      <c r="R389" s="955"/>
      <c r="S389" s="953" t="e">
        <f t="shared" ref="S389:S390" ca="1" si="43">S385</f>
        <v>#N/A</v>
      </c>
      <c r="T389" s="955"/>
      <c r="U389" s="642"/>
      <c r="V389" s="643"/>
      <c r="W389" s="643"/>
      <c r="X389" s="643"/>
      <c r="Y389" s="643"/>
      <c r="Z389" s="644"/>
      <c r="AA389" s="382"/>
    </row>
    <row r="390" spans="1:27" s="378" customFormat="1" ht="13.5" customHeight="1">
      <c r="A390" s="448"/>
      <c r="B390" s="617"/>
      <c r="C390" s="617"/>
      <c r="D390" s="617"/>
      <c r="E390" s="617"/>
      <c r="F390" s="617"/>
      <c r="G390" s="617"/>
      <c r="H390" s="617"/>
      <c r="I390" s="617"/>
      <c r="J390" s="617"/>
      <c r="K390" s="617"/>
      <c r="L390" s="617"/>
      <c r="M390" s="1113" t="s">
        <v>459</v>
      </c>
      <c r="N390" s="1114"/>
      <c r="O390" s="1099" t="e">
        <f t="shared" ref="O390" ca="1" si="44">O386</f>
        <v>#N/A</v>
      </c>
      <c r="P390" s="1100"/>
      <c r="Q390" s="1099" t="e">
        <f t="shared" ca="1" si="42"/>
        <v>#N/A</v>
      </c>
      <c r="R390" s="1100"/>
      <c r="S390" s="922" t="e">
        <f t="shared" ca="1" si="43"/>
        <v>#N/A</v>
      </c>
      <c r="T390" s="924"/>
      <c r="U390" s="645"/>
      <c r="V390" s="646"/>
      <c r="W390" s="646"/>
      <c r="X390" s="646"/>
      <c r="Y390" s="646"/>
      <c r="Z390" s="647"/>
      <c r="AA390" s="382"/>
    </row>
    <row r="391" spans="1:27" s="378" customFormat="1" ht="13.5" customHeight="1">
      <c r="A391" s="1117" t="s">
        <v>549</v>
      </c>
      <c r="B391" s="1118"/>
      <c r="C391" s="1118"/>
      <c r="D391" s="1118"/>
      <c r="E391" s="1118"/>
      <c r="F391" s="1118"/>
      <c r="G391" s="1118"/>
      <c r="H391" s="1118"/>
      <c r="I391" s="1118"/>
      <c r="J391" s="1118"/>
      <c r="K391" s="1118"/>
      <c r="L391" s="1119"/>
      <c r="M391" s="1092" t="s">
        <v>458</v>
      </c>
      <c r="N391" s="1093"/>
      <c r="O391" s="1120">
        <f>'在籍児童一覧（保育）'!Q163</f>
        <v>0</v>
      </c>
      <c r="P391" s="1121"/>
      <c r="Q391" s="1120">
        <f>'在籍児童一覧（保育）'!S163</f>
        <v>0</v>
      </c>
      <c r="R391" s="1121"/>
      <c r="S391" s="1120">
        <f>'在籍児童一覧（保育）'!U163</f>
        <v>0</v>
      </c>
      <c r="T391" s="1121"/>
      <c r="U391" s="1120">
        <f>'在籍児童一覧（保育）'!W163</f>
        <v>0</v>
      </c>
      <c r="V391" s="1121"/>
      <c r="W391" s="1120">
        <f>'在籍児童一覧（保育）'!Y163</f>
        <v>0</v>
      </c>
      <c r="X391" s="1121"/>
      <c r="Y391" s="1120">
        <f>'在籍児童一覧（保育）'!AA163</f>
        <v>0</v>
      </c>
      <c r="Z391" s="1121"/>
      <c r="AA391" s="382"/>
    </row>
    <row r="392" spans="1:27" s="378" customFormat="1" ht="13.5" customHeight="1">
      <c r="A392" s="967" t="s">
        <v>625</v>
      </c>
      <c r="B392" s="711"/>
      <c r="C392" s="711"/>
      <c r="D392" s="711"/>
      <c r="E392" s="711"/>
      <c r="F392" s="711"/>
      <c r="G392" s="711"/>
      <c r="H392" s="711"/>
      <c r="I392" s="711"/>
      <c r="J392" s="711"/>
      <c r="K392" s="711"/>
      <c r="L392" s="712"/>
      <c r="M392" s="1113" t="s">
        <v>459</v>
      </c>
      <c r="N392" s="1114"/>
      <c r="O392" s="1122">
        <f>'在籍児童一覧（保育）'!Q181</f>
        <v>0</v>
      </c>
      <c r="P392" s="1123"/>
      <c r="Q392" s="1122">
        <f>'在籍児童一覧（保育）'!S181</f>
        <v>0</v>
      </c>
      <c r="R392" s="1123"/>
      <c r="S392" s="1122">
        <f>'在籍児童一覧（保育）'!U181</f>
        <v>0</v>
      </c>
      <c r="T392" s="1123"/>
      <c r="U392" s="1122">
        <f>'在籍児童一覧（保育）'!W181</f>
        <v>0</v>
      </c>
      <c r="V392" s="1123"/>
      <c r="W392" s="1122">
        <f>'在籍児童一覧（保育）'!Y181</f>
        <v>0</v>
      </c>
      <c r="X392" s="1123"/>
      <c r="Y392" s="1122">
        <f>'在籍児童一覧（保育）'!AA181</f>
        <v>0</v>
      </c>
      <c r="Z392" s="1123"/>
      <c r="AA392" s="382"/>
    </row>
    <row r="393" spans="1:27" s="378" customFormat="1" ht="13.5" customHeight="1">
      <c r="A393" s="956" t="s">
        <v>550</v>
      </c>
      <c r="B393" s="708"/>
      <c r="C393" s="708"/>
      <c r="D393" s="708"/>
      <c r="E393" s="708"/>
      <c r="F393" s="708"/>
      <c r="G393" s="708"/>
      <c r="H393" s="708"/>
      <c r="I393" s="708"/>
      <c r="J393" s="708"/>
      <c r="K393" s="708"/>
      <c r="L393" s="709"/>
      <c r="M393" s="1096" t="s">
        <v>458</v>
      </c>
      <c r="N393" s="1097"/>
      <c r="O393" s="1101">
        <f>'在籍児童一覧（保育）'!Q165</f>
        <v>0</v>
      </c>
      <c r="P393" s="1102"/>
      <c r="Q393" s="1101">
        <f>'在籍児童一覧（保育）'!S165</f>
        <v>0</v>
      </c>
      <c r="R393" s="1102"/>
      <c r="S393" s="1101">
        <f>'在籍児童一覧（保育）'!U165</f>
        <v>0</v>
      </c>
      <c r="T393" s="1102"/>
      <c r="U393" s="1103"/>
      <c r="V393" s="1104"/>
      <c r="W393" s="1104"/>
      <c r="X393" s="1104"/>
      <c r="Y393" s="1104"/>
      <c r="Z393" s="1105"/>
      <c r="AA393" s="382"/>
    </row>
    <row r="394" spans="1:27" s="378" customFormat="1" ht="13.5" customHeight="1">
      <c r="A394" s="1109" t="s">
        <v>626</v>
      </c>
      <c r="B394" s="681"/>
      <c r="C394" s="681"/>
      <c r="D394" s="681"/>
      <c r="E394" s="681"/>
      <c r="F394" s="681"/>
      <c r="G394" s="681"/>
      <c r="H394" s="681"/>
      <c r="I394" s="681"/>
      <c r="J394" s="681"/>
      <c r="K394" s="681"/>
      <c r="L394" s="682"/>
      <c r="M394" s="1110" t="s">
        <v>459</v>
      </c>
      <c r="N394" s="1111"/>
      <c r="O394" s="976">
        <f>'在籍児童一覧（保育）'!Q183</f>
        <v>0</v>
      </c>
      <c r="P394" s="978"/>
      <c r="Q394" s="976">
        <f>'在籍児童一覧（保育）'!S183</f>
        <v>0</v>
      </c>
      <c r="R394" s="978"/>
      <c r="S394" s="976">
        <f>'在籍児童一覧（保育）'!U183</f>
        <v>0</v>
      </c>
      <c r="T394" s="978"/>
      <c r="U394" s="1106"/>
      <c r="V394" s="1107"/>
      <c r="W394" s="1107"/>
      <c r="X394" s="1107"/>
      <c r="Y394" s="1107"/>
      <c r="Z394" s="1108"/>
      <c r="AA394" s="382"/>
    </row>
    <row r="395" spans="1:27" s="378" customFormat="1" ht="13.5" customHeight="1">
      <c r="A395" s="911" t="s">
        <v>137</v>
      </c>
      <c r="B395" s="617"/>
      <c r="C395" s="617"/>
      <c r="D395" s="617"/>
      <c r="E395" s="617"/>
      <c r="F395" s="617"/>
      <c r="G395" s="617"/>
      <c r="H395" s="617"/>
      <c r="I395" s="617"/>
      <c r="J395" s="617"/>
      <c r="K395" s="617"/>
      <c r="L395" s="617"/>
      <c r="M395" s="617"/>
      <c r="N395" s="618"/>
      <c r="O395" s="1088" t="e">
        <f ca="1">SUM(O383*O391,O384*O392,O387*O393,O388*O394)</f>
        <v>#N/A</v>
      </c>
      <c r="P395" s="1090"/>
      <c r="Q395" s="1088" t="e">
        <f ca="1">SUM(Q383*Q391,Q384*Q392,Q387*Q393,Q388*Q394)</f>
        <v>#N/A</v>
      </c>
      <c r="R395" s="1090"/>
      <c r="S395" s="1088" t="e">
        <f ca="1">SUM(S383*S391,S384*S392,S387*S393,S388*S394)</f>
        <v>#N/A</v>
      </c>
      <c r="T395" s="1090"/>
      <c r="U395" s="1088" t="e">
        <f ca="1">SUM(U383*U391,U384*U392)</f>
        <v>#N/A</v>
      </c>
      <c r="V395" s="1090"/>
      <c r="W395" s="1088" t="e">
        <f ca="1">SUM(W383*W391,W384*W392)</f>
        <v>#N/A</v>
      </c>
      <c r="X395" s="1090"/>
      <c r="Y395" s="1088" t="e">
        <f ca="1">SUM(Y383*Y391,Y384*Y392)</f>
        <v>#N/A</v>
      </c>
      <c r="Z395" s="1090"/>
      <c r="AA395" s="382"/>
    </row>
    <row r="396" spans="1:27" s="378" customFormat="1" ht="13.5" customHeight="1">
      <c r="A396" s="427"/>
      <c r="B396" s="1019" t="s">
        <v>10</v>
      </c>
      <c r="C396" s="672"/>
      <c r="D396" s="672"/>
      <c r="E396" s="672"/>
      <c r="F396" s="672"/>
      <c r="G396" s="672"/>
      <c r="H396" s="672"/>
      <c r="I396" s="672"/>
      <c r="J396" s="672"/>
      <c r="K396" s="672"/>
      <c r="L396" s="672"/>
      <c r="M396" s="672"/>
      <c r="N396" s="673"/>
      <c r="O396" s="1115" t="e">
        <f ca="1">SUM(O385*O391,O386*O392,O389*O393,O390*O394)</f>
        <v>#N/A</v>
      </c>
      <c r="P396" s="1116"/>
      <c r="Q396" s="1115" t="e">
        <f ca="1">SUM(Q385*Q391,Q386*Q392,Q389*Q393,Q390*Q394)</f>
        <v>#N/A</v>
      </c>
      <c r="R396" s="1116"/>
      <c r="S396" s="1115" t="e">
        <f ca="1">SUM(S385*S391,S386*S392,S389*S393,S390*S394)</f>
        <v>#N/A</v>
      </c>
      <c r="T396" s="1116"/>
      <c r="U396" s="1115" t="e">
        <f ca="1">SUM(U385*U391,U386*U392)</f>
        <v>#N/A</v>
      </c>
      <c r="V396" s="1116"/>
      <c r="W396" s="736" t="e">
        <f ca="1">SUM(W385*W391,W386*W392)</f>
        <v>#N/A</v>
      </c>
      <c r="X396" s="737"/>
      <c r="Y396" s="1115" t="e">
        <f ca="1">SUM(Y385*Y391,Y386*Y392)</f>
        <v>#N/A</v>
      </c>
      <c r="Z396" s="1116"/>
      <c r="AA396" s="382"/>
    </row>
    <row r="397" spans="1:27" s="378" customFormat="1" ht="13.5" hidden="1" customHeight="1">
      <c r="A397" s="1134" t="s">
        <v>525</v>
      </c>
      <c r="B397" s="1137" t="s">
        <v>608</v>
      </c>
      <c r="C397" s="1137"/>
      <c r="D397" s="1137"/>
      <c r="E397" s="1137"/>
      <c r="F397" s="1137"/>
      <c r="G397" s="1137"/>
      <c r="H397" s="1137"/>
      <c r="I397" s="1137"/>
      <c r="J397" s="1137"/>
      <c r="K397" s="1137"/>
      <c r="L397" s="1138"/>
      <c r="M397" s="1092" t="s">
        <v>458</v>
      </c>
      <c r="N397" s="1093"/>
      <c r="O397" s="1094" t="e">
        <f ca="1">IF($I$201="適用",SUM(O351,O360,O363,O366,O367,O368,O369,O370,O371,O373,O374,O375,O378),SUM(O263,O279,O292,O296,O301,O304,O305,O312,O315,O327,O333,O337,O340,O360,O363,O367,O368,O369,O370,O371,O373,O374,O375,O378))</f>
        <v>#N/A</v>
      </c>
      <c r="P397" s="1095"/>
      <c r="Q397" s="1094" t="e">
        <f ca="1">IF($I$201="適用",SUM(O351,O360,O363,O366,O367,O368,O369,O370,O371,O373,O374,O375,O378),SUM(O263,O279,O292,O296,O301,O304,O305,O312,O315,O327,O333,O337,O340,O360,O363,O367,O368,O369,O370,O371,O373,O374,O375,O378))</f>
        <v>#N/A</v>
      </c>
      <c r="R397" s="1095"/>
      <c r="S397" s="1124" t="e">
        <f ca="1">IF($I$201="適用",SUM(S351,O360,O363,O366,O367,O368,O369,O370,O371,O373,O374,O375,O378),SUM(S263,S279,S289,O292,O296,O301,O304,O305,O312,S315,S327,O333,O337,O340,O360,O363,O367,O368,O369,O370,O371,O373,O374,O375,O378))</f>
        <v>#N/A</v>
      </c>
      <c r="T397" s="1124"/>
      <c r="U397" s="1124" t="e">
        <f ca="1">IF($I$201="適用",SUM(U351,O360,O363,O366,O367,O368,O369,O370,O371,O373,O374,O375,O378),SUM(U263,U279,O292,U297,O304,O305,O312,U315,U327,O333,O337,O340,O360,O363,O367,O368,O369,O370,O371,O373,O374,O375,O378))</f>
        <v>#N/A</v>
      </c>
      <c r="V397" s="1124"/>
      <c r="W397" s="1124" t="e">
        <f ca="1">IF($I$201="適用",SUM(U351,O360,O363,O366,O367,O368,O369,O370,O371,O373,O374,O375,O378),SUM(U263,U279,O292,U297,O304,O305,O312,U315,U327,O333,O337,O340,O360,O363,O367,O368,O369,O370,O371,O373,O374,O375,O378))</f>
        <v>#N/A</v>
      </c>
      <c r="X397" s="1124"/>
      <c r="Y397" s="1124" t="e">
        <f ca="1">IF($I$201="適用",SUM(Y351,O360,O363,O366,O367,O368,O369,O370,O371,O373,O374,O375,O378),SUM(Y263,Y279,O292,U297,O304,O305,O312,Y315,Y327,O333,O337,O340,O360,O363,O367,O368,O369,O370,O371,O373,O374,O375,O378))</f>
        <v>#N/A</v>
      </c>
      <c r="Z397" s="1124"/>
      <c r="AA397" s="382"/>
    </row>
    <row r="398" spans="1:27" s="378" customFormat="1" ht="13.5" hidden="1" customHeight="1">
      <c r="A398" s="1135"/>
      <c r="B398" s="899"/>
      <c r="C398" s="899"/>
      <c r="D398" s="899"/>
      <c r="E398" s="899"/>
      <c r="F398" s="899"/>
      <c r="G398" s="899"/>
      <c r="H398" s="899"/>
      <c r="I398" s="899"/>
      <c r="J398" s="899"/>
      <c r="K398" s="899"/>
      <c r="L398" s="900"/>
      <c r="M398" s="1096" t="s">
        <v>459</v>
      </c>
      <c r="N398" s="1097"/>
      <c r="O398" s="953" t="e">
        <f ca="1">IF($I$201="適用",SUM(O352,O360,O363,O366,O367,O368,O369,O370,O371,O373,O374,O375,O378),SUM(O264,O280,O292,O296,O301,O304,O305,O312,O316,O328,O333,O337,O340,O360,O363,O367,O368,O369,O370,O371,O373,O374,O375,O378))</f>
        <v>#N/A</v>
      </c>
      <c r="P398" s="955"/>
      <c r="Q398" s="953" t="e">
        <f ca="1">IF($I$201="適用",SUM(O352,O360,O363,O366,O367,O368,O369,O370,O371,O373,O374,O375,O378),SUM(O264,O280,O292,O296,O301,O304,O305,O312,O316,O328,O333,O337,O340,O360,O363,O367,O368,O369,O370,O371,O373,O374,O375,O378))</f>
        <v>#N/A</v>
      </c>
      <c r="R398" s="955"/>
      <c r="S398" s="1098" t="e">
        <f ca="1">IF($I$201="適用",SUM(S352,O360,O363,O366,O367,O368,O369,O370,O371,O373,O374,O375,O378),SUM(S264,S280,S289,O292,O296,O301,O304,O305,O312,S316,S328,O333,O337,O340,O360,O363,O367,O368,O369,O370,O371,O373,O374,O375,O378))</f>
        <v>#N/A</v>
      </c>
      <c r="T398" s="1098"/>
      <c r="U398" s="1098" t="e">
        <f ca="1">IF($I$201="適用",SUM(U352,O360,O363,O366,O367,O368,O369,O370,O371,O373,O374,O375,O378),SUM(U264,U280,O292,U297,O304,O305,O312,U316,U328,O333,O337,O340,O360,O363,O367,O368,O369,O370,O371,O373,O374,O375,O378))</f>
        <v>#N/A</v>
      </c>
      <c r="V398" s="1098"/>
      <c r="W398" s="1098" t="e">
        <f ca="1">IF($I$201="適用",SUM(U352,O360,O363,O366,O367,O368,O369,O370,O371,O373,O374,O375,O378),SUM(U264,U280,O292,U297,O304,O305,O312,U316,U328,O333,O337,O340,O360,O363,O367,O368,O369,O370,O371,O373,O374,O375,O378))</f>
        <v>#N/A</v>
      </c>
      <c r="X398" s="1098"/>
      <c r="Y398" s="1098" t="e">
        <f ca="1">IF($I$201="適用",SUM(Y352,O360,O363,O366,O367,O368,O369,O370,O371,O373,O374,O375,O378),SUM(Y264,Y280,O292,U297,O304,O305,O312,Y316,Y328,O333,O337,O340,O360,O363,O367,O368,O369,O370,O371,O373,O374,O375,O378))</f>
        <v>#N/A</v>
      </c>
      <c r="Z398" s="1098"/>
      <c r="AA398" s="382"/>
    </row>
    <row r="399" spans="1:27" s="378" customFormat="1" ht="13.5" hidden="1" customHeight="1">
      <c r="A399" s="1135"/>
      <c r="B399" s="1125"/>
      <c r="C399" s="707" t="s">
        <v>10</v>
      </c>
      <c r="D399" s="708"/>
      <c r="E399" s="708"/>
      <c r="F399" s="708"/>
      <c r="G399" s="708"/>
      <c r="H399" s="708"/>
      <c r="I399" s="708"/>
      <c r="J399" s="708"/>
      <c r="K399" s="708"/>
      <c r="L399" s="709"/>
      <c r="M399" s="1096" t="s">
        <v>458</v>
      </c>
      <c r="N399" s="1097"/>
      <c r="O399" s="953" t="e">
        <f ca="1">IF($I$201="適用",SUM(O355,O362,O377),SUM(O279,O295,O300,O303,O314,O319,O331,O336,O339,O343,O362,O377))</f>
        <v>#N/A</v>
      </c>
      <c r="P399" s="955"/>
      <c r="Q399" s="953" t="e">
        <f ca="1">IF($I$201="適用",SUM(O355,O362,O377),SUM(O279,O295,O300,O303,O314,O319,O331,O336,O339,O343,O362,O377))</f>
        <v>#N/A</v>
      </c>
      <c r="R399" s="955"/>
      <c r="S399" s="1098" t="e">
        <f ca="1">IF($I$201="適用",SUM(S355,O362,O377),SUM(S279,S291,O295,O300,O303,O314,S319,S331,O336,O339,O343,O362,O377))</f>
        <v>#N/A</v>
      </c>
      <c r="T399" s="1098"/>
      <c r="U399" s="1098" t="e">
        <f ca="1">IF($I$201="適用",SUM(U355,O362,O377),SUM(U279,O295,O300,O314,U319,U331,O336,O339,O343,O362,O377))</f>
        <v>#N/A</v>
      </c>
      <c r="V399" s="1098"/>
      <c r="W399" s="1098" t="e">
        <f ca="1">IF($I$201="適用",SUM(U355,O362,O377),SUM(U279,O295,O300,O314,U319,U331,O336,O339,O343,O362,O377))</f>
        <v>#N/A</v>
      </c>
      <c r="X399" s="1098"/>
      <c r="Y399" s="1098" t="e">
        <f ca="1">IF($I$201="適用",SUM(Y355,O362,O377),SUM(Y279,O295,O300,O314,Y319,Y331,O336,O339,O343,O362,O377))</f>
        <v>#N/A</v>
      </c>
      <c r="Z399" s="1098"/>
      <c r="AA399" s="382"/>
    </row>
    <row r="400" spans="1:27" s="378" customFormat="1" ht="13.5" hidden="1" customHeight="1">
      <c r="A400" s="1135"/>
      <c r="B400" s="1126"/>
      <c r="C400" s="710"/>
      <c r="D400" s="711"/>
      <c r="E400" s="711"/>
      <c r="F400" s="711"/>
      <c r="G400" s="711"/>
      <c r="H400" s="711"/>
      <c r="I400" s="711"/>
      <c r="J400" s="711"/>
      <c r="K400" s="711"/>
      <c r="L400" s="712"/>
      <c r="M400" s="1096" t="s">
        <v>459</v>
      </c>
      <c r="N400" s="1097"/>
      <c r="O400" s="1099" t="e">
        <f ca="1">IF($I$201="適用",SUM(O356,O362,O377),SUM(O280,O295,O300,O303,O314,O320,O332,O336,O339,O343,O362,O377))</f>
        <v>#N/A</v>
      </c>
      <c r="P400" s="1100"/>
      <c r="Q400" s="1099" t="e">
        <f ca="1">IF($I$201="適用",SUM(O356,O362,O377),SUM(O280,O295,O300,O303,O314,O320,O332,O336,O339,O343,O362,O377))</f>
        <v>#N/A</v>
      </c>
      <c r="R400" s="1100"/>
      <c r="S400" s="1098" t="e">
        <f ca="1">IF($I$201="適用",SUM(S356,O362,O377),SUM(S280,S291,O295,O300,O303,O314,S320,S332,O336,O339,O343,O362,O377))</f>
        <v>#N/A</v>
      </c>
      <c r="T400" s="1098"/>
      <c r="U400" s="1098" t="e">
        <f ca="1">IF($I$201="適用",SUM(U356,O362,O377),SUM(U280,O295,O300,O314,U320,U332,O336,O339,O343,O362,O377))</f>
        <v>#N/A</v>
      </c>
      <c r="V400" s="1098"/>
      <c r="W400" s="1098" t="e">
        <f ca="1">IF($I$201="適用",SUM(U356,O362,O377),SUM(U280,O295,O300,O314,U320,U332,O336,O339,O343,O362,O377))</f>
        <v>#N/A</v>
      </c>
      <c r="X400" s="1098"/>
      <c r="Y400" s="1098" t="e">
        <f ca="1">IF($I$201="適用",SUM(Y356,O362,O377),SUM(Y280,O295,O300,O314,Y320,Y332,O336,O339,O343,O362,O377))</f>
        <v>#N/A</v>
      </c>
      <c r="Z400" s="1098"/>
      <c r="AA400" s="382"/>
    </row>
    <row r="401" spans="1:27" s="378" customFormat="1" ht="13.5" hidden="1" customHeight="1">
      <c r="A401" s="1135"/>
      <c r="B401" s="708" t="s">
        <v>136</v>
      </c>
      <c r="C401" s="708"/>
      <c r="D401" s="708"/>
      <c r="E401" s="708"/>
      <c r="F401" s="708"/>
      <c r="G401" s="708"/>
      <c r="H401" s="708"/>
      <c r="I401" s="708"/>
      <c r="J401" s="708"/>
      <c r="K401" s="708"/>
      <c r="L401" s="709"/>
      <c r="M401" s="1096" t="s">
        <v>458</v>
      </c>
      <c r="N401" s="1097"/>
      <c r="O401" s="953" t="e">
        <f ca="1">O397+O308</f>
        <v>#N/A</v>
      </c>
      <c r="P401" s="955"/>
      <c r="Q401" s="953" t="e">
        <f ca="1">Q397+O308</f>
        <v>#N/A</v>
      </c>
      <c r="R401" s="955"/>
      <c r="S401" s="953" t="e">
        <f ca="1">S397+O308</f>
        <v>#N/A</v>
      </c>
      <c r="T401" s="955"/>
      <c r="U401" s="865"/>
      <c r="V401" s="1112"/>
      <c r="W401" s="1112"/>
      <c r="X401" s="1112"/>
      <c r="Y401" s="1112"/>
      <c r="Z401" s="866"/>
      <c r="AA401" s="382"/>
    </row>
    <row r="402" spans="1:27" s="378" customFormat="1" ht="13.5" hidden="1" customHeight="1">
      <c r="A402" s="1135"/>
      <c r="B402" s="617"/>
      <c r="C402" s="711"/>
      <c r="D402" s="711"/>
      <c r="E402" s="711"/>
      <c r="F402" s="711"/>
      <c r="G402" s="711"/>
      <c r="H402" s="711"/>
      <c r="I402" s="711"/>
      <c r="J402" s="711"/>
      <c r="K402" s="711"/>
      <c r="L402" s="712"/>
      <c r="M402" s="1096" t="s">
        <v>459</v>
      </c>
      <c r="N402" s="1097"/>
      <c r="O402" s="953" t="e">
        <f ca="1">O398+O308</f>
        <v>#N/A</v>
      </c>
      <c r="P402" s="955"/>
      <c r="Q402" s="953" t="e">
        <f ca="1">Q398+O308</f>
        <v>#N/A</v>
      </c>
      <c r="R402" s="955"/>
      <c r="S402" s="953" t="e">
        <f ca="1">S398+O308</f>
        <v>#N/A</v>
      </c>
      <c r="T402" s="955"/>
      <c r="U402" s="642"/>
      <c r="V402" s="643"/>
      <c r="W402" s="643"/>
      <c r="X402" s="643"/>
      <c r="Y402" s="643"/>
      <c r="Z402" s="644"/>
      <c r="AA402" s="382"/>
    </row>
    <row r="403" spans="1:27" s="378" customFormat="1" ht="13.5" hidden="1" customHeight="1">
      <c r="A403" s="1135"/>
      <c r="B403" s="794"/>
      <c r="C403" s="708" t="s">
        <v>10</v>
      </c>
      <c r="D403" s="708"/>
      <c r="E403" s="708"/>
      <c r="F403" s="708"/>
      <c r="G403" s="708"/>
      <c r="H403" s="708"/>
      <c r="I403" s="708"/>
      <c r="J403" s="708"/>
      <c r="K403" s="708"/>
      <c r="L403" s="709"/>
      <c r="M403" s="1096" t="s">
        <v>458</v>
      </c>
      <c r="N403" s="1097"/>
      <c r="O403" s="953" t="e">
        <f ca="1">O399</f>
        <v>#N/A</v>
      </c>
      <c r="P403" s="955"/>
      <c r="Q403" s="953" t="e">
        <f t="shared" ref="Q403:Q404" ca="1" si="45">Q399</f>
        <v>#N/A</v>
      </c>
      <c r="R403" s="955"/>
      <c r="S403" s="953" t="e">
        <f t="shared" ref="S403:S404" ca="1" si="46">S399</f>
        <v>#N/A</v>
      </c>
      <c r="T403" s="955"/>
      <c r="U403" s="642"/>
      <c r="V403" s="643"/>
      <c r="W403" s="643"/>
      <c r="X403" s="643"/>
      <c r="Y403" s="643"/>
      <c r="Z403" s="644"/>
      <c r="AA403" s="382"/>
    </row>
    <row r="404" spans="1:27" s="378" customFormat="1" ht="13.5" hidden="1" customHeight="1">
      <c r="A404" s="1135"/>
      <c r="B404" s="794"/>
      <c r="C404" s="617"/>
      <c r="D404" s="617"/>
      <c r="E404" s="617"/>
      <c r="F404" s="617"/>
      <c r="G404" s="617"/>
      <c r="H404" s="617"/>
      <c r="I404" s="617"/>
      <c r="J404" s="617"/>
      <c r="K404" s="617"/>
      <c r="L404" s="618"/>
      <c r="M404" s="1113" t="s">
        <v>459</v>
      </c>
      <c r="N404" s="1114"/>
      <c r="O404" s="1099" t="e">
        <f t="shared" ref="O404" ca="1" si="47">O400</f>
        <v>#N/A</v>
      </c>
      <c r="P404" s="1100"/>
      <c r="Q404" s="1099" t="e">
        <f t="shared" ca="1" si="45"/>
        <v>#N/A</v>
      </c>
      <c r="R404" s="1100"/>
      <c r="S404" s="1099" t="e">
        <f t="shared" ca="1" si="46"/>
        <v>#N/A</v>
      </c>
      <c r="T404" s="1100"/>
      <c r="U404" s="642"/>
      <c r="V404" s="643"/>
      <c r="W404" s="643"/>
      <c r="X404" s="643"/>
      <c r="Y404" s="643"/>
      <c r="Z404" s="644"/>
      <c r="AA404" s="382"/>
    </row>
    <row r="405" spans="1:27" s="378" customFormat="1" ht="13.5" hidden="1" customHeight="1">
      <c r="A405" s="1135"/>
      <c r="B405" s="1118" t="s">
        <v>549</v>
      </c>
      <c r="C405" s="1118"/>
      <c r="D405" s="1118"/>
      <c r="E405" s="1118"/>
      <c r="F405" s="1118"/>
      <c r="G405" s="1118"/>
      <c r="H405" s="1118"/>
      <c r="I405" s="1118"/>
      <c r="J405" s="1118"/>
      <c r="K405" s="1118"/>
      <c r="L405" s="1119"/>
      <c r="M405" s="1092" t="s">
        <v>458</v>
      </c>
      <c r="N405" s="1093"/>
      <c r="O405" s="1127">
        <f>'在籍児童一覧（保育）'!Q200</f>
        <v>0</v>
      </c>
      <c r="P405" s="1128"/>
      <c r="Q405" s="1127">
        <f>'在籍児童一覧（保育）'!S200</f>
        <v>0</v>
      </c>
      <c r="R405" s="1128"/>
      <c r="S405" s="1127">
        <f>'在籍児童一覧（保育）'!U200</f>
        <v>0</v>
      </c>
      <c r="T405" s="1128"/>
      <c r="U405" s="1127">
        <f>'在籍児童一覧（保育）'!W200</f>
        <v>0</v>
      </c>
      <c r="V405" s="1128"/>
      <c r="W405" s="1127">
        <f>'在籍児童一覧（保育）'!Y200</f>
        <v>0</v>
      </c>
      <c r="X405" s="1128"/>
      <c r="Y405" s="1127">
        <f>'在籍児童一覧（保育）'!AA200</f>
        <v>0</v>
      </c>
      <c r="Z405" s="1128"/>
      <c r="AA405" s="382"/>
    </row>
    <row r="406" spans="1:27" s="378" customFormat="1" ht="13.5" hidden="1" customHeight="1">
      <c r="A406" s="1135"/>
      <c r="B406" s="711" t="s">
        <v>625</v>
      </c>
      <c r="C406" s="711"/>
      <c r="D406" s="711"/>
      <c r="E406" s="711"/>
      <c r="F406" s="711"/>
      <c r="G406" s="711"/>
      <c r="H406" s="711"/>
      <c r="I406" s="711"/>
      <c r="J406" s="711"/>
      <c r="K406" s="711"/>
      <c r="L406" s="712"/>
      <c r="M406" s="1096" t="s">
        <v>459</v>
      </c>
      <c r="N406" s="1097"/>
      <c r="O406" s="1122">
        <f>'在籍児童一覧（保育）'!Q218</f>
        <v>0</v>
      </c>
      <c r="P406" s="1123"/>
      <c r="Q406" s="1122">
        <f>'在籍児童一覧（保育）'!S218</f>
        <v>0</v>
      </c>
      <c r="R406" s="1123"/>
      <c r="S406" s="1122">
        <f>'在籍児童一覧（保育）'!U218</f>
        <v>0</v>
      </c>
      <c r="T406" s="1123"/>
      <c r="U406" s="1122">
        <f>'在籍児童一覧（保育）'!W218</f>
        <v>0</v>
      </c>
      <c r="V406" s="1123"/>
      <c r="W406" s="1122">
        <f>'在籍児童一覧（保育）'!Y218</f>
        <v>0</v>
      </c>
      <c r="X406" s="1123"/>
      <c r="Y406" s="1122">
        <f>'在籍児童一覧（保育）'!AA218</f>
        <v>0</v>
      </c>
      <c r="Z406" s="1123"/>
      <c r="AA406" s="382"/>
    </row>
    <row r="407" spans="1:27" s="378" customFormat="1" ht="13.5" hidden="1" customHeight="1">
      <c r="A407" s="1135"/>
      <c r="B407" s="708" t="s">
        <v>549</v>
      </c>
      <c r="C407" s="708"/>
      <c r="D407" s="708"/>
      <c r="E407" s="708"/>
      <c r="F407" s="708"/>
      <c r="G407" s="708"/>
      <c r="H407" s="708"/>
      <c r="I407" s="708"/>
      <c r="J407" s="708"/>
      <c r="K407" s="708"/>
      <c r="L407" s="709"/>
      <c r="M407" s="1096" t="s">
        <v>458</v>
      </c>
      <c r="N407" s="1097"/>
      <c r="O407" s="1101">
        <f>'在籍児童一覧（保育）'!Q202</f>
        <v>0</v>
      </c>
      <c r="P407" s="1102"/>
      <c r="Q407" s="1101">
        <f>'在籍児童一覧（保育）'!S202</f>
        <v>0</v>
      </c>
      <c r="R407" s="1102"/>
      <c r="S407" s="1101">
        <f>'在籍児童一覧（保育）'!U202</f>
        <v>0</v>
      </c>
      <c r="T407" s="1102"/>
      <c r="U407" s="1103"/>
      <c r="V407" s="1104"/>
      <c r="W407" s="1104"/>
      <c r="X407" s="1104"/>
      <c r="Y407" s="1104"/>
      <c r="Z407" s="1105"/>
      <c r="AA407" s="382"/>
    </row>
    <row r="408" spans="1:27" s="378" customFormat="1" ht="13.5" hidden="1" customHeight="1">
      <c r="A408" s="1135"/>
      <c r="B408" s="681" t="s">
        <v>626</v>
      </c>
      <c r="C408" s="681"/>
      <c r="D408" s="681"/>
      <c r="E408" s="681"/>
      <c r="F408" s="681"/>
      <c r="G408" s="681"/>
      <c r="H408" s="681"/>
      <c r="I408" s="681"/>
      <c r="J408" s="681"/>
      <c r="K408" s="681"/>
      <c r="L408" s="682"/>
      <c r="M408" s="1129" t="s">
        <v>459</v>
      </c>
      <c r="N408" s="1130"/>
      <c r="O408" s="1122">
        <f>'在籍児童一覧（保育）'!Q220</f>
        <v>0</v>
      </c>
      <c r="P408" s="1123"/>
      <c r="Q408" s="1122">
        <f>'在籍児童一覧（保育）'!S220</f>
        <v>0</v>
      </c>
      <c r="R408" s="1123"/>
      <c r="S408" s="1122">
        <f>'在籍児童一覧（保育）'!U220</f>
        <v>0</v>
      </c>
      <c r="T408" s="1123"/>
      <c r="U408" s="1106"/>
      <c r="V408" s="1107"/>
      <c r="W408" s="1107"/>
      <c r="X408" s="1107"/>
      <c r="Y408" s="1107"/>
      <c r="Z408" s="1108"/>
      <c r="AA408" s="382"/>
    </row>
    <row r="409" spans="1:27" s="378" customFormat="1" ht="13.5" hidden="1" customHeight="1">
      <c r="A409" s="1135"/>
      <c r="B409" s="617" t="s">
        <v>137</v>
      </c>
      <c r="C409" s="617"/>
      <c r="D409" s="617"/>
      <c r="E409" s="617"/>
      <c r="F409" s="617"/>
      <c r="G409" s="617"/>
      <c r="H409" s="617"/>
      <c r="I409" s="617"/>
      <c r="J409" s="617"/>
      <c r="K409" s="617"/>
      <c r="L409" s="617"/>
      <c r="M409" s="617"/>
      <c r="N409" s="618"/>
      <c r="O409" s="1088" t="e">
        <f ca="1">SUM(O397*O405,O398*O406,O401*O407,O402*O408)</f>
        <v>#N/A</v>
      </c>
      <c r="P409" s="1090"/>
      <c r="Q409" s="1088" t="e">
        <f ca="1">SUM(Q397*Q405,Q398*Q406,Q401*Q407,Q402*Q408)</f>
        <v>#N/A</v>
      </c>
      <c r="R409" s="1090"/>
      <c r="S409" s="1088" t="e">
        <f ca="1">SUM(S397*S405,S398*S406,S401*S407,S402*S408)</f>
        <v>#N/A</v>
      </c>
      <c r="T409" s="1090"/>
      <c r="U409" s="1088" t="e">
        <f ca="1">SUM(U397*U405,U398*U406)</f>
        <v>#N/A</v>
      </c>
      <c r="V409" s="1090"/>
      <c r="W409" s="1088" t="e">
        <f ca="1">SUM(W397*W405,W398*W406)</f>
        <v>#N/A</v>
      </c>
      <c r="X409" s="1090"/>
      <c r="Y409" s="1088" t="e">
        <f ca="1">SUM(Y397*Y405,Y398*Y406)</f>
        <v>#N/A</v>
      </c>
      <c r="Z409" s="1090"/>
      <c r="AA409" s="382"/>
    </row>
    <row r="410" spans="1:27" s="378" customFormat="1" ht="13.5" hidden="1" customHeight="1">
      <c r="A410" s="1136"/>
      <c r="B410" s="451"/>
      <c r="C410" s="1019" t="s">
        <v>10</v>
      </c>
      <c r="D410" s="672"/>
      <c r="E410" s="672"/>
      <c r="F410" s="672"/>
      <c r="G410" s="672"/>
      <c r="H410" s="672"/>
      <c r="I410" s="672"/>
      <c r="J410" s="672"/>
      <c r="K410" s="672"/>
      <c r="L410" s="672"/>
      <c r="M410" s="672"/>
      <c r="N410" s="673"/>
      <c r="O410" s="1099" t="e">
        <f ca="1">SUM(O399*O405,O400*O406,O403*O407,O404*O408)</f>
        <v>#N/A</v>
      </c>
      <c r="P410" s="1100"/>
      <c r="Q410" s="1099" t="e">
        <f ca="1">SUM(Q399*Q405,Q400*Q406,Q403*Q407,Q404*Q408)</f>
        <v>#N/A</v>
      </c>
      <c r="R410" s="1100"/>
      <c r="S410" s="1099" t="e">
        <f ca="1">SUM(S399*S405,S400*S406,S403*S407,S404*S408)</f>
        <v>#N/A</v>
      </c>
      <c r="T410" s="1100"/>
      <c r="U410" s="1099" t="e">
        <f ca="1">SUM(U399*U405,U400*U406)</f>
        <v>#N/A</v>
      </c>
      <c r="V410" s="1100"/>
      <c r="W410" s="764" t="e">
        <f ca="1">SUM(W399*W405,W400*W406)</f>
        <v>#N/A</v>
      </c>
      <c r="X410" s="765"/>
      <c r="Y410" s="1099" t="e">
        <f ca="1">SUM(Y399*Y405,Y400*Y406)</f>
        <v>#N/A</v>
      </c>
      <c r="Z410" s="1100"/>
      <c r="AA410" s="382"/>
    </row>
    <row r="411" spans="1:27" s="378" customFormat="1" ht="13.5" hidden="1" customHeight="1">
      <c r="A411" s="382"/>
      <c r="B411" s="407"/>
      <c r="C411" s="407"/>
      <c r="D411" s="407"/>
      <c r="E411" s="407"/>
      <c r="F411" s="407"/>
      <c r="G411" s="407"/>
      <c r="H411" s="407"/>
      <c r="I411" s="408"/>
      <c r="J411" s="408"/>
      <c r="K411" s="408"/>
      <c r="L411" s="408"/>
      <c r="M411" s="408"/>
      <c r="N411" s="408"/>
      <c r="O411" s="408"/>
      <c r="P411" s="408"/>
      <c r="Q411" s="408"/>
      <c r="R411" s="408"/>
      <c r="S411" s="408"/>
      <c r="T411" s="408"/>
      <c r="U411" s="408"/>
      <c r="V411" s="408"/>
      <c r="W411" s="408"/>
      <c r="X411" s="408"/>
      <c r="Y411" s="408"/>
      <c r="Z411" s="408"/>
      <c r="AA411" s="379"/>
    </row>
    <row r="412" spans="1:27" s="378" customFormat="1" ht="13.5" hidden="1" customHeight="1">
      <c r="A412" s="869" t="s">
        <v>551</v>
      </c>
      <c r="B412" s="620"/>
      <c r="C412" s="620"/>
      <c r="D412" s="620"/>
      <c r="E412" s="620"/>
      <c r="F412" s="620"/>
      <c r="G412" s="620"/>
      <c r="H412" s="620"/>
      <c r="I412" s="620"/>
      <c r="J412" s="620"/>
      <c r="K412" s="620"/>
      <c r="L412" s="621"/>
      <c r="M412" s="1092" t="s">
        <v>458</v>
      </c>
      <c r="N412" s="1093"/>
      <c r="O412" s="1131" t="e">
        <f ca="1">IF(I344="適用",SUM(ROUNDDOWN(SUM(O261,O269,O296,O301,O304,O305,O312,O321,O333,O337,O340)*M344,-1),O367),SUM(O261,O269,O296,O301,O304,O305,O312,O321,O333,O337,O340,O367))</f>
        <v>#N/A</v>
      </c>
      <c r="P412" s="1131"/>
      <c r="Q412" s="1131" t="e">
        <f ca="1">IF(I344="適用",SUM(ROUNDDOWN(SUM(O261,O269,O296,O301,O304,O305,O312,O321,O333,O337,O340)*M344,-1),O367),SUM(O261,O269,O296,O301,O304,O305,O312,O321,O333,O337,O340,O367))</f>
        <v>#N/A</v>
      </c>
      <c r="R412" s="1131"/>
      <c r="S412" s="1131" t="e">
        <f ca="1">IF(I344="適用",SUM(ROUNDDOWN(SUM(S261,S269,S289,O296,O301,O304,O305,O312,S321,O333,O337,O340)*M344,-1),O367),SUM(S261,S269,S289,O296,O301,O304,O305,O312,S321,O333,O337,O340,O367))</f>
        <v>#N/A</v>
      </c>
      <c r="T412" s="1131"/>
      <c r="U412" s="1131" t="e">
        <f ca="1">IF(I344="適用",SUM(ROUNDDOWN(SUM(U261,U269,U297,O304,O305,O312,U321,O333,O337,O340)*M344,-1),O367),SUM(U261,U269,U297,O304,O305,O312,U321,O333,O337,O340,O367))</f>
        <v>#N/A</v>
      </c>
      <c r="V412" s="1131"/>
      <c r="W412" s="1131" t="e">
        <f ca="1">IF(I344="適用",SUM(ROUNDDOWN(SUM(U261,U269,U297,O304,O305,O312,U321,O333,O337,O340)*M344,-1),O367),SUM(U261,U269,U297,O304,O305,O312,U321,O333,O337,O340,O367))</f>
        <v>#N/A</v>
      </c>
      <c r="X412" s="1131"/>
      <c r="Y412" s="1132" t="e">
        <f ca="1">IF(I344="適用",SUM(ROUNDDOWN(SUM(Y261,Y269,U297,O304,O305,O312,Y321,O333,O337,O340)*M344,-1),O367),SUM(Y261,Y269,U297,O304,O305,O312,Y321,O333,O337,O340,O367))</f>
        <v>#N/A</v>
      </c>
      <c r="Z412" s="1132"/>
      <c r="AA412" s="382"/>
    </row>
    <row r="413" spans="1:27" s="378" customFormat="1" ht="13.5" hidden="1" customHeight="1">
      <c r="A413" s="911" t="s">
        <v>552</v>
      </c>
      <c r="B413" s="711"/>
      <c r="C413" s="711"/>
      <c r="D413" s="711"/>
      <c r="E413" s="711"/>
      <c r="F413" s="711"/>
      <c r="G413" s="711"/>
      <c r="H413" s="711"/>
      <c r="I413" s="711"/>
      <c r="J413" s="711"/>
      <c r="K413" s="711"/>
      <c r="L413" s="712"/>
      <c r="M413" s="1096" t="s">
        <v>459</v>
      </c>
      <c r="N413" s="1097"/>
      <c r="O413" s="1133" t="e">
        <f ca="1">IF(I344="適用",SUM(ROUNDDOWN(SUM(O262,O270,O296,O301,O304,O305,O312,O322,O333,O337,O340)*M344,-1),O367),SUM(O262,O270,O296,O301,O304,O305,O312,O322,O333,O337,O340,O367))</f>
        <v>#N/A</v>
      </c>
      <c r="P413" s="1133"/>
      <c r="Q413" s="1133" t="e">
        <f ca="1">IF(I344="適用",SUM(ROUNDDOWN(SUM(O262,O270,O296,O301,O304,O305,O312,O322,O333,O337,O340)*M344,-1),O367),SUM(O262,O270,O296,O301,O304,O305,O312,O322,O333,O337,O340,O367))</f>
        <v>#N/A</v>
      </c>
      <c r="R413" s="1133"/>
      <c r="S413" s="1133" t="e">
        <f ca="1">IF(I344="適用",SUM(ROUNDDOWN(SUM(S262,S270,S289,O296,O301,O304,O305,O312,S322,O333,O337,O340)*M344,-1),O367),SUM(S262,S270,S289,O296,O301,O304,O305,O312,S322,O333,O337,O340,O367))</f>
        <v>#N/A</v>
      </c>
      <c r="T413" s="1133"/>
      <c r="U413" s="1133" t="e">
        <f ca="1">IF(I344="適用",SUM(ROUNDDOWN(SUM(U262,U270,U297,O304,O305,O312,U322,O333,O337,O340)*M344,-1),O367),SUM(U262,U270,U297,O304,O305,O312,U322,O333,O337,O340,O367))</f>
        <v>#N/A</v>
      </c>
      <c r="V413" s="1133"/>
      <c r="W413" s="1133" t="e">
        <f ca="1">IF(I344="適用",SUM(ROUNDDOWN(SUM(U262,U270,U297,O304,O305,O312,U322,O333,O337,O340)*M344,-1),O367),SUM(U262,U270,U297,O304,O305,O312,U322,O333,O337,O340,O367))</f>
        <v>#N/A</v>
      </c>
      <c r="X413" s="1133"/>
      <c r="Y413" s="1098" t="e">
        <f ca="1">IF(I344="適用",SUM(ROUNDDOWN(SUM(Y262,Y270,U297,O304,O305,O312,Y322,O333,O337,O340)*M344,-1),O367),SUM(Y262,Y270,U297,O304,O305,O312,Y322,O333,O337,O340,O367))</f>
        <v>#N/A</v>
      </c>
      <c r="Z413" s="1098"/>
      <c r="AA413" s="382"/>
    </row>
    <row r="414" spans="1:27" s="378" customFormat="1" ht="13.5" hidden="1" customHeight="1">
      <c r="A414" s="448"/>
      <c r="B414" s="708" t="s">
        <v>10</v>
      </c>
      <c r="C414" s="708"/>
      <c r="D414" s="708"/>
      <c r="E414" s="708"/>
      <c r="F414" s="708"/>
      <c r="G414" s="708"/>
      <c r="H414" s="708"/>
      <c r="I414" s="708"/>
      <c r="J414" s="708"/>
      <c r="K414" s="708"/>
      <c r="L414" s="709"/>
      <c r="M414" s="1096" t="s">
        <v>458</v>
      </c>
      <c r="N414" s="1097"/>
      <c r="O414" s="1098" t="e">
        <f ca="1">IF(I344="適用",ROUNDDOWN(SUM(O269,O300,O303,O314,O325,O336,O339,O343)*M344,-1),SUM(O269,O300,O303,O314,O325,O336,O339,O343))</f>
        <v>#N/A</v>
      </c>
      <c r="P414" s="1098"/>
      <c r="Q414" s="1098" t="e">
        <f ca="1">IF(I344="適用",ROUNDDOWN(SUM(O269,O300,O303,O314,O325,O336,O339,O343)*M344,-1),SUM(O269,O300,O303,O314,O325,O336,O339,O343))</f>
        <v>#N/A</v>
      </c>
      <c r="R414" s="1098"/>
      <c r="S414" s="1098" t="e">
        <f ca="1">IF(I344="適用",ROUNDDOWN(SUM(S269,S291,O300,O303,O314,S325,O336,O339,O343)*M344,-1),SUM(S269,S291,O300,O303,O314,S325,O336,O339,O343))</f>
        <v>#N/A</v>
      </c>
      <c r="T414" s="1098"/>
      <c r="U414" s="1098" t="e">
        <f ca="1">IF(I344="適用",ROUNDDOWN(SUM(U269,O300,O314,U325,O336,O339,O343)*M344,-1),SUM(U269,O300,O314,U325,O336,O339,O343))</f>
        <v>#N/A</v>
      </c>
      <c r="V414" s="1098"/>
      <c r="W414" s="1098" t="e">
        <f ca="1">IF(I344="適用",ROUNDDOWN(SUM(U269,O300,O314,U325,O336,O339,O343)*M344,-1),SUM(U269,O300,O314,U325,O336,O339,O343))</f>
        <v>#N/A</v>
      </c>
      <c r="X414" s="1098"/>
      <c r="Y414" s="1098" t="e">
        <f ca="1">IF(I344="適用",ROUNDDOWN(SUM(Y269,O300,O314,Y325,O336,O339,O343)*M344,-1),SUM(Y269,O300,O314,Y325,O336,O339,O343))</f>
        <v>#N/A</v>
      </c>
      <c r="Z414" s="1098"/>
      <c r="AA414" s="382"/>
    </row>
    <row r="415" spans="1:27" s="378" customFormat="1" ht="13.5" hidden="1" customHeight="1">
      <c r="A415" s="449"/>
      <c r="B415" s="711"/>
      <c r="C415" s="711"/>
      <c r="D415" s="711"/>
      <c r="E415" s="711"/>
      <c r="F415" s="711"/>
      <c r="G415" s="711"/>
      <c r="H415" s="711"/>
      <c r="I415" s="711"/>
      <c r="J415" s="711"/>
      <c r="K415" s="711"/>
      <c r="L415" s="712"/>
      <c r="M415" s="1096" t="s">
        <v>459</v>
      </c>
      <c r="N415" s="1097"/>
      <c r="O415" s="1098" t="e">
        <f ca="1">IF(I344="適用",ROUNDDOWN(SUM(O270,O300,O303,O314,O326,O336,O339,O343)*M344,-1),SUM(O270,O300,O303,O314,O326,O336,O339,O343))</f>
        <v>#N/A</v>
      </c>
      <c r="P415" s="1098"/>
      <c r="Q415" s="1098" t="e">
        <f ca="1">IF(I344="適用",ROUNDDOWN(SUM(O270,O300,O303,O314,O326,O336,O339,O343)*M344,-1),SUM(O270,O300,O303,O314,O326,O336,O339,O343))</f>
        <v>#N/A</v>
      </c>
      <c r="R415" s="1098"/>
      <c r="S415" s="1098" t="e">
        <f ca="1">IF(I344="適用",ROUNDDOWN(SUM(S270,S291,O300,O303,O314,S326,O336,O339,O343)*M344,-1),SUM(S270,S291,O300,O303,O314,S326,O336,O339,O343))</f>
        <v>#N/A</v>
      </c>
      <c r="T415" s="1098"/>
      <c r="U415" s="1098" t="e">
        <f ca="1">IF(I344="適用",ROUNDDOWN(SUM(U270,O300,O314,U326,O336,O339,O343)*M344,-1),SUM(U270,O300,O314,U326,O336,O339,O343))</f>
        <v>#N/A</v>
      </c>
      <c r="V415" s="1098"/>
      <c r="W415" s="1098" t="e">
        <f ca="1">IF(I344="適用",ROUNDDOWN(SUM(U270,O300,O314,U326,O336,O339,O343)*M344,-1),SUM(U270,O300,O314,U326,O336,O339,O343))</f>
        <v>#N/A</v>
      </c>
      <c r="X415" s="1098"/>
      <c r="Y415" s="1098" t="e">
        <f ca="1">IF(I344="適用",ROUNDDOWN(SUM(Y270,O300,O314,Y326,O336,O339,O343)*M344,-1),SUM(Y270,O300,O314,Y326,O336,O339,O343))</f>
        <v>#N/A</v>
      </c>
      <c r="Z415" s="1098"/>
      <c r="AA415" s="382"/>
    </row>
    <row r="416" spans="1:27" s="378" customFormat="1" ht="13.5" hidden="1" customHeight="1">
      <c r="A416" s="956" t="s">
        <v>551</v>
      </c>
      <c r="B416" s="708"/>
      <c r="C416" s="708"/>
      <c r="D416" s="708"/>
      <c r="E416" s="708"/>
      <c r="F416" s="708"/>
      <c r="G416" s="708"/>
      <c r="H416" s="708"/>
      <c r="I416" s="708"/>
      <c r="J416" s="708"/>
      <c r="K416" s="708"/>
      <c r="L416" s="708"/>
      <c r="M416" s="1096" t="s">
        <v>458</v>
      </c>
      <c r="N416" s="1097"/>
      <c r="O416" s="1133" t="e">
        <f ca="1">O412+O308</f>
        <v>#N/A</v>
      </c>
      <c r="P416" s="1133"/>
      <c r="Q416" s="1133" t="e">
        <f ca="1">Q412+O308</f>
        <v>#N/A</v>
      </c>
      <c r="R416" s="1133"/>
      <c r="S416" s="1133" t="e">
        <f ca="1">S412+O308</f>
        <v>#N/A</v>
      </c>
      <c r="T416" s="1133"/>
      <c r="U416" s="1139"/>
      <c r="V416" s="1139"/>
      <c r="W416" s="1139"/>
      <c r="X416" s="1139"/>
      <c r="Y416" s="1139"/>
      <c r="Z416" s="1139"/>
      <c r="AA416" s="382"/>
    </row>
    <row r="417" spans="1:52" s="378" customFormat="1" ht="13.5" hidden="1" customHeight="1">
      <c r="A417" s="911" t="s">
        <v>553</v>
      </c>
      <c r="B417" s="711"/>
      <c r="C417" s="711"/>
      <c r="D417" s="711"/>
      <c r="E417" s="711"/>
      <c r="F417" s="711"/>
      <c r="G417" s="711"/>
      <c r="H417" s="711"/>
      <c r="I417" s="711"/>
      <c r="J417" s="711"/>
      <c r="K417" s="711"/>
      <c r="L417" s="711"/>
      <c r="M417" s="1096" t="s">
        <v>459</v>
      </c>
      <c r="N417" s="1097"/>
      <c r="O417" s="1133" t="e">
        <f ca="1">O413+O308</f>
        <v>#N/A</v>
      </c>
      <c r="P417" s="1133"/>
      <c r="Q417" s="1133" t="e">
        <f ca="1">Q413+O308</f>
        <v>#N/A</v>
      </c>
      <c r="R417" s="1133"/>
      <c r="S417" s="1133" t="e">
        <f ca="1">S413+O308</f>
        <v>#N/A</v>
      </c>
      <c r="T417" s="1133"/>
      <c r="U417" s="1140"/>
      <c r="V417" s="1140"/>
      <c r="W417" s="1140"/>
      <c r="X417" s="1140"/>
      <c r="Y417" s="1140"/>
      <c r="Z417" s="1140"/>
      <c r="AA417" s="382"/>
    </row>
    <row r="418" spans="1:52" s="378" customFormat="1" ht="13.5" hidden="1" customHeight="1">
      <c r="A418" s="448"/>
      <c r="B418" s="707" t="s">
        <v>10</v>
      </c>
      <c r="C418" s="708"/>
      <c r="D418" s="708"/>
      <c r="E418" s="708"/>
      <c r="F418" s="708"/>
      <c r="G418" s="708"/>
      <c r="H418" s="708"/>
      <c r="I418" s="708"/>
      <c r="J418" s="708"/>
      <c r="K418" s="708"/>
      <c r="L418" s="708"/>
      <c r="M418" s="1096" t="s">
        <v>458</v>
      </c>
      <c r="N418" s="1097"/>
      <c r="O418" s="1098" t="e">
        <f ca="1">O414</f>
        <v>#N/A</v>
      </c>
      <c r="P418" s="1098"/>
      <c r="Q418" s="1098" t="e">
        <f ca="1">Q414</f>
        <v>#N/A</v>
      </c>
      <c r="R418" s="1098"/>
      <c r="S418" s="1098" t="e">
        <f ca="1">S414</f>
        <v>#N/A</v>
      </c>
      <c r="T418" s="1098"/>
      <c r="U418" s="1140"/>
      <c r="V418" s="1140"/>
      <c r="W418" s="1140"/>
      <c r="X418" s="1140"/>
      <c r="Y418" s="1140"/>
      <c r="Z418" s="1140"/>
      <c r="AA418" s="382"/>
    </row>
    <row r="419" spans="1:52" s="378" customFormat="1" ht="13.5" hidden="1" customHeight="1">
      <c r="A419" s="448"/>
      <c r="B419" s="701"/>
      <c r="C419" s="617"/>
      <c r="D419" s="617"/>
      <c r="E419" s="617"/>
      <c r="F419" s="617"/>
      <c r="G419" s="617"/>
      <c r="H419" s="617"/>
      <c r="I419" s="617"/>
      <c r="J419" s="617"/>
      <c r="K419" s="617"/>
      <c r="L419" s="617"/>
      <c r="M419" s="1096" t="s">
        <v>459</v>
      </c>
      <c r="N419" s="1097"/>
      <c r="O419" s="1098" t="e">
        <f ca="1">O415</f>
        <v>#N/A</v>
      </c>
      <c r="P419" s="1098"/>
      <c r="Q419" s="1098" t="e">
        <f ca="1">Q415</f>
        <v>#N/A</v>
      </c>
      <c r="R419" s="1098"/>
      <c r="S419" s="1098" t="e">
        <f ca="1">S415</f>
        <v>#N/A</v>
      </c>
      <c r="T419" s="1098"/>
      <c r="U419" s="1141"/>
      <c r="V419" s="1141"/>
      <c r="W419" s="1141"/>
      <c r="X419" s="1141"/>
      <c r="Y419" s="1141"/>
      <c r="Z419" s="1141"/>
      <c r="AA419" s="382"/>
    </row>
    <row r="420" spans="1:52" s="378" customFormat="1" ht="13.5" hidden="1" customHeight="1">
      <c r="A420" s="956" t="s">
        <v>551</v>
      </c>
      <c r="B420" s="708"/>
      <c r="C420" s="708"/>
      <c r="D420" s="708"/>
      <c r="E420" s="708"/>
      <c r="F420" s="708"/>
      <c r="G420" s="708"/>
      <c r="H420" s="708"/>
      <c r="I420" s="708"/>
      <c r="J420" s="708"/>
      <c r="K420" s="708"/>
      <c r="L420" s="709"/>
      <c r="M420" s="1096" t="s">
        <v>458</v>
      </c>
      <c r="N420" s="1097"/>
      <c r="O420" s="1142">
        <f>IF(I344="適用",SUM(ROUNDDOWN(O292*M344,-1),O360,O363,O365,O366,O368,O369,O370,O371,O373,O374,O375,O378),SUM(O292,O360,O363,O365,O368,O369,O370,O371,O373,O374,O375,O378))</f>
        <v>0</v>
      </c>
      <c r="P420" s="1142"/>
      <c r="Q420" s="1142">
        <f>O420</f>
        <v>0</v>
      </c>
      <c r="R420" s="1142"/>
      <c r="S420" s="1142">
        <f>O420</f>
        <v>0</v>
      </c>
      <c r="T420" s="1142"/>
      <c r="U420" s="1142">
        <f>O420</f>
        <v>0</v>
      </c>
      <c r="V420" s="1142"/>
      <c r="W420" s="1142">
        <f>O420</f>
        <v>0</v>
      </c>
      <c r="X420" s="1142"/>
      <c r="Y420" s="1142">
        <f>O420</f>
        <v>0</v>
      </c>
      <c r="Z420" s="1142"/>
    </row>
    <row r="421" spans="1:52" s="378" customFormat="1" ht="13.5" hidden="1" customHeight="1">
      <c r="A421" s="911" t="s">
        <v>554</v>
      </c>
      <c r="B421" s="711"/>
      <c r="C421" s="711"/>
      <c r="D421" s="711"/>
      <c r="E421" s="711"/>
      <c r="F421" s="711"/>
      <c r="G421" s="711"/>
      <c r="H421" s="711"/>
      <c r="I421" s="711"/>
      <c r="J421" s="711"/>
      <c r="K421" s="711"/>
      <c r="L421" s="711"/>
      <c r="M421" s="1096" t="s">
        <v>459</v>
      </c>
      <c r="N421" s="1097"/>
      <c r="O421" s="1142">
        <f>O420</f>
        <v>0</v>
      </c>
      <c r="P421" s="1142"/>
      <c r="Q421" s="1142">
        <f>O420</f>
        <v>0</v>
      </c>
      <c r="R421" s="1142"/>
      <c r="S421" s="1142">
        <f>O420</f>
        <v>0</v>
      </c>
      <c r="T421" s="1142"/>
      <c r="U421" s="1142">
        <f>O420</f>
        <v>0</v>
      </c>
      <c r="V421" s="1142"/>
      <c r="W421" s="1142">
        <f>O420</f>
        <v>0</v>
      </c>
      <c r="X421" s="1142"/>
      <c r="Y421" s="1142">
        <f>O420</f>
        <v>0</v>
      </c>
      <c r="Z421" s="1142"/>
    </row>
    <row r="422" spans="1:52" s="378" customFormat="1" ht="13.5" hidden="1" customHeight="1">
      <c r="A422" s="448"/>
      <c r="B422" s="708" t="s">
        <v>10</v>
      </c>
      <c r="C422" s="708"/>
      <c r="D422" s="708"/>
      <c r="E422" s="708"/>
      <c r="F422" s="708"/>
      <c r="G422" s="708"/>
      <c r="H422" s="708"/>
      <c r="I422" s="708"/>
      <c r="J422" s="708"/>
      <c r="K422" s="708"/>
      <c r="L422" s="709"/>
      <c r="M422" s="1096" t="s">
        <v>458</v>
      </c>
      <c r="N422" s="1097"/>
      <c r="O422" s="1098">
        <f>IF(I339="適用",SUM(ROUNDDOWN(O298*M339,-1),O356,O360,O363,O366,O377),SUM(O298,O356,O360,O363,O377))</f>
        <v>0</v>
      </c>
      <c r="P422" s="1098"/>
      <c r="Q422" s="960">
        <f>O422</f>
        <v>0</v>
      </c>
      <c r="R422" s="962"/>
      <c r="S422" s="960">
        <f>O422</f>
        <v>0</v>
      </c>
      <c r="T422" s="962"/>
      <c r="U422" s="960">
        <f>O422</f>
        <v>0</v>
      </c>
      <c r="V422" s="962"/>
      <c r="W422" s="960">
        <f>O422</f>
        <v>0</v>
      </c>
      <c r="X422" s="962"/>
      <c r="Y422" s="960">
        <f>O422</f>
        <v>0</v>
      </c>
      <c r="Z422" s="962"/>
      <c r="AA422" s="382"/>
    </row>
    <row r="423" spans="1:52" s="378" customFormat="1" ht="13.5" hidden="1" customHeight="1">
      <c r="A423" s="452"/>
      <c r="B423" s="681"/>
      <c r="C423" s="681"/>
      <c r="D423" s="681"/>
      <c r="E423" s="681"/>
      <c r="F423" s="681"/>
      <c r="G423" s="681"/>
      <c r="H423" s="681"/>
      <c r="I423" s="681"/>
      <c r="J423" s="681"/>
      <c r="K423" s="681"/>
      <c r="L423" s="682"/>
      <c r="M423" s="1110" t="s">
        <v>459</v>
      </c>
      <c r="N423" s="1111"/>
      <c r="O423" s="1143">
        <f>O422</f>
        <v>0</v>
      </c>
      <c r="P423" s="1143"/>
      <c r="Q423" s="922">
        <f>O422</f>
        <v>0</v>
      </c>
      <c r="R423" s="924"/>
      <c r="S423" s="922">
        <f>O422</f>
        <v>0</v>
      </c>
      <c r="T423" s="924"/>
      <c r="U423" s="922">
        <f>O422</f>
        <v>0</v>
      </c>
      <c r="V423" s="924"/>
      <c r="W423" s="922">
        <f>O422</f>
        <v>0</v>
      </c>
      <c r="X423" s="924"/>
      <c r="Y423" s="922">
        <f>O422</f>
        <v>0</v>
      </c>
      <c r="Z423" s="924"/>
      <c r="AA423" s="382"/>
    </row>
    <row r="424" spans="1:52" s="382" customFormat="1" ht="13.5" hidden="1" customHeight="1">
      <c r="A424" s="1144" t="s">
        <v>555</v>
      </c>
      <c r="B424" s="1145"/>
      <c r="C424" s="1145"/>
      <c r="D424" s="1145"/>
      <c r="E424" s="1145"/>
      <c r="F424" s="1145"/>
      <c r="G424" s="1145"/>
      <c r="H424" s="1145"/>
      <c r="I424" s="1146"/>
      <c r="J424" s="695" t="s">
        <v>138</v>
      </c>
      <c r="K424" s="1151"/>
      <c r="L424" s="696"/>
      <c r="M424" s="1155" t="s">
        <v>458</v>
      </c>
      <c r="N424" s="1156"/>
      <c r="O424" s="1159">
        <f>'在籍児童一覧（保育）'!Q171</f>
        <v>0</v>
      </c>
      <c r="P424" s="1159"/>
      <c r="Q424" s="1159">
        <f>'在籍児童一覧（保育）'!S171</f>
        <v>0</v>
      </c>
      <c r="R424" s="1159"/>
      <c r="S424" s="1159">
        <f>'在籍児童一覧（保育）'!U171</f>
        <v>0</v>
      </c>
      <c r="T424" s="1159"/>
      <c r="U424" s="1159">
        <f>'在籍児童一覧（保育）'!W171</f>
        <v>0</v>
      </c>
      <c r="V424" s="1159"/>
      <c r="W424" s="1159">
        <f>'在籍児童一覧（保育）'!Y171</f>
        <v>0</v>
      </c>
      <c r="X424" s="1159"/>
      <c r="Y424" s="1159">
        <f>'在籍児童一覧（保育）'!AA171</f>
        <v>0</v>
      </c>
      <c r="Z424" s="1159"/>
      <c r="AA424" s="413">
        <v>0</v>
      </c>
      <c r="AB424" s="387">
        <v>1</v>
      </c>
      <c r="AC424" s="387">
        <v>2</v>
      </c>
      <c r="AD424" s="387">
        <v>3</v>
      </c>
      <c r="AE424" s="387">
        <v>4</v>
      </c>
      <c r="AF424" s="387">
        <v>5</v>
      </c>
      <c r="AG424" s="387">
        <v>6</v>
      </c>
      <c r="AH424" s="387">
        <v>7</v>
      </c>
      <c r="AI424" s="387">
        <v>8</v>
      </c>
      <c r="AJ424" s="387">
        <v>9</v>
      </c>
      <c r="AK424" s="387">
        <v>10</v>
      </c>
      <c r="AL424" s="387">
        <v>11</v>
      </c>
      <c r="AM424" s="387">
        <v>12</v>
      </c>
      <c r="AN424" s="387">
        <v>13</v>
      </c>
      <c r="AO424" s="387">
        <v>14</v>
      </c>
      <c r="AP424" s="387">
        <v>15</v>
      </c>
      <c r="AQ424" s="387">
        <v>16</v>
      </c>
      <c r="AR424" s="387">
        <v>17</v>
      </c>
      <c r="AS424" s="387">
        <v>18</v>
      </c>
      <c r="AT424" s="387">
        <v>19</v>
      </c>
      <c r="AU424" s="387">
        <v>20</v>
      </c>
      <c r="AV424" s="387">
        <v>21</v>
      </c>
      <c r="AW424" s="387">
        <v>22</v>
      </c>
      <c r="AX424" s="387">
        <v>23</v>
      </c>
      <c r="AY424" s="387">
        <v>24</v>
      </c>
      <c r="AZ424" s="387">
        <v>25</v>
      </c>
    </row>
    <row r="425" spans="1:52" s="382" customFormat="1" ht="13.5" hidden="1" customHeight="1">
      <c r="A425" s="1147"/>
      <c r="B425" s="899"/>
      <c r="C425" s="899"/>
      <c r="D425" s="899"/>
      <c r="E425" s="899"/>
      <c r="F425" s="899"/>
      <c r="G425" s="899"/>
      <c r="H425" s="899"/>
      <c r="I425" s="900"/>
      <c r="J425" s="928"/>
      <c r="K425" s="929"/>
      <c r="L425" s="930"/>
      <c r="M425" s="1157"/>
      <c r="N425" s="1158"/>
      <c r="O425" s="1160">
        <f>'在籍児童一覧（保育）'!Q172</f>
        <v>0</v>
      </c>
      <c r="P425" s="1160"/>
      <c r="Q425" s="1160">
        <f>'在籍児童一覧（保育）'!S172</f>
        <v>0</v>
      </c>
      <c r="R425" s="1160"/>
      <c r="S425" s="1160">
        <f>'在籍児童一覧（保育）'!U172</f>
        <v>0</v>
      </c>
      <c r="T425" s="1160"/>
      <c r="U425" s="1160">
        <f>'在籍児童一覧（保育）'!W172</f>
        <v>0</v>
      </c>
      <c r="V425" s="1160"/>
      <c r="W425" s="1160">
        <f>'在籍児童一覧（保育）'!Y172</f>
        <v>0</v>
      </c>
      <c r="X425" s="1160"/>
      <c r="Y425" s="1160">
        <f>'在籍児童一覧（保育）'!AA172</f>
        <v>0</v>
      </c>
      <c r="Z425" s="1160"/>
    </row>
    <row r="426" spans="1:52" s="382" customFormat="1" ht="13.5" hidden="1" customHeight="1">
      <c r="A426" s="1147"/>
      <c r="B426" s="899"/>
      <c r="C426" s="899"/>
      <c r="D426" s="899"/>
      <c r="E426" s="899"/>
      <c r="F426" s="899"/>
      <c r="G426" s="899"/>
      <c r="H426" s="899"/>
      <c r="I426" s="900"/>
      <c r="J426" s="928"/>
      <c r="K426" s="929"/>
      <c r="L426" s="930"/>
      <c r="M426" s="1113" t="s">
        <v>459</v>
      </c>
      <c r="N426" s="1114"/>
      <c r="O426" s="1160">
        <f>'在籍児童一覧（保育）'!Q189</f>
        <v>0</v>
      </c>
      <c r="P426" s="1160"/>
      <c r="Q426" s="1160">
        <f>'在籍児童一覧（保育）'!S189</f>
        <v>0</v>
      </c>
      <c r="R426" s="1160"/>
      <c r="S426" s="1160">
        <f>'在籍児童一覧（保育）'!U189</f>
        <v>0</v>
      </c>
      <c r="T426" s="1160"/>
      <c r="U426" s="1160">
        <f>'在籍児童一覧（保育）'!W189</f>
        <v>0</v>
      </c>
      <c r="V426" s="1160"/>
      <c r="W426" s="1160">
        <f>'在籍児童一覧（保育）'!Y189</f>
        <v>0</v>
      </c>
      <c r="X426" s="1160"/>
      <c r="Y426" s="1160">
        <f>'在籍児童一覧（保育）'!AA189</f>
        <v>0</v>
      </c>
      <c r="Z426" s="1160"/>
    </row>
    <row r="427" spans="1:52" s="382" customFormat="1" ht="13.5" hidden="1" customHeight="1">
      <c r="A427" s="1148"/>
      <c r="B427" s="1149"/>
      <c r="C427" s="1149"/>
      <c r="D427" s="1149"/>
      <c r="E427" s="1149"/>
      <c r="F427" s="1149"/>
      <c r="G427" s="1149"/>
      <c r="H427" s="1149"/>
      <c r="I427" s="1150"/>
      <c r="J427" s="1152"/>
      <c r="K427" s="1153"/>
      <c r="L427" s="1154"/>
      <c r="M427" s="1157"/>
      <c r="N427" s="1158"/>
      <c r="O427" s="1160">
        <f>'在籍児童一覧（保育）'!Q190</f>
        <v>0</v>
      </c>
      <c r="P427" s="1160"/>
      <c r="Q427" s="1160">
        <f>'在籍児童一覧（保育）'!S190</f>
        <v>0</v>
      </c>
      <c r="R427" s="1160"/>
      <c r="S427" s="1160">
        <f>'在籍児童一覧（保育）'!U190</f>
        <v>0</v>
      </c>
      <c r="T427" s="1160"/>
      <c r="U427" s="1160">
        <f>'在籍児童一覧（保育）'!W190</f>
        <v>0</v>
      </c>
      <c r="V427" s="1160"/>
      <c r="W427" s="1160">
        <f>'在籍児童一覧（保育）'!Y190</f>
        <v>0</v>
      </c>
      <c r="X427" s="1160"/>
      <c r="Y427" s="1160">
        <f>'在籍児童一覧（保育）'!AA190</f>
        <v>0</v>
      </c>
      <c r="Z427" s="1160"/>
    </row>
    <row r="428" spans="1:52" s="378" customFormat="1" ht="13.5" hidden="1" customHeight="1">
      <c r="A428" s="956" t="s">
        <v>556</v>
      </c>
      <c r="B428" s="600"/>
      <c r="C428" s="600"/>
      <c r="D428" s="600"/>
      <c r="E428" s="600"/>
      <c r="F428" s="600"/>
      <c r="G428" s="600"/>
      <c r="H428" s="600"/>
      <c r="I428" s="600"/>
      <c r="J428" s="600"/>
      <c r="K428" s="600"/>
      <c r="L428" s="600"/>
      <c r="M428" s="600"/>
      <c r="N428" s="601"/>
      <c r="O428" s="1098" t="e">
        <f ca="1">SUM(ROUNDDOWN(O412*O424/25,-1),ROUNDDOWN(O412*O425/25,-1),ROUNDDOWN(O413*O426/25,-1),ROUNDDOWN(O413*O427/25,-1))</f>
        <v>#N/A</v>
      </c>
      <c r="P428" s="1098"/>
      <c r="Q428" s="1098" t="e">
        <f ca="1">SUM(ROUNDDOWN(Q412*Q424/25,-1),ROUNDDOWN(Q412*Q425/25,-1),ROUNDDOWN(Q413*Q426/25,-1),ROUNDDOWN(Q413*Q427/25,-1))</f>
        <v>#N/A</v>
      </c>
      <c r="R428" s="1098"/>
      <c r="S428" s="1098" t="e">
        <f ca="1">SUM(ROUNDDOWN(S412*S424/25,-1),ROUNDDOWN(S412*S425/25,-1),ROUNDDOWN(S413*S426/25,-1),ROUNDDOWN(S413*S427/25,-1))</f>
        <v>#N/A</v>
      </c>
      <c r="T428" s="1098"/>
      <c r="U428" s="1098" t="e">
        <f ca="1">SUM(ROUNDDOWN(U412*U424/25,-1),ROUNDDOWN(U412*U425/25,-1),ROUNDDOWN(U413*U426/25,-1),ROUNDDOWN(U413*U427/25,-1))</f>
        <v>#N/A</v>
      </c>
      <c r="V428" s="1098"/>
      <c r="W428" s="1098" t="e">
        <f ca="1">SUM(ROUNDDOWN(W412*W424/25,-1),ROUNDDOWN(W412*W425/25,-1),ROUNDDOWN(W413*W426/25,-1),ROUNDDOWN(W413*W427/25,-1))</f>
        <v>#N/A</v>
      </c>
      <c r="X428" s="1098"/>
      <c r="Y428" s="1098" t="e">
        <f ca="1">SUM(ROUNDDOWN(Y412*Y424/25,-1),ROUNDDOWN(Y412*Y425/25,-1),ROUNDDOWN(Y413*Y426/25,-1),ROUNDDOWN(Y413*Y427/25,-1))</f>
        <v>#N/A</v>
      </c>
      <c r="Z428" s="1098"/>
      <c r="AA428" s="382"/>
    </row>
    <row r="429" spans="1:52" s="378" customFormat="1" ht="13.5" hidden="1" customHeight="1">
      <c r="A429" s="426"/>
      <c r="B429" s="921" t="s">
        <v>10</v>
      </c>
      <c r="C429" s="592"/>
      <c r="D429" s="592"/>
      <c r="E429" s="592"/>
      <c r="F429" s="592"/>
      <c r="G429" s="592"/>
      <c r="H429" s="592"/>
      <c r="I429" s="592"/>
      <c r="J429" s="592"/>
      <c r="K429" s="592"/>
      <c r="L429" s="592"/>
      <c r="M429" s="592"/>
      <c r="N429" s="593"/>
      <c r="O429" s="1143" t="e">
        <f ca="1">SUM(ROUNDDOWN(O414*O424/25,-1),ROUNDDOWN(O414*O425/25,-1),ROUNDDOWN(O415*O426/25,-1),ROUNDDOWN(O415*O427/25,-1))</f>
        <v>#N/A</v>
      </c>
      <c r="P429" s="1143"/>
      <c r="Q429" s="1143" t="e">
        <f ca="1">SUM(ROUNDDOWN(Q414*Q424/25,-1),ROUNDDOWN(Q414*Q425/25,-1),ROUNDDOWN(Q415*Q426/25,-1),ROUNDDOWN(Q415*Q427/25,-1))</f>
        <v>#N/A</v>
      </c>
      <c r="R429" s="1143"/>
      <c r="S429" s="1143" t="e">
        <f ca="1">SUM(ROUNDDOWN(S414*S424/25,-1),ROUNDDOWN(S414*S425/25,-1),ROUNDDOWN(S415*S426/25,-1),ROUNDDOWN(S415*S427/25,-1))</f>
        <v>#N/A</v>
      </c>
      <c r="T429" s="1143"/>
      <c r="U429" s="1143" t="e">
        <f ca="1">SUM(ROUNDDOWN(U414*U424/25,-1),ROUNDDOWN(U414*U425/25,-1),ROUNDDOWN(U415*U426/25,-1),ROUNDDOWN(U415*U427/25,-1))</f>
        <v>#N/A</v>
      </c>
      <c r="V429" s="1143"/>
      <c r="W429" s="1143" t="e">
        <f ca="1">SUM(ROUNDDOWN(W414*W424/25,-1),ROUNDDOWN(W414*W425/25,-1),ROUNDDOWN(W415*W426/25,-1),ROUNDDOWN(W415*W427/25,-1))</f>
        <v>#N/A</v>
      </c>
      <c r="X429" s="1143"/>
      <c r="Y429" s="1143" t="e">
        <f ca="1">SUM(ROUNDDOWN(Y414*Y424/25,-1),ROUNDDOWN(Y414*Y425/25,-1),ROUNDDOWN(Y415*Y426/25,-1),ROUNDDOWN(Y415*Y427/25,-1))</f>
        <v>#N/A</v>
      </c>
      <c r="Z429" s="1143"/>
      <c r="AA429" s="382"/>
    </row>
    <row r="430" spans="1:52" s="382" customFormat="1" ht="13.5" hidden="1" customHeight="1">
      <c r="A430" s="1144" t="s">
        <v>642</v>
      </c>
      <c r="B430" s="1145"/>
      <c r="C430" s="1145"/>
      <c r="D430" s="1145"/>
      <c r="E430" s="1145"/>
      <c r="F430" s="1145"/>
      <c r="G430" s="1145"/>
      <c r="H430" s="1145"/>
      <c r="I430" s="1146"/>
      <c r="J430" s="695" t="s">
        <v>138</v>
      </c>
      <c r="K430" s="1151"/>
      <c r="L430" s="696"/>
      <c r="M430" s="1155" t="s">
        <v>458</v>
      </c>
      <c r="N430" s="1156"/>
      <c r="O430" s="1160">
        <f>'在籍児童一覧（保育）'!Q173</f>
        <v>0</v>
      </c>
      <c r="P430" s="1160"/>
      <c r="Q430" s="1160">
        <f>'在籍児童一覧（保育）'!S173</f>
        <v>0</v>
      </c>
      <c r="R430" s="1160"/>
      <c r="S430" s="1160">
        <f>'在籍児童一覧（保育）'!U173</f>
        <v>0</v>
      </c>
      <c r="T430" s="1160"/>
      <c r="U430" s="1164"/>
      <c r="V430" s="1164"/>
      <c r="W430" s="1164"/>
      <c r="X430" s="1164"/>
      <c r="Y430" s="1164"/>
      <c r="Z430" s="1164"/>
    </row>
    <row r="431" spans="1:52" s="382" customFormat="1" ht="13.5" hidden="1" customHeight="1">
      <c r="A431" s="1147"/>
      <c r="B431" s="899"/>
      <c r="C431" s="899"/>
      <c r="D431" s="899"/>
      <c r="E431" s="899"/>
      <c r="F431" s="899"/>
      <c r="G431" s="899"/>
      <c r="H431" s="899"/>
      <c r="I431" s="900"/>
      <c r="J431" s="928"/>
      <c r="K431" s="929"/>
      <c r="L431" s="930"/>
      <c r="M431" s="1157"/>
      <c r="N431" s="1158"/>
      <c r="O431" s="1160">
        <f>'在籍児童一覧（保育）'!Q174</f>
        <v>0</v>
      </c>
      <c r="P431" s="1160"/>
      <c r="Q431" s="1160">
        <f>'在籍児童一覧（保育）'!S174</f>
        <v>0</v>
      </c>
      <c r="R431" s="1160"/>
      <c r="S431" s="1160">
        <f>'在籍児童一覧（保育）'!U174</f>
        <v>0</v>
      </c>
      <c r="T431" s="1160"/>
      <c r="U431" s="1165"/>
      <c r="V431" s="1165"/>
      <c r="W431" s="1165"/>
      <c r="X431" s="1165"/>
      <c r="Y431" s="1165"/>
      <c r="Z431" s="1165"/>
    </row>
    <row r="432" spans="1:52" s="382" customFormat="1" ht="13.5" hidden="1" customHeight="1">
      <c r="A432" s="1147"/>
      <c r="B432" s="899"/>
      <c r="C432" s="899"/>
      <c r="D432" s="899"/>
      <c r="E432" s="899"/>
      <c r="F432" s="899"/>
      <c r="G432" s="899"/>
      <c r="H432" s="899"/>
      <c r="I432" s="900"/>
      <c r="J432" s="928"/>
      <c r="K432" s="929"/>
      <c r="L432" s="930"/>
      <c r="M432" s="1113" t="s">
        <v>459</v>
      </c>
      <c r="N432" s="1114"/>
      <c r="O432" s="1160">
        <f>'在籍児童一覧（保育）'!Q191</f>
        <v>0</v>
      </c>
      <c r="P432" s="1160"/>
      <c r="Q432" s="1160">
        <f>'在籍児童一覧（保育）'!S191</f>
        <v>0</v>
      </c>
      <c r="R432" s="1160"/>
      <c r="S432" s="1160">
        <f>'在籍児童一覧（保育）'!U191</f>
        <v>0</v>
      </c>
      <c r="T432" s="1160"/>
      <c r="U432" s="1165"/>
      <c r="V432" s="1165"/>
      <c r="W432" s="1165"/>
      <c r="X432" s="1165"/>
      <c r="Y432" s="1165"/>
      <c r="Z432" s="1165"/>
    </row>
    <row r="433" spans="1:29" s="382" customFormat="1" ht="13.5" hidden="1" customHeight="1">
      <c r="A433" s="1161"/>
      <c r="B433" s="1162"/>
      <c r="C433" s="1162"/>
      <c r="D433" s="1162"/>
      <c r="E433" s="1162"/>
      <c r="F433" s="1162"/>
      <c r="G433" s="1162"/>
      <c r="H433" s="1162"/>
      <c r="I433" s="1163"/>
      <c r="J433" s="928"/>
      <c r="K433" s="929"/>
      <c r="L433" s="930"/>
      <c r="M433" s="1166"/>
      <c r="N433" s="1167"/>
      <c r="O433" s="1160">
        <f>'在籍児童一覧（保育）'!Q192</f>
        <v>0</v>
      </c>
      <c r="P433" s="1160"/>
      <c r="Q433" s="1160">
        <f>'在籍児童一覧（保育）'!S192</f>
        <v>0</v>
      </c>
      <c r="R433" s="1160"/>
      <c r="S433" s="1160">
        <f>'在籍児童一覧（保育）'!U192</f>
        <v>0</v>
      </c>
      <c r="T433" s="1160"/>
      <c r="U433" s="1165"/>
      <c r="V433" s="1165"/>
      <c r="W433" s="1165"/>
      <c r="X433" s="1165"/>
      <c r="Y433" s="1165"/>
      <c r="Z433" s="1165"/>
    </row>
    <row r="434" spans="1:29" s="378" customFormat="1" ht="13.5" hidden="1" customHeight="1">
      <c r="A434" s="1168" t="s">
        <v>557</v>
      </c>
      <c r="B434" s="1169"/>
      <c r="C434" s="1169"/>
      <c r="D434" s="1169"/>
      <c r="E434" s="1169"/>
      <c r="F434" s="1169"/>
      <c r="G434" s="1169"/>
      <c r="H434" s="1169"/>
      <c r="I434" s="1169"/>
      <c r="J434" s="1169"/>
      <c r="K434" s="1169"/>
      <c r="L434" s="1169"/>
      <c r="M434" s="1169"/>
      <c r="N434" s="1170"/>
      <c r="O434" s="1098" t="e">
        <f ca="1">SUM(ROUNDDOWN(O416*O430/25,-1),ROUNDDOWN(O416*O431/25,-1),ROUNDDOWN(O417*O432/25,-1),ROUNDDOWN(O417*O433/25,-1))</f>
        <v>#N/A</v>
      </c>
      <c r="P434" s="1098"/>
      <c r="Q434" s="1098" t="e">
        <f ca="1">SUM(ROUNDDOWN(Q416*Q430/20,-1),ROUNDDOWN(Q416*Q431/20,-1),ROUNDDOWN(Q417*Q432/20,-1),ROUNDDOWN(Q417*Q433/20,-1))</f>
        <v>#N/A</v>
      </c>
      <c r="R434" s="1098"/>
      <c r="S434" s="1098" t="e">
        <f ca="1">SUM(ROUNDDOWN(S416*S430/20,-1),ROUNDDOWN(S416*S431/20,-1),ROUNDDOWN(S417*S432/20,-1),ROUNDDOWN(S417*S433/20,-1))</f>
        <v>#N/A</v>
      </c>
      <c r="T434" s="1098"/>
      <c r="U434" s="1165"/>
      <c r="V434" s="1165"/>
      <c r="W434" s="1165"/>
      <c r="X434" s="1165"/>
      <c r="Y434" s="1165"/>
      <c r="Z434" s="1165"/>
      <c r="AA434" s="382"/>
    </row>
    <row r="435" spans="1:29" s="378" customFormat="1" ht="13.5" hidden="1" customHeight="1">
      <c r="A435" s="453"/>
      <c r="B435" s="701" t="s">
        <v>10</v>
      </c>
      <c r="C435" s="617"/>
      <c r="D435" s="617"/>
      <c r="E435" s="617"/>
      <c r="F435" s="617"/>
      <c r="G435" s="617"/>
      <c r="H435" s="617"/>
      <c r="I435" s="617"/>
      <c r="J435" s="617"/>
      <c r="K435" s="617"/>
      <c r="L435" s="617"/>
      <c r="M435" s="617"/>
      <c r="N435" s="618"/>
      <c r="O435" s="1143" t="e">
        <f ca="1">SUM(ROUNDDOWN(O418*O430/25,-1),ROUNDDOWN(O418*O431/25,-1),ROUNDDOWN(O419*O432/25,-1),ROUNDDOWN(O419*O433/25,-1))</f>
        <v>#N/A</v>
      </c>
      <c r="P435" s="1143"/>
      <c r="Q435" s="1143" t="e">
        <f ca="1">SUM(ROUNDDOWN(Q418*Q430/25,-1),ROUNDDOWN(Q418*Q431/25,-1),ROUNDDOWN(Q419*Q432/25,-1),ROUNDDOWN(Q419*Q433/25,-1))</f>
        <v>#N/A</v>
      </c>
      <c r="R435" s="1143"/>
      <c r="S435" s="1143" t="e">
        <f ca="1">SUM(ROUNDDOWN(S418*S430/25,-1),ROUNDDOWN(S418*S431/25,-1),ROUNDDOWN(S419*S432/25,-1),ROUNDDOWN(S419*S433/25,-1))</f>
        <v>#N/A</v>
      </c>
      <c r="T435" s="1143"/>
      <c r="U435" s="1165"/>
      <c r="V435" s="1165"/>
      <c r="W435" s="1165"/>
      <c r="X435" s="1165"/>
      <c r="Y435" s="1165"/>
      <c r="Z435" s="1165"/>
      <c r="AA435" s="382"/>
    </row>
    <row r="436" spans="1:29" s="382" customFormat="1" ht="13.5" hidden="1" customHeight="1">
      <c r="A436" s="1172" t="s">
        <v>643</v>
      </c>
      <c r="B436" s="1137"/>
      <c r="C436" s="1137"/>
      <c r="D436" s="1137"/>
      <c r="E436" s="1137"/>
      <c r="F436" s="1137"/>
      <c r="G436" s="1137"/>
      <c r="H436" s="1137"/>
      <c r="I436" s="1138"/>
      <c r="J436" s="1173" t="s">
        <v>138</v>
      </c>
      <c r="K436" s="1174"/>
      <c r="L436" s="1175"/>
      <c r="M436" s="1176" t="s">
        <v>458</v>
      </c>
      <c r="N436" s="1177"/>
      <c r="O436" s="1160">
        <f>'在籍児童一覧（保育）'!Q175</f>
        <v>0</v>
      </c>
      <c r="P436" s="1160"/>
      <c r="Q436" s="1160">
        <f>'在籍児童一覧（保育）'!S175</f>
        <v>0</v>
      </c>
      <c r="R436" s="1160"/>
      <c r="S436" s="1160">
        <f>'在籍児童一覧（保育）'!U175</f>
        <v>0</v>
      </c>
      <c r="T436" s="1160"/>
      <c r="U436" s="1178">
        <f>'在籍児童一覧（保育）'!W175</f>
        <v>0</v>
      </c>
      <c r="V436" s="1178"/>
      <c r="W436" s="1178">
        <f>'在籍児童一覧（保育）'!Y175</f>
        <v>0</v>
      </c>
      <c r="X436" s="1178"/>
      <c r="Y436" s="1178">
        <f>'在籍児童一覧（保育）'!AA175</f>
        <v>0</v>
      </c>
      <c r="Z436" s="1178"/>
    </row>
    <row r="437" spans="1:29" s="382" customFormat="1" ht="13.5" hidden="1" customHeight="1">
      <c r="A437" s="898"/>
      <c r="B437" s="899"/>
      <c r="C437" s="899"/>
      <c r="D437" s="899"/>
      <c r="E437" s="899"/>
      <c r="F437" s="899"/>
      <c r="G437" s="899"/>
      <c r="H437" s="899"/>
      <c r="I437" s="900"/>
      <c r="J437" s="928"/>
      <c r="K437" s="929"/>
      <c r="L437" s="930"/>
      <c r="M437" s="1157"/>
      <c r="N437" s="1158"/>
      <c r="O437" s="1160">
        <f>'在籍児童一覧（保育）'!Q176</f>
        <v>0</v>
      </c>
      <c r="P437" s="1160"/>
      <c r="Q437" s="1160">
        <f>'在籍児童一覧（保育）'!S176</f>
        <v>0</v>
      </c>
      <c r="R437" s="1160"/>
      <c r="S437" s="1160">
        <f>'在籍児童一覧（保育）'!U176</f>
        <v>0</v>
      </c>
      <c r="T437" s="1160"/>
      <c r="U437" s="1160">
        <f>'在籍児童一覧（保育）'!W176</f>
        <v>0</v>
      </c>
      <c r="V437" s="1160"/>
      <c r="W437" s="1160">
        <f>'在籍児童一覧（保育）'!Y176</f>
        <v>0</v>
      </c>
      <c r="X437" s="1160"/>
      <c r="Y437" s="1160">
        <f>'在籍児童一覧（保育）'!AA176</f>
        <v>0</v>
      </c>
      <c r="Z437" s="1160"/>
    </row>
    <row r="438" spans="1:29" s="382" customFormat="1" ht="13.5" hidden="1" customHeight="1">
      <c r="A438" s="898"/>
      <c r="B438" s="899"/>
      <c r="C438" s="899"/>
      <c r="D438" s="899"/>
      <c r="E438" s="899"/>
      <c r="F438" s="899"/>
      <c r="G438" s="899"/>
      <c r="H438" s="899"/>
      <c r="I438" s="900"/>
      <c r="J438" s="928"/>
      <c r="K438" s="929"/>
      <c r="L438" s="930"/>
      <c r="M438" s="1113" t="s">
        <v>459</v>
      </c>
      <c r="N438" s="1114"/>
      <c r="O438" s="1160">
        <f>'在籍児童一覧（保育）'!Q193</f>
        <v>0</v>
      </c>
      <c r="P438" s="1160"/>
      <c r="Q438" s="1160">
        <f>'在籍児童一覧（保育）'!S193</f>
        <v>0</v>
      </c>
      <c r="R438" s="1160"/>
      <c r="S438" s="1160">
        <f>'在籍児童一覧（保育）'!U193</f>
        <v>0</v>
      </c>
      <c r="T438" s="1160"/>
      <c r="U438" s="1160">
        <f>'在籍児童一覧（保育）'!W193</f>
        <v>0</v>
      </c>
      <c r="V438" s="1160"/>
      <c r="W438" s="1160">
        <f>'在籍児童一覧（保育）'!Y193</f>
        <v>0</v>
      </c>
      <c r="X438" s="1160"/>
      <c r="Y438" s="1160">
        <f>'在籍児童一覧（保育）'!AA193</f>
        <v>0</v>
      </c>
      <c r="Z438" s="1160"/>
    </row>
    <row r="439" spans="1:29" s="382" customFormat="1" ht="13.5" hidden="1" customHeight="1">
      <c r="A439" s="898"/>
      <c r="B439" s="899"/>
      <c r="C439" s="899"/>
      <c r="D439" s="899"/>
      <c r="E439" s="899"/>
      <c r="F439" s="899"/>
      <c r="G439" s="899"/>
      <c r="H439" s="899"/>
      <c r="I439" s="900"/>
      <c r="J439" s="928"/>
      <c r="K439" s="929"/>
      <c r="L439" s="930"/>
      <c r="M439" s="1166"/>
      <c r="N439" s="1167"/>
      <c r="O439" s="1160">
        <f>'在籍児童一覧（保育）'!Q194</f>
        <v>0</v>
      </c>
      <c r="P439" s="1160"/>
      <c r="Q439" s="1160">
        <f>'在籍児童一覧（保育）'!S194</f>
        <v>0</v>
      </c>
      <c r="R439" s="1160"/>
      <c r="S439" s="1160">
        <f>'在籍児童一覧（保育）'!U194</f>
        <v>0</v>
      </c>
      <c r="T439" s="1160"/>
      <c r="U439" s="1160">
        <f>'在籍児童一覧（保育）'!W194</f>
        <v>0</v>
      </c>
      <c r="V439" s="1160"/>
      <c r="W439" s="1160">
        <f>'在籍児童一覧（保育）'!Y194</f>
        <v>0</v>
      </c>
      <c r="X439" s="1160"/>
      <c r="Y439" s="1160">
        <f>'在籍児童一覧（保育）'!AA194</f>
        <v>0</v>
      </c>
      <c r="Z439" s="1160"/>
    </row>
    <row r="440" spans="1:29" s="378" customFormat="1" ht="13.5" hidden="1" customHeight="1">
      <c r="A440" s="1171" t="s">
        <v>558</v>
      </c>
      <c r="B440" s="600"/>
      <c r="C440" s="600"/>
      <c r="D440" s="600"/>
      <c r="E440" s="600"/>
      <c r="F440" s="600"/>
      <c r="G440" s="600"/>
      <c r="H440" s="600"/>
      <c r="I440" s="600"/>
      <c r="J440" s="600"/>
      <c r="K440" s="600"/>
      <c r="L440" s="600"/>
      <c r="M440" s="600"/>
      <c r="N440" s="601"/>
      <c r="O440" s="1098" t="e">
        <f ca="1">SUM(ROUNDDOWN(O412*O436/25,-1),ROUNDDOWN(O412*O437/25,-1),ROUNDDOWN(O413*O438/25,-1),ROUNDDOWN(O413*O439/25,-1),IF(O436&lt;1,0,O420),IF(O437&lt;1,0,O420),IF(O438&lt;1,0,O421),IF(O439&lt;1,0,O421))</f>
        <v>#N/A</v>
      </c>
      <c r="P440" s="1098"/>
      <c r="Q440" s="1098" t="e">
        <f ca="1">SUM(ROUNDDOWN(Q412*Q436/25,-1),ROUNDDOWN(Q412*Q437/25,-1),ROUNDDOWN(Q413*Q438/25,-1),ROUNDDOWN(Q413*Q439/25,-1),IF(Q436&lt;1,0,Q420),IF(Q437&lt;1,0,Q420),IF(Q438&lt;1,0,Q421),IF(Q439&lt;1,0,Q421))</f>
        <v>#N/A</v>
      </c>
      <c r="R440" s="1098"/>
      <c r="S440" s="1098" t="e">
        <f ca="1">SUM(ROUNDDOWN(S412*S436/25,-1),ROUNDDOWN(S412*S437/25,-1),ROUNDDOWN(S413*S438/25,-1),ROUNDDOWN(S413*S439/25,-1),IF(S436&lt;1,0,S420),IF(S437&lt;1,0,S420),IF(S438&lt;1,0,S421),IF(S439&lt;1,0,S421))</f>
        <v>#N/A</v>
      </c>
      <c r="T440" s="1098"/>
      <c r="U440" s="1098" t="e">
        <f ca="1">SUM(ROUNDDOWN(U412*U436/25,-1),ROUNDDOWN(U412*U437/25,-1),ROUNDDOWN(U413*U438/25,-1),ROUNDDOWN(U413*U439/25,-1),IF(U436&lt;1,0,U420),IF(U437&lt;1,0,U420),IF(U438&lt;1,0,U421),IF(U439&lt;1,0,U421))</f>
        <v>#N/A</v>
      </c>
      <c r="V440" s="1098"/>
      <c r="W440" s="1098" t="e">
        <f ca="1">SUM(ROUNDDOWN(W412*W436/25,-1),ROUNDDOWN(W412*W437/25,-1),ROUNDDOWN(W413*W438/25,-1),ROUNDDOWN(W413*W439/25,-1),IF(W436&lt;1,0,W420),IF(W437&lt;1,0,W420),IF(W438&lt;1,0,W421),IF(W439&lt;1,0,W421))</f>
        <v>#N/A</v>
      </c>
      <c r="X440" s="1098"/>
      <c r="Y440" s="1098" t="e">
        <f ca="1">SUM(ROUNDDOWN(Y412*Y436/25,-1),ROUNDDOWN(Y412*Y437/25,-1),ROUNDDOWN(Y413*Y438/25,-1),ROUNDDOWN(Y413*Y439/25,-1),IF(Y436&lt;1,0,Y420),IF(Y437&lt;1,0,Y420),IF(Y438&lt;1,0,Y421),IF(Y439&lt;1,0,Y421))</f>
        <v>#N/A</v>
      </c>
      <c r="Z440" s="1098"/>
      <c r="AA440" s="382"/>
    </row>
    <row r="441" spans="1:29" s="378" customFormat="1" ht="13.5" hidden="1" customHeight="1">
      <c r="A441" s="454"/>
      <c r="B441" s="1019" t="s">
        <v>10</v>
      </c>
      <c r="C441" s="672"/>
      <c r="D441" s="672"/>
      <c r="E441" s="672"/>
      <c r="F441" s="672"/>
      <c r="G441" s="672"/>
      <c r="H441" s="672"/>
      <c r="I441" s="672"/>
      <c r="J441" s="672"/>
      <c r="K441" s="672"/>
      <c r="L441" s="672"/>
      <c r="M441" s="672"/>
      <c r="N441" s="673"/>
      <c r="O441" s="1179" t="e">
        <f ca="1">SUM(ROUNDDOWN(O414*O436/25,-1),ROUNDDOWN(O414*O437/25,-1),ROUNDDOWN(O415*O438/25,-1),ROUNDDOWN(O415*O439/25,-1),IF(O436&lt;1,0,O422),IF(O437&lt;1,0,O422),IF(O438&lt;1,0,O423),IF(O439&lt;1,0,O423))</f>
        <v>#N/A</v>
      </c>
      <c r="P441" s="1179"/>
      <c r="Q441" s="1179" t="e">
        <f ca="1">SUM(ROUNDDOWN(Q414*Q436/25,-1),ROUNDDOWN(Q414*Q437/25,-1),ROUNDDOWN(Q415*Q438/25,-1),ROUNDDOWN(Q415*Q439/25,-1),IF(Q436&lt;1,0,Q422),IF(Q437&lt;1,0,Q422),IF(Q438&lt;1,0,Q423),IF(Q439&lt;1,0,Q423))</f>
        <v>#N/A</v>
      </c>
      <c r="R441" s="1179"/>
      <c r="S441" s="1179" t="e">
        <f ca="1">SUM(ROUNDDOWN(S414*S436/25,-1),ROUNDDOWN(S414*S437/25,-1),ROUNDDOWN(S415*S438/25,-1),ROUNDDOWN(S415*S439/25,-1),IF(S436&lt;1,0,S422),IF(S437&lt;1,0,S422),IF(S438&lt;1,0,S423),IF(S439&lt;1,0,S423))</f>
        <v>#N/A</v>
      </c>
      <c r="T441" s="1179"/>
      <c r="U441" s="1098" t="e">
        <f ca="1">SUM(ROUNDDOWN(U414*U436/25,-1),ROUNDDOWN(U414*U437/25,-1),ROUNDDOWN(U415*U438/25,-1),ROUNDDOWN(U415*U439/25,-1),IF(U436&lt;1,0,U422),IF(U437&lt;1,0,U422),IF(U438&lt;1,0,U423),IF(U439&lt;1,0,U423))</f>
        <v>#N/A</v>
      </c>
      <c r="V441" s="1098"/>
      <c r="W441" s="1098" t="e">
        <f ca="1">SUM(ROUNDDOWN(W414*W436/25,-1),ROUNDDOWN(W414*W437/25,-1),ROUNDDOWN(W415*W438/25,-1),ROUNDDOWN(W415*W439/25,-1),IF(W436&lt;1,0,W422),IF(W437&lt;1,0,W422),IF(W438&lt;1,0,W423),IF(W439&lt;1,0,W423))</f>
        <v>#N/A</v>
      </c>
      <c r="X441" s="1098"/>
      <c r="Y441" s="1098" t="e">
        <f ca="1">SUM(ROUNDDOWN(Y414*Y436/25,-1),ROUNDDOWN(Y414*Y437/25,-1),ROUNDDOWN(Y415*Y438/25,-1),ROUNDDOWN(Y415*Y439/25,-1),IF(Y436&lt;1,0,Y422),IF(Y437&lt;1,0,Y422),IF(Y438&lt;1,0,Y423),IF(Y439&lt;1,0,Y423))</f>
        <v>#N/A</v>
      </c>
      <c r="Z441" s="1098"/>
      <c r="AA441" s="382"/>
      <c r="AB441" s="382"/>
      <c r="AC441" s="382"/>
    </row>
    <row r="442" spans="1:29" s="382" customFormat="1" ht="13.5" hidden="1" customHeight="1">
      <c r="A442" s="1172" t="s">
        <v>644</v>
      </c>
      <c r="B442" s="1137"/>
      <c r="C442" s="1137"/>
      <c r="D442" s="1137"/>
      <c r="E442" s="1137"/>
      <c r="F442" s="1137"/>
      <c r="G442" s="1137"/>
      <c r="H442" s="1137"/>
      <c r="I442" s="1138"/>
      <c r="J442" s="1173" t="s">
        <v>138</v>
      </c>
      <c r="K442" s="1174"/>
      <c r="L442" s="1175"/>
      <c r="M442" s="1176" t="s">
        <v>458</v>
      </c>
      <c r="N442" s="1177"/>
      <c r="O442" s="934">
        <f>'在籍児童一覧（保育）'!Q177</f>
        <v>0</v>
      </c>
      <c r="P442" s="1180"/>
      <c r="Q442" s="934">
        <f>'在籍児童一覧（保育）'!S177</f>
        <v>0</v>
      </c>
      <c r="R442" s="1180"/>
      <c r="S442" s="934">
        <f>'在籍児童一覧（保育）'!U177</f>
        <v>0</v>
      </c>
      <c r="T442" s="1180"/>
      <c r="U442" s="1181"/>
      <c r="V442" s="1181"/>
      <c r="W442" s="1181"/>
      <c r="X442" s="1181"/>
      <c r="Y442" s="1181"/>
      <c r="Z442" s="1181"/>
    </row>
    <row r="443" spans="1:29" s="382" customFormat="1" ht="13.5" hidden="1" customHeight="1">
      <c r="A443" s="898"/>
      <c r="B443" s="899"/>
      <c r="C443" s="899"/>
      <c r="D443" s="899"/>
      <c r="E443" s="899"/>
      <c r="F443" s="899"/>
      <c r="G443" s="899"/>
      <c r="H443" s="899"/>
      <c r="I443" s="900"/>
      <c r="J443" s="928"/>
      <c r="K443" s="929"/>
      <c r="L443" s="930"/>
      <c r="M443" s="1157"/>
      <c r="N443" s="1158"/>
      <c r="O443" s="945">
        <f>'在籍児童一覧（保育）'!Q178</f>
        <v>0</v>
      </c>
      <c r="P443" s="1183"/>
      <c r="Q443" s="945">
        <f>'在籍児童一覧（保育）'!S178</f>
        <v>0</v>
      </c>
      <c r="R443" s="1183"/>
      <c r="S443" s="945">
        <f>'在籍児童一覧（保育）'!U178</f>
        <v>0</v>
      </c>
      <c r="T443" s="1183"/>
      <c r="U443" s="1165"/>
      <c r="V443" s="1165"/>
      <c r="W443" s="1165"/>
      <c r="X443" s="1165"/>
      <c r="Y443" s="1165"/>
      <c r="Z443" s="1165"/>
    </row>
    <row r="444" spans="1:29" s="382" customFormat="1" ht="13.5" hidden="1" customHeight="1">
      <c r="A444" s="898"/>
      <c r="B444" s="899"/>
      <c r="C444" s="899"/>
      <c r="D444" s="899"/>
      <c r="E444" s="899"/>
      <c r="F444" s="899"/>
      <c r="G444" s="899"/>
      <c r="H444" s="899"/>
      <c r="I444" s="900"/>
      <c r="J444" s="928"/>
      <c r="K444" s="929"/>
      <c r="L444" s="930"/>
      <c r="M444" s="1113" t="s">
        <v>459</v>
      </c>
      <c r="N444" s="1114"/>
      <c r="O444" s="1160">
        <f>'在籍児童一覧（保育）'!Q195</f>
        <v>0</v>
      </c>
      <c r="P444" s="1160"/>
      <c r="Q444" s="1160">
        <f>'在籍児童一覧（保育）'!S195</f>
        <v>0</v>
      </c>
      <c r="R444" s="1160"/>
      <c r="S444" s="1160">
        <f>'在籍児童一覧（保育）'!U195</f>
        <v>0</v>
      </c>
      <c r="T444" s="1160"/>
      <c r="U444" s="1165"/>
      <c r="V444" s="1165"/>
      <c r="W444" s="1165"/>
      <c r="X444" s="1165"/>
      <c r="Y444" s="1165"/>
      <c r="Z444" s="1165"/>
    </row>
    <row r="445" spans="1:29" s="382" customFormat="1" ht="13.5" hidden="1" customHeight="1">
      <c r="A445" s="898"/>
      <c r="B445" s="899"/>
      <c r="C445" s="899"/>
      <c r="D445" s="899"/>
      <c r="E445" s="899"/>
      <c r="F445" s="899"/>
      <c r="G445" s="899"/>
      <c r="H445" s="899"/>
      <c r="I445" s="900"/>
      <c r="J445" s="928"/>
      <c r="K445" s="929"/>
      <c r="L445" s="930"/>
      <c r="M445" s="1166"/>
      <c r="N445" s="1167"/>
      <c r="O445" s="1160">
        <f>'在籍児童一覧（保育）'!Q196</f>
        <v>0</v>
      </c>
      <c r="P445" s="1160"/>
      <c r="Q445" s="1160">
        <f>'在籍児童一覧（保育）'!S196</f>
        <v>0</v>
      </c>
      <c r="R445" s="1160"/>
      <c r="S445" s="1160">
        <f>'在籍児童一覧（保育）'!U196</f>
        <v>0</v>
      </c>
      <c r="T445" s="1160"/>
      <c r="U445" s="1165"/>
      <c r="V445" s="1165"/>
      <c r="W445" s="1165"/>
      <c r="X445" s="1165"/>
      <c r="Y445" s="1165"/>
      <c r="Z445" s="1165"/>
    </row>
    <row r="446" spans="1:29" s="378" customFormat="1" ht="13.5" hidden="1" customHeight="1">
      <c r="A446" s="1171" t="s">
        <v>559</v>
      </c>
      <c r="B446" s="600"/>
      <c r="C446" s="600"/>
      <c r="D446" s="600"/>
      <c r="E446" s="600"/>
      <c r="F446" s="600"/>
      <c r="G446" s="600"/>
      <c r="H446" s="600"/>
      <c r="I446" s="600"/>
      <c r="J446" s="600"/>
      <c r="K446" s="600"/>
      <c r="L446" s="600"/>
      <c r="M446" s="600"/>
      <c r="N446" s="601"/>
      <c r="O446" s="1098" t="e">
        <f ca="1">SUM(ROUNDDOWN(O416*O442/25,-1),ROUNDDOWN(O416*O443/25,-1),ROUNDDOWN(O417*O444/25,-1),ROUNDDOWN(O417*O445/25,-1),IF(O442&lt;1,0,O420),IF(O443&lt;1,0,O420),IF(O444&lt;1,0,O421),IF(O445&lt;1,0,O421))</f>
        <v>#N/A</v>
      </c>
      <c r="P446" s="1098"/>
      <c r="Q446" s="1098" t="e">
        <f ca="1">SUM(ROUNDDOWN(Q416*Q442/25,-1),ROUNDDOWN(Q416*Q443/25,-1),ROUNDDOWN(Q417*Q444/25,-1),ROUNDDOWN(Q417*Q445/25,-1),IF(Q442&lt;1,0,Q420),IF(Q443&lt;1,0,Q420),IF(Q444&lt;1,0,Q421),IF(Q445&lt;1,0,Q421))</f>
        <v>#N/A</v>
      </c>
      <c r="R446" s="1098"/>
      <c r="S446" s="1098" t="e">
        <f ca="1">SUM(ROUNDDOWN(S416*S442/25,-1),ROUNDDOWN(S416*S443/25,-1),ROUNDDOWN(S417*S444/25,-1),ROUNDDOWN(S417*S445/25,-1),IF(S442&lt;1,0,S420),IF(S443&lt;1,0,S420),IF(S444&lt;1,0,S421),IF(S445&lt;1,0,S421))</f>
        <v>#N/A</v>
      </c>
      <c r="T446" s="1098"/>
      <c r="U446" s="1165"/>
      <c r="V446" s="1165"/>
      <c r="W446" s="1165"/>
      <c r="X446" s="1165"/>
      <c r="Y446" s="1165"/>
      <c r="Z446" s="1165"/>
      <c r="AA446" s="382"/>
    </row>
    <row r="447" spans="1:29" s="378" customFormat="1" ht="13.5" hidden="1" customHeight="1">
      <c r="A447" s="454"/>
      <c r="B447" s="1019" t="s">
        <v>10</v>
      </c>
      <c r="C447" s="672"/>
      <c r="D447" s="672"/>
      <c r="E447" s="672"/>
      <c r="F447" s="672"/>
      <c r="G447" s="672"/>
      <c r="H447" s="672"/>
      <c r="I447" s="672"/>
      <c r="J447" s="672"/>
      <c r="K447" s="672"/>
      <c r="L447" s="672"/>
      <c r="M447" s="672"/>
      <c r="N447" s="673"/>
      <c r="O447" s="1179" t="e">
        <f ca="1">SUM(ROUNDDOWN(O418*O442/25,-1),ROUNDDOWN(O418*O443/25,-1),ROUNDDOWN(O419*O444/25,-1),ROUNDDOWN(O419*O445/25,-1),IF(O442&lt;1,0,O422),IF(O443&lt;1,0,O422),IF(O444&lt;1,0,O423),IF(O445&lt;1,0,O423))</f>
        <v>#N/A</v>
      </c>
      <c r="P447" s="1179"/>
      <c r="Q447" s="1179" t="e">
        <f ca="1">SUM(ROUNDDOWN(Q418*Q442/25,-1),ROUNDDOWN(Q418*Q443/25,-1),ROUNDDOWN(Q419*Q444/25,-1),ROUNDDOWN(Q419*Q445/25,-1),IF(Q442&lt;1,0,Q422),IF(Q443&lt;1,0,Q422),IF(Q444&lt;1,0,Q423),IF(Q445&lt;1,0,Q423))</f>
        <v>#N/A</v>
      </c>
      <c r="R447" s="1179"/>
      <c r="S447" s="1179" t="e">
        <f ca="1">SUM(ROUNDDOWN(S418*S442/25,-1),ROUNDDOWN(S418*S443/25,-1),ROUNDDOWN(S419*S444/25,-1),ROUNDDOWN(S419*S445/25,-1),IF(S442&lt;1,0,S422),IF(S443&lt;1,0,S422),IF(S444&lt;1,0,S423),IF(S445&lt;1,0,S423))</f>
        <v>#N/A</v>
      </c>
      <c r="T447" s="1179"/>
      <c r="U447" s="1182"/>
      <c r="V447" s="1182"/>
      <c r="W447" s="1182"/>
      <c r="X447" s="1182"/>
      <c r="Y447" s="1182"/>
      <c r="Z447" s="1182"/>
      <c r="AA447" s="382"/>
    </row>
    <row r="448" spans="1:29" s="378" customFormat="1" ht="13.5" customHeight="1">
      <c r="A448" s="911" t="s">
        <v>139</v>
      </c>
      <c r="B448" s="617"/>
      <c r="C448" s="617"/>
      <c r="D448" s="617"/>
      <c r="E448" s="617"/>
      <c r="F448" s="617"/>
      <c r="G448" s="617"/>
      <c r="H448" s="617"/>
      <c r="I448" s="617"/>
      <c r="J448" s="617"/>
      <c r="K448" s="617"/>
      <c r="L448" s="617"/>
      <c r="M448" s="617"/>
      <c r="N448" s="618"/>
      <c r="O448" s="1132" t="e">
        <f ca="1">SUM(O428,O434,O440,O446)</f>
        <v>#N/A</v>
      </c>
      <c r="P448" s="1132"/>
      <c r="Q448" s="1132" t="e">
        <f ca="1">SUM(Q428,Q434,Q440,Q446)</f>
        <v>#N/A</v>
      </c>
      <c r="R448" s="1132"/>
      <c r="S448" s="1132" t="e">
        <f ca="1">SUM(S428,S434,S440,S446)</f>
        <v>#N/A</v>
      </c>
      <c r="T448" s="1132"/>
      <c r="U448" s="1184" t="e">
        <f ca="1">SUM(U428,U434,U440,U446)</f>
        <v>#N/A</v>
      </c>
      <c r="V448" s="1184"/>
      <c r="W448" s="1184" t="e">
        <f ca="1">SUM(W428,W434,W440,W446)</f>
        <v>#N/A</v>
      </c>
      <c r="X448" s="1184"/>
      <c r="Y448" s="1184" t="e">
        <f ca="1">SUM(Y428,Y434,Y440,Y446)</f>
        <v>#N/A</v>
      </c>
      <c r="Z448" s="1184"/>
      <c r="AA448" s="382"/>
    </row>
    <row r="449" spans="1:27" s="378" customFormat="1" ht="13.5" customHeight="1">
      <c r="A449" s="426"/>
      <c r="B449" s="921" t="s">
        <v>10</v>
      </c>
      <c r="C449" s="592"/>
      <c r="D449" s="592"/>
      <c r="E449" s="592"/>
      <c r="F449" s="592"/>
      <c r="G449" s="592"/>
      <c r="H449" s="592"/>
      <c r="I449" s="592"/>
      <c r="J449" s="592"/>
      <c r="K449" s="592"/>
      <c r="L449" s="592"/>
      <c r="M449" s="592"/>
      <c r="N449" s="593"/>
      <c r="O449" s="1143" t="e">
        <f ca="1">SUM(O429,O435,O441,O447)</f>
        <v>#N/A</v>
      </c>
      <c r="P449" s="1143"/>
      <c r="Q449" s="1143" t="e">
        <f ca="1">SUM(Q429,Q435,Q441,Q447)</f>
        <v>#N/A</v>
      </c>
      <c r="R449" s="1143"/>
      <c r="S449" s="1143" t="e">
        <f ca="1">SUM(S429,S435,S441,S447)</f>
        <v>#N/A</v>
      </c>
      <c r="T449" s="1143"/>
      <c r="U449" s="1143" t="e">
        <f ca="1">SUM(U429,U435,U441,U447)</f>
        <v>#N/A</v>
      </c>
      <c r="V449" s="1143"/>
      <c r="W449" s="1143" t="e">
        <f ca="1">SUM(W429,W435,W441,W447)</f>
        <v>#N/A</v>
      </c>
      <c r="X449" s="1143"/>
      <c r="Y449" s="1143" t="e">
        <f ca="1">SUM(Y429,Y435,Y441,Y447)</f>
        <v>#N/A</v>
      </c>
      <c r="Z449" s="1143"/>
      <c r="AA449" s="382"/>
    </row>
    <row r="450" spans="1:27" s="378" customFormat="1" ht="13.5" hidden="1" customHeight="1">
      <c r="A450" s="1188" t="s">
        <v>525</v>
      </c>
      <c r="B450" s="620" t="s">
        <v>551</v>
      </c>
      <c r="C450" s="620"/>
      <c r="D450" s="620"/>
      <c r="E450" s="620"/>
      <c r="F450" s="620"/>
      <c r="G450" s="620"/>
      <c r="H450" s="620"/>
      <c r="I450" s="620"/>
      <c r="J450" s="620"/>
      <c r="K450" s="620"/>
      <c r="L450" s="621"/>
      <c r="M450" s="1096" t="s">
        <v>458</v>
      </c>
      <c r="N450" s="1097"/>
      <c r="O450" s="1185" t="e">
        <f ca="1">IF(I344="適用",SUM(ROUNDDOWN(SUM(O263,O279,O296,O301,O304,O305,O312,O315,O327,O333,O337,O340)*M344,-1),O367),SUM(O263,O279,O296,O301,O304,O305,O312,O315,O327,O333,O337,O340,O367))</f>
        <v>#N/A</v>
      </c>
      <c r="P450" s="1185"/>
      <c r="Q450" s="1185" t="e">
        <f ca="1">IF(I344="適用",SUM(ROUNDDOWN(SUM(O263,O279,O296,O301,O304,O305,O312,O315,O327,O333,O337,O340)*M344,-1),O367),SUM(O263,O279,O296,O301,O304,O305,O312,O315,O327,O333,O337,O340,O367))</f>
        <v>#N/A</v>
      </c>
      <c r="R450" s="1185"/>
      <c r="S450" s="1185" t="e">
        <f ca="1">IF(I344="適用",SUM(ROUNDDOWN(SUM(S263,S279,O296,O301,O304,O305,O312,S315,S327,O333,O337,O340)*M344,-1),O367),SUM(S263,S279,O296,O301,O304,O305,O312,S315,S327,O333,O337,O340,O367))</f>
        <v>#N/A</v>
      </c>
      <c r="T450" s="1185"/>
      <c r="U450" s="1185" t="e">
        <f ca="1">IF(I344="適用",SUM(ROUNDDOWN(SUM(U263,U279,U297,O304,O305,O312,U315,U327,O333,O337,O340)*M344,-1),O367),SUM(U263,U279,U297,O304,O305,O312,U315,U327,O333,O337,O340,O367))</f>
        <v>#N/A</v>
      </c>
      <c r="V450" s="1185"/>
      <c r="W450" s="1185" t="e">
        <f ca="1">IF(I344="適用",SUM(ROUNDDOWN(SUM(U263,U279,U297,O304,O305,O312,U315,U327,O333,O337,O340)*M344,-1),O367),SUM(U263,U279,U297,O304,O305,O312,U315,U327,O333,O337,O340,O367))</f>
        <v>#N/A</v>
      </c>
      <c r="X450" s="1185"/>
      <c r="Y450" s="1186" t="e">
        <f ca="1">IF(I344="適用",SUM(ROUNDDOWN(SUM(Y263,Y279,U297,O304,O305,O312,Y315,Y327,O333,O337,O340)*M344,-1),O367),SUM(Y263,Y279,U297,O304,O305,O312,Y315,Y327,O333,O337,O340,O367))</f>
        <v>#N/A</v>
      </c>
      <c r="Z450" s="1186"/>
      <c r="AA450" s="382"/>
    </row>
    <row r="451" spans="1:27" s="378" customFormat="1" ht="13.5" hidden="1" customHeight="1">
      <c r="A451" s="1189"/>
      <c r="B451" s="617" t="s">
        <v>552</v>
      </c>
      <c r="C451" s="617"/>
      <c r="D451" s="617"/>
      <c r="E451" s="617"/>
      <c r="F451" s="617"/>
      <c r="G451" s="617"/>
      <c r="H451" s="617"/>
      <c r="I451" s="617"/>
      <c r="J451" s="617"/>
      <c r="K451" s="617"/>
      <c r="L451" s="618"/>
      <c r="M451" s="1096" t="s">
        <v>459</v>
      </c>
      <c r="N451" s="1097"/>
      <c r="O451" s="1133" t="e">
        <f ca="1">IF(I344="適用",SUM(ROUNDDOWN(SUM(O264,O280,O296,O301,O304,O305,O312,O316,O328,O333,O337,O340)*M344,-1),O367),SUM(O264,O280,O296,O301,O304,O305,O312,O316,O328,O333,O337,O340,O367))</f>
        <v>#N/A</v>
      </c>
      <c r="P451" s="1133"/>
      <c r="Q451" s="1133" t="e">
        <f ca="1">IF(I344="適用",SUM(ROUNDDOWN(SUM(O264,O280,O296,O301,O304,O305,O312,O316,O328,O333,O337,O340)*M344,-1),O367),SUM(O264,O280,O296,O301,O304,O305,O312,O316,O328,O333,O337,O340,O367))</f>
        <v>#N/A</v>
      </c>
      <c r="R451" s="1133"/>
      <c r="S451" s="1133" t="e">
        <f ca="1">IF(I344="適用",SUM(ROUNDDOWN(SUM(S264,S280,O296,O301,O304,O305,O312,S316,S328,O333,O337,O340)*M344,-1),O367),SUM(S264,S280,O296,O301,O304,O305,O312,S316,S328,O333,O337,O340,O367))</f>
        <v>#N/A</v>
      </c>
      <c r="T451" s="1133"/>
      <c r="U451" s="1133" t="e">
        <f ca="1">IF(I344="適用",SUM(ROUNDDOWN(SUM(U264,U280,U297,O304,O305,O312,U316,U328,O333,O337,O340)*M344,-1),O367),SUM(U264,U280,U297,O304,O305,O312,U316,U328,O333,O337,O340,O367))</f>
        <v>#N/A</v>
      </c>
      <c r="V451" s="1133"/>
      <c r="W451" s="1133" t="e">
        <f ca="1">IF(I344="適用",SUM(ROUNDDOWN(SUM(U264,U280,U297,O304,O305,O312,U316,U328,O333,O337,O340)*M344,-1),O367),SUM(U264,U280,U297,O304,O305,O312,U316,U328,O333,O337,O340,O367))</f>
        <v>#N/A</v>
      </c>
      <c r="X451" s="1133"/>
      <c r="Y451" s="1098" t="e">
        <f ca="1">IF(I344="適用",SUM(ROUNDDOWN(SUM(Y264,Y280,U297,O304,O305,O312,Y316,Y328,O333,O337,O340)*M344,-1),O367),SUM(Y264,Y280,U297,O304,O305,O312,Y316,Y328,O333,O337,O340,O367))</f>
        <v>#N/A</v>
      </c>
      <c r="Z451" s="1098"/>
      <c r="AA451" s="382"/>
    </row>
    <row r="452" spans="1:27" s="378" customFormat="1" ht="13.5" hidden="1" customHeight="1">
      <c r="A452" s="1189"/>
      <c r="B452" s="1125"/>
      <c r="C452" s="707" t="s">
        <v>10</v>
      </c>
      <c r="D452" s="708"/>
      <c r="E452" s="708"/>
      <c r="F452" s="708"/>
      <c r="G452" s="708"/>
      <c r="H452" s="708"/>
      <c r="I452" s="708"/>
      <c r="J452" s="708"/>
      <c r="K452" s="708"/>
      <c r="L452" s="709"/>
      <c r="M452" s="1096" t="s">
        <v>458</v>
      </c>
      <c r="N452" s="1097"/>
      <c r="O452" s="1098" t="e">
        <f ca="1">IF(I344="適用",ROUNDDOWN(SUM(O279,O300,O303,O314,O319,O331,O336,O339,O343)*M344,-1),SUM(O279,O300,O303,O314,O319,O331,O336,O339,O343))</f>
        <v>#N/A</v>
      </c>
      <c r="P452" s="1098"/>
      <c r="Q452" s="1098" t="e">
        <f ca="1">IF(I344="適用",ROUNDDOWN(SUM(O279,O300,O303,O314,O319,O331,O336,O339,O343)*M344,-1),SUM(O279,O300,O303,O314,O319,O331,O336,O339,O343))</f>
        <v>#N/A</v>
      </c>
      <c r="R452" s="1098"/>
      <c r="S452" s="1098" t="e">
        <f ca="1">IF(I344="適用",ROUNDDOWN(SUM(S279,S291,O300,O303,O314,S319,S331,O336,O339,O343)*M344,-1),SUM(S279,S291,O300,O303,O314,S319,S331,O336,O339,O343))</f>
        <v>#N/A</v>
      </c>
      <c r="T452" s="1098"/>
      <c r="U452" s="1098" t="e">
        <f ca="1">IF(I344="適用",ROUNDDOWN(SUM(U279,O300,O314,U319,U331,O336,O339,O343)*M344,-1),SUM(U279,O300,O314,U319,U331,O336,O339,O343))</f>
        <v>#N/A</v>
      </c>
      <c r="V452" s="1098"/>
      <c r="W452" s="1098" t="e">
        <f ca="1">IF(I344="適用",ROUNDDOWN(SUM(U279,O300,O314,U319,U331,O336,O339,O343)*M344,-1),SUM(U279,O300,O314,U319,U331,O336,O339,O343))</f>
        <v>#N/A</v>
      </c>
      <c r="X452" s="1098"/>
      <c r="Y452" s="1098" t="e">
        <f ca="1">IF(I344="適用",ROUNDDOWN(SUM(Y279,O300,O314,Y319,Y331,O336,O339,O343)*M344,-1),SUM(Y279,O300,O314,Y319,Y331,O336,O339,O343))</f>
        <v>#N/A</v>
      </c>
      <c r="Z452" s="1098"/>
      <c r="AA452" s="382"/>
    </row>
    <row r="453" spans="1:27" s="378" customFormat="1" ht="13.5" hidden="1" customHeight="1">
      <c r="A453" s="1189"/>
      <c r="B453" s="1126"/>
      <c r="C453" s="710"/>
      <c r="D453" s="711"/>
      <c r="E453" s="711"/>
      <c r="F453" s="711"/>
      <c r="G453" s="711"/>
      <c r="H453" s="711"/>
      <c r="I453" s="711"/>
      <c r="J453" s="711"/>
      <c r="K453" s="711"/>
      <c r="L453" s="712"/>
      <c r="M453" s="1096" t="s">
        <v>459</v>
      </c>
      <c r="N453" s="1097"/>
      <c r="O453" s="1098" t="e">
        <f ca="1">IF(I344="適用",ROUNDDOWN(SUM(O280,O300,O303,O314,O320,O332,O336,O339,O343)*M344,-1),SUM(O280,O300,O303,O314,O320,O332,O336,O339,O343))</f>
        <v>#N/A</v>
      </c>
      <c r="P453" s="1098"/>
      <c r="Q453" s="1098" t="e">
        <f ca="1">IF(I344="適用",ROUNDDOWN(SUM(O280,O300,O303,O314,O320,O332,O336,O339,O343)*M344,-1),SUM(O280,O300,O303,O314,O320,O332,O336,O339,O343))</f>
        <v>#N/A</v>
      </c>
      <c r="R453" s="1098"/>
      <c r="S453" s="1098" t="e">
        <f ca="1">IF(I344="適用",ROUNDDOWN(SUM(S280,S291,O300,O303,O314,S320,S332,O336,O339,O343)*M344,-1),SUM(S280,S291,O300,O303,O314,S320,S332,O336,O339,O343))</f>
        <v>#N/A</v>
      </c>
      <c r="T453" s="1098"/>
      <c r="U453" s="1098" t="e">
        <f ca="1">IF(I344="適用",ROUNDDOWN(SUM(U280,O300,O314,U320,U332,O336,O339,O343)*M344,-1),SUM(U280,O300,O314,U320,U332,O336,O339,O343))</f>
        <v>#N/A</v>
      </c>
      <c r="V453" s="1098"/>
      <c r="W453" s="1098" t="e">
        <f ca="1">IF(I344="適用",ROUNDDOWN(SUM(U280,O300,O314,U320,U332,O336,O339,O343)*M344,-1),SUM(U280,O300,O314,U320,U332,O336,O339,O343))</f>
        <v>#N/A</v>
      </c>
      <c r="X453" s="1098"/>
      <c r="Y453" s="1098" t="e">
        <f ca="1">IF(I344="適用",ROUNDDOWN(SUM(Y280,O300,O314,Y320,Y332,O336,O339,O343)*M344,-1),SUM(Y280,O300,O314,Y320,Y332,O336,O339,O343))</f>
        <v>#N/A</v>
      </c>
      <c r="Z453" s="1098"/>
      <c r="AA453" s="382"/>
    </row>
    <row r="454" spans="1:27" s="378" customFormat="1" ht="13.5" hidden="1" customHeight="1">
      <c r="A454" s="1189"/>
      <c r="B454" s="708" t="s">
        <v>551</v>
      </c>
      <c r="C454" s="708"/>
      <c r="D454" s="708"/>
      <c r="E454" s="708"/>
      <c r="F454" s="708"/>
      <c r="G454" s="708"/>
      <c r="H454" s="708"/>
      <c r="I454" s="708"/>
      <c r="J454" s="708"/>
      <c r="K454" s="708"/>
      <c r="L454" s="709"/>
      <c r="M454" s="1096" t="s">
        <v>458</v>
      </c>
      <c r="N454" s="1097"/>
      <c r="O454" s="1133" t="e">
        <f ca="1">O450+O308</f>
        <v>#N/A</v>
      </c>
      <c r="P454" s="1133"/>
      <c r="Q454" s="1133" t="e">
        <f ca="1">Q450+O308</f>
        <v>#N/A</v>
      </c>
      <c r="R454" s="1133"/>
      <c r="S454" s="1133" t="e">
        <f ca="1">S450+O308</f>
        <v>#N/A</v>
      </c>
      <c r="T454" s="1133"/>
      <c r="U454" s="1139"/>
      <c r="V454" s="1139"/>
      <c r="W454" s="1139"/>
      <c r="X454" s="1139"/>
      <c r="Y454" s="1139"/>
      <c r="Z454" s="1139"/>
    </row>
    <row r="455" spans="1:27" s="378" customFormat="1" ht="13.5" hidden="1" customHeight="1">
      <c r="A455" s="1189"/>
      <c r="B455" s="617" t="s">
        <v>553</v>
      </c>
      <c r="C455" s="617"/>
      <c r="D455" s="617"/>
      <c r="E455" s="617"/>
      <c r="F455" s="617"/>
      <c r="G455" s="617"/>
      <c r="H455" s="617"/>
      <c r="I455" s="617"/>
      <c r="J455" s="617"/>
      <c r="K455" s="617"/>
      <c r="L455" s="618"/>
      <c r="M455" s="1096" t="s">
        <v>459</v>
      </c>
      <c r="N455" s="1097"/>
      <c r="O455" s="1133" t="e">
        <f ca="1">O451+O308</f>
        <v>#N/A</v>
      </c>
      <c r="P455" s="1133"/>
      <c r="Q455" s="1133" t="e">
        <f ca="1">Q451+O308</f>
        <v>#N/A</v>
      </c>
      <c r="R455" s="1133"/>
      <c r="S455" s="1133" t="e">
        <f ca="1">S451+O308</f>
        <v>#N/A</v>
      </c>
      <c r="T455" s="1133"/>
      <c r="U455" s="1140"/>
      <c r="V455" s="1140"/>
      <c r="W455" s="1140"/>
      <c r="X455" s="1140"/>
      <c r="Y455" s="1140"/>
      <c r="Z455" s="1140"/>
    </row>
    <row r="456" spans="1:27" s="378" customFormat="1" ht="13.5" hidden="1" customHeight="1">
      <c r="A456" s="1189"/>
      <c r="B456" s="1125"/>
      <c r="C456" s="707" t="s">
        <v>10</v>
      </c>
      <c r="D456" s="708"/>
      <c r="E456" s="708"/>
      <c r="F456" s="708"/>
      <c r="G456" s="708"/>
      <c r="H456" s="708"/>
      <c r="I456" s="708"/>
      <c r="J456" s="708"/>
      <c r="K456" s="708"/>
      <c r="L456" s="709"/>
      <c r="M456" s="1096" t="s">
        <v>458</v>
      </c>
      <c r="N456" s="1097"/>
      <c r="O456" s="1098" t="e">
        <f ca="1">O452</f>
        <v>#N/A</v>
      </c>
      <c r="P456" s="1098"/>
      <c r="Q456" s="1098" t="e">
        <f t="shared" ref="Q456:Q457" ca="1" si="48">Q452</f>
        <v>#N/A</v>
      </c>
      <c r="R456" s="1098"/>
      <c r="S456" s="1098" t="e">
        <f t="shared" ref="S456:S457" ca="1" si="49">S452</f>
        <v>#N/A</v>
      </c>
      <c r="T456" s="1098"/>
      <c r="U456" s="1140"/>
      <c r="V456" s="1140"/>
      <c r="W456" s="1140"/>
      <c r="X456" s="1140"/>
      <c r="Y456" s="1140"/>
      <c r="Z456" s="1140"/>
    </row>
    <row r="457" spans="1:27" s="378" customFormat="1" ht="13.5" hidden="1" customHeight="1">
      <c r="A457" s="1189"/>
      <c r="B457" s="1126"/>
      <c r="C457" s="710"/>
      <c r="D457" s="711"/>
      <c r="E457" s="711"/>
      <c r="F457" s="711"/>
      <c r="G457" s="711"/>
      <c r="H457" s="711"/>
      <c r="I457" s="711"/>
      <c r="J457" s="711"/>
      <c r="K457" s="711"/>
      <c r="L457" s="712"/>
      <c r="M457" s="1096" t="s">
        <v>459</v>
      </c>
      <c r="N457" s="1097"/>
      <c r="O457" s="1098" t="e">
        <f t="shared" ref="O457" ca="1" si="50">O453</f>
        <v>#N/A</v>
      </c>
      <c r="P457" s="1098"/>
      <c r="Q457" s="1098" t="e">
        <f t="shared" ca="1" si="48"/>
        <v>#N/A</v>
      </c>
      <c r="R457" s="1098"/>
      <c r="S457" s="1098" t="e">
        <f t="shared" ca="1" si="49"/>
        <v>#N/A</v>
      </c>
      <c r="T457" s="1098"/>
      <c r="U457" s="1141"/>
      <c r="V457" s="1141"/>
      <c r="W457" s="1141"/>
      <c r="X457" s="1141"/>
      <c r="Y457" s="1141"/>
      <c r="Z457" s="1141"/>
    </row>
    <row r="458" spans="1:27" s="378" customFormat="1" ht="13.5" hidden="1" customHeight="1">
      <c r="A458" s="1189"/>
      <c r="B458" s="708" t="s">
        <v>551</v>
      </c>
      <c r="C458" s="708"/>
      <c r="D458" s="708"/>
      <c r="E458" s="708"/>
      <c r="F458" s="708"/>
      <c r="G458" s="708"/>
      <c r="H458" s="708"/>
      <c r="I458" s="708"/>
      <c r="J458" s="708"/>
      <c r="K458" s="708"/>
      <c r="L458" s="709"/>
      <c r="M458" s="1096" t="s">
        <v>458</v>
      </c>
      <c r="N458" s="1097"/>
      <c r="O458" s="1142">
        <f>IF(I344="適用",SUM(ROUNDDOWN(O292*M344,-1),O360,O363,O366,O368,O369,O370,O371,O373,O374,O375,O378),SUM(O292,O360,O363,O368,O369,O370,O371,O373,O374,O375,O378))</f>
        <v>0</v>
      </c>
      <c r="P458" s="1142"/>
      <c r="Q458" s="1142">
        <f>O458</f>
        <v>0</v>
      </c>
      <c r="R458" s="1142"/>
      <c r="S458" s="1142">
        <f t="shared" ref="S458:S459" si="51">Q458</f>
        <v>0</v>
      </c>
      <c r="T458" s="1142"/>
      <c r="U458" s="1142">
        <f t="shared" ref="U458:U459" si="52">S458</f>
        <v>0</v>
      </c>
      <c r="V458" s="1142"/>
      <c r="W458" s="1142">
        <f t="shared" ref="W458:W459" si="53">U458</f>
        <v>0</v>
      </c>
      <c r="X458" s="1142"/>
      <c r="Y458" s="1142">
        <f t="shared" ref="Y458:Y459" si="54">W458</f>
        <v>0</v>
      </c>
      <c r="Z458" s="1142"/>
    </row>
    <row r="459" spans="1:27" s="378" customFormat="1" ht="13.5" hidden="1" customHeight="1">
      <c r="A459" s="1189"/>
      <c r="B459" s="617" t="s">
        <v>554</v>
      </c>
      <c r="C459" s="617"/>
      <c r="D459" s="617"/>
      <c r="E459" s="617"/>
      <c r="F459" s="617"/>
      <c r="G459" s="617"/>
      <c r="H459" s="617"/>
      <c r="I459" s="617"/>
      <c r="J459" s="617"/>
      <c r="K459" s="617"/>
      <c r="L459" s="618"/>
      <c r="M459" s="1096" t="s">
        <v>459</v>
      </c>
      <c r="N459" s="1097"/>
      <c r="O459" s="1142">
        <f>O458</f>
        <v>0</v>
      </c>
      <c r="P459" s="1142"/>
      <c r="Q459" s="1142">
        <f>O459</f>
        <v>0</v>
      </c>
      <c r="R459" s="1142"/>
      <c r="S459" s="1142">
        <f t="shared" si="51"/>
        <v>0</v>
      </c>
      <c r="T459" s="1142"/>
      <c r="U459" s="1142">
        <f t="shared" si="52"/>
        <v>0</v>
      </c>
      <c r="V459" s="1142"/>
      <c r="W459" s="1142">
        <f t="shared" si="53"/>
        <v>0</v>
      </c>
      <c r="X459" s="1142"/>
      <c r="Y459" s="1142">
        <f t="shared" si="54"/>
        <v>0</v>
      </c>
      <c r="Z459" s="1142"/>
    </row>
    <row r="460" spans="1:27" s="378" customFormat="1" ht="13.5" hidden="1" customHeight="1">
      <c r="A460" s="1189"/>
      <c r="B460" s="1125"/>
      <c r="C460" s="707" t="s">
        <v>10</v>
      </c>
      <c r="D460" s="708"/>
      <c r="E460" s="708"/>
      <c r="F460" s="708"/>
      <c r="G460" s="708"/>
      <c r="H460" s="708"/>
      <c r="I460" s="708"/>
      <c r="J460" s="708"/>
      <c r="K460" s="708"/>
      <c r="L460" s="709"/>
      <c r="M460" s="1096" t="s">
        <v>458</v>
      </c>
      <c r="N460" s="1097"/>
      <c r="O460" s="1098">
        <f>O422</f>
        <v>0</v>
      </c>
      <c r="P460" s="1098"/>
      <c r="Q460" s="1098">
        <f>Q422</f>
        <v>0</v>
      </c>
      <c r="R460" s="1098"/>
      <c r="S460" s="1098">
        <f>S422</f>
        <v>0</v>
      </c>
      <c r="T460" s="1098"/>
      <c r="U460" s="1098">
        <f>U422</f>
        <v>0</v>
      </c>
      <c r="V460" s="1098"/>
      <c r="W460" s="1098">
        <f>W422</f>
        <v>0</v>
      </c>
      <c r="X460" s="1098"/>
      <c r="Y460" s="1098">
        <f>Y422</f>
        <v>0</v>
      </c>
      <c r="Z460" s="1098"/>
      <c r="AA460" s="382"/>
    </row>
    <row r="461" spans="1:27" s="378" customFormat="1" ht="13.5" hidden="1" customHeight="1">
      <c r="A461" s="1189"/>
      <c r="B461" s="1187"/>
      <c r="C461" s="797"/>
      <c r="D461" s="681"/>
      <c r="E461" s="681"/>
      <c r="F461" s="681"/>
      <c r="G461" s="681"/>
      <c r="H461" s="681"/>
      <c r="I461" s="681"/>
      <c r="J461" s="681"/>
      <c r="K461" s="681"/>
      <c r="L461" s="682"/>
      <c r="M461" s="1110" t="s">
        <v>459</v>
      </c>
      <c r="N461" s="1111"/>
      <c r="O461" s="1143">
        <f>O423</f>
        <v>0</v>
      </c>
      <c r="P461" s="1143"/>
      <c r="Q461" s="1143">
        <f>Q423</f>
        <v>0</v>
      </c>
      <c r="R461" s="1143"/>
      <c r="S461" s="1143">
        <f>S423</f>
        <v>0</v>
      </c>
      <c r="T461" s="1143"/>
      <c r="U461" s="1143">
        <f>U423</f>
        <v>0</v>
      </c>
      <c r="V461" s="1143"/>
      <c r="W461" s="1143">
        <f>W423</f>
        <v>0</v>
      </c>
      <c r="X461" s="1143"/>
      <c r="Y461" s="1143">
        <f>Y423</f>
        <v>0</v>
      </c>
      <c r="Z461" s="1143"/>
      <c r="AA461" s="382"/>
    </row>
    <row r="462" spans="1:27" s="382" customFormat="1" ht="13.5" hidden="1" customHeight="1">
      <c r="A462" s="1189"/>
      <c r="B462" s="1144" t="s">
        <v>555</v>
      </c>
      <c r="C462" s="1145"/>
      <c r="D462" s="1145"/>
      <c r="E462" s="1145"/>
      <c r="F462" s="1145"/>
      <c r="G462" s="1145"/>
      <c r="H462" s="1145"/>
      <c r="I462" s="1146"/>
      <c r="J462" s="695" t="s">
        <v>138</v>
      </c>
      <c r="K462" s="1151"/>
      <c r="L462" s="696"/>
      <c r="M462" s="1155" t="s">
        <v>458</v>
      </c>
      <c r="N462" s="1156"/>
      <c r="O462" s="1159">
        <f>'在籍児童一覧（保育）'!Q208</f>
        <v>0</v>
      </c>
      <c r="P462" s="1159"/>
      <c r="Q462" s="1159">
        <f>'在籍児童一覧（保育）'!S208</f>
        <v>0</v>
      </c>
      <c r="R462" s="1159"/>
      <c r="S462" s="1159">
        <f>'在籍児童一覧（保育）'!U208</f>
        <v>0</v>
      </c>
      <c r="T462" s="1159"/>
      <c r="U462" s="1159">
        <f>'在籍児童一覧（保育）'!W208</f>
        <v>0</v>
      </c>
      <c r="V462" s="1159"/>
      <c r="W462" s="1159">
        <f>'在籍児童一覧（保育）'!Y208</f>
        <v>0</v>
      </c>
      <c r="X462" s="1159"/>
      <c r="Y462" s="1159">
        <f>'在籍児童一覧（保育）'!AA208</f>
        <v>0</v>
      </c>
      <c r="Z462" s="1159"/>
    </row>
    <row r="463" spans="1:27" s="382" customFormat="1" ht="13.5" hidden="1" customHeight="1">
      <c r="A463" s="1189"/>
      <c r="B463" s="1147"/>
      <c r="C463" s="899"/>
      <c r="D463" s="899"/>
      <c r="E463" s="899"/>
      <c r="F463" s="899"/>
      <c r="G463" s="899"/>
      <c r="H463" s="899"/>
      <c r="I463" s="900"/>
      <c r="J463" s="928"/>
      <c r="K463" s="929"/>
      <c r="L463" s="930"/>
      <c r="M463" s="1157"/>
      <c r="N463" s="1158"/>
      <c r="O463" s="1160">
        <f>'在籍児童一覧（保育）'!Q209</f>
        <v>0</v>
      </c>
      <c r="P463" s="1160"/>
      <c r="Q463" s="1160">
        <f>'在籍児童一覧（保育）'!S209</f>
        <v>0</v>
      </c>
      <c r="R463" s="1160"/>
      <c r="S463" s="1160">
        <f>'在籍児童一覧（保育）'!U209</f>
        <v>0</v>
      </c>
      <c r="T463" s="1160"/>
      <c r="U463" s="1160">
        <f>'在籍児童一覧（保育）'!W209</f>
        <v>0</v>
      </c>
      <c r="V463" s="1160"/>
      <c r="W463" s="1160">
        <f>'在籍児童一覧（保育）'!Y209</f>
        <v>0</v>
      </c>
      <c r="X463" s="1160"/>
      <c r="Y463" s="1160">
        <f>'在籍児童一覧（保育）'!AA209</f>
        <v>0</v>
      </c>
      <c r="Z463" s="1160"/>
    </row>
    <row r="464" spans="1:27" s="382" customFormat="1" ht="13.5" hidden="1" customHeight="1">
      <c r="A464" s="1189"/>
      <c r="B464" s="1147"/>
      <c r="C464" s="899"/>
      <c r="D464" s="899"/>
      <c r="E464" s="899"/>
      <c r="F464" s="899"/>
      <c r="G464" s="899"/>
      <c r="H464" s="899"/>
      <c r="I464" s="900"/>
      <c r="J464" s="928"/>
      <c r="K464" s="929"/>
      <c r="L464" s="930"/>
      <c r="M464" s="1113" t="s">
        <v>459</v>
      </c>
      <c r="N464" s="1114"/>
      <c r="O464" s="1160">
        <f>'在籍児童一覧（保育）'!Q208</f>
        <v>0</v>
      </c>
      <c r="P464" s="1160"/>
      <c r="Q464" s="1160">
        <f>'在籍児童一覧（保育）'!S208</f>
        <v>0</v>
      </c>
      <c r="R464" s="1160"/>
      <c r="S464" s="1160">
        <f>'在籍児童一覧（保育）'!U208</f>
        <v>0</v>
      </c>
      <c r="T464" s="1160"/>
      <c r="U464" s="1160">
        <f>'在籍児童一覧（保育）'!W208</f>
        <v>0</v>
      </c>
      <c r="V464" s="1160"/>
      <c r="W464" s="1160">
        <f>'在籍児童一覧（保育）'!Y208</f>
        <v>0</v>
      </c>
      <c r="X464" s="1160"/>
      <c r="Y464" s="1160">
        <f>'在籍児童一覧（保育）'!AA208</f>
        <v>0</v>
      </c>
      <c r="Z464" s="1160"/>
    </row>
    <row r="465" spans="1:29" s="382" customFormat="1" ht="13.5" hidden="1" customHeight="1">
      <c r="A465" s="1189"/>
      <c r="B465" s="1148"/>
      <c r="C465" s="1149"/>
      <c r="D465" s="1149"/>
      <c r="E465" s="1149"/>
      <c r="F465" s="1149"/>
      <c r="G465" s="1149"/>
      <c r="H465" s="1149"/>
      <c r="I465" s="1150"/>
      <c r="J465" s="1152"/>
      <c r="K465" s="1153"/>
      <c r="L465" s="1154"/>
      <c r="M465" s="1157"/>
      <c r="N465" s="1158"/>
      <c r="O465" s="1160">
        <f>'在籍児童一覧（保育）'!Q209</f>
        <v>0</v>
      </c>
      <c r="P465" s="1160"/>
      <c r="Q465" s="1160">
        <f>'在籍児童一覧（保育）'!S209</f>
        <v>0</v>
      </c>
      <c r="R465" s="1160"/>
      <c r="S465" s="1160">
        <f>'在籍児童一覧（保育）'!U209</f>
        <v>0</v>
      </c>
      <c r="T465" s="1160"/>
      <c r="U465" s="1160">
        <f>'在籍児童一覧（保育）'!W209</f>
        <v>0</v>
      </c>
      <c r="V465" s="1160"/>
      <c r="W465" s="1160">
        <f>'在籍児童一覧（保育）'!Y209</f>
        <v>0</v>
      </c>
      <c r="X465" s="1160"/>
      <c r="Y465" s="1160">
        <f>'在籍児童一覧（保育）'!AA209</f>
        <v>0</v>
      </c>
      <c r="Z465" s="1160"/>
    </row>
    <row r="466" spans="1:29" s="378" customFormat="1" ht="13.5" hidden="1" customHeight="1">
      <c r="A466" s="1189"/>
      <c r="B466" s="708" t="s">
        <v>556</v>
      </c>
      <c r="C466" s="708"/>
      <c r="D466" s="708"/>
      <c r="E466" s="708"/>
      <c r="F466" s="708"/>
      <c r="G466" s="708"/>
      <c r="H466" s="708"/>
      <c r="I466" s="708"/>
      <c r="J466" s="708"/>
      <c r="K466" s="708"/>
      <c r="L466" s="708"/>
      <c r="M466" s="708"/>
      <c r="N466" s="709"/>
      <c r="O466" s="1098" t="e">
        <f ca="1">SUM(ROUNDDOWN(O450*O462/25,-1),ROUNDDOWN(O450*O463/25,-1),ROUNDDOWN(O451*O464/25,-1),ROUNDDOWN(O451*O465/25,-1))</f>
        <v>#N/A</v>
      </c>
      <c r="P466" s="1098"/>
      <c r="Q466" s="1098" t="e">
        <f ca="1">SUM(ROUNDDOWN(Q450*Q462/25,-1),ROUNDDOWN(Q450*Q463/25,-1),ROUNDDOWN(Q451*Q464/25,-1),ROUNDDOWN(Q451*Q465/25,-1))</f>
        <v>#N/A</v>
      </c>
      <c r="R466" s="1098"/>
      <c r="S466" s="1098" t="e">
        <f ca="1">SUM(ROUNDDOWN(S450*S462/25,-1),ROUNDDOWN(S450*S463/25,-1),ROUNDDOWN(S451*S464/25,-1),ROUNDDOWN(S451*S465/25,-1))</f>
        <v>#N/A</v>
      </c>
      <c r="T466" s="1098"/>
      <c r="U466" s="1098" t="e">
        <f ca="1">SUM(ROUNDDOWN(U450*U462/25,-1),ROUNDDOWN(U450*U463/25,-1),ROUNDDOWN(U451*U464/25,-1),ROUNDDOWN(U451*U465/25,-1))</f>
        <v>#N/A</v>
      </c>
      <c r="V466" s="1098"/>
      <c r="W466" s="1098" t="e">
        <f ca="1">SUM(ROUNDDOWN(W450*W462/25,-1),ROUNDDOWN(W450*W463/25,-1),ROUNDDOWN(W451*W464/25,-1),ROUNDDOWN(W451*W465/25,-1))</f>
        <v>#N/A</v>
      </c>
      <c r="X466" s="1098"/>
      <c r="Y466" s="1098" t="e">
        <f ca="1">SUM(ROUNDDOWN(Y450*Y462/25,-1),ROUNDDOWN(Y450*Y463/25,-1),ROUNDDOWN(Y451*Y464/25,-1),ROUNDDOWN(Y451*Y465/25,-1))</f>
        <v>#N/A</v>
      </c>
      <c r="Z466" s="1098"/>
      <c r="AA466" s="382"/>
    </row>
    <row r="467" spans="1:29" s="378" customFormat="1" ht="13.5" hidden="1" customHeight="1">
      <c r="A467" s="1189"/>
      <c r="B467" s="455"/>
      <c r="C467" s="921" t="s">
        <v>10</v>
      </c>
      <c r="D467" s="592"/>
      <c r="E467" s="592"/>
      <c r="F467" s="592"/>
      <c r="G467" s="592"/>
      <c r="H467" s="592"/>
      <c r="I467" s="592"/>
      <c r="J467" s="592"/>
      <c r="K467" s="592"/>
      <c r="L467" s="592"/>
      <c r="M467" s="592"/>
      <c r="N467" s="593"/>
      <c r="O467" s="1143" t="e">
        <f ca="1">SUM(ROUNDDOWN(O452*O462/25,-1),ROUNDDOWN(O452*O463/25,-1),ROUNDDOWN(O453*O464/25,-1),ROUNDDOWN(O453*O465/25,-1))</f>
        <v>#N/A</v>
      </c>
      <c r="P467" s="1143"/>
      <c r="Q467" s="1143" t="e">
        <f ca="1">SUM(ROUNDDOWN(Q452*Q462/25,-1),ROUNDDOWN(Q452*Q463/25,-1),ROUNDDOWN(Q453*Q464/25,-1),ROUNDDOWN(Q453*Q465/25,-1))</f>
        <v>#N/A</v>
      </c>
      <c r="R467" s="1143"/>
      <c r="S467" s="1143" t="e">
        <f ca="1">SUM(ROUNDDOWN(S452*S462/25,-1),ROUNDDOWN(S452*S463/25,-1),ROUNDDOWN(S453*S464/25,-1),ROUNDDOWN(S453*S465/25,-1))</f>
        <v>#N/A</v>
      </c>
      <c r="T467" s="1143"/>
      <c r="U467" s="1143" t="e">
        <f ca="1">SUM(ROUNDDOWN(U452*U462/25,-1),ROUNDDOWN(U452*U463/25,-1),ROUNDDOWN(U453*U464/25,-1),ROUNDDOWN(U453*U465/25,-1))</f>
        <v>#N/A</v>
      </c>
      <c r="V467" s="1143"/>
      <c r="W467" s="1143" t="e">
        <f ca="1">SUM(ROUNDDOWN(W452*W462/25,-1),ROUNDDOWN(W452*W463/25,-1),ROUNDDOWN(W453*W464/25,-1),ROUNDDOWN(W453*W465/25,-1))</f>
        <v>#N/A</v>
      </c>
      <c r="X467" s="1143"/>
      <c r="Y467" s="1143" t="e">
        <f ca="1">SUM(ROUNDDOWN(Y452*Y462/25,-1),ROUNDDOWN(Y452*Y463/25,-1),ROUNDDOWN(Y453*Y464/25,-1),ROUNDDOWN(Y453*Y465/25,-1))</f>
        <v>#N/A</v>
      </c>
      <c r="Z467" s="1143"/>
      <c r="AA467" s="382"/>
    </row>
    <row r="468" spans="1:29" s="382" customFormat="1" ht="13.5" hidden="1" customHeight="1">
      <c r="A468" s="1189"/>
      <c r="B468" s="1145" t="s">
        <v>642</v>
      </c>
      <c r="C468" s="1145"/>
      <c r="D468" s="1145"/>
      <c r="E468" s="1145"/>
      <c r="F468" s="1145"/>
      <c r="G468" s="1145"/>
      <c r="H468" s="1145"/>
      <c r="I468" s="1146"/>
      <c r="J468" s="695" t="s">
        <v>138</v>
      </c>
      <c r="K468" s="1151"/>
      <c r="L468" s="696"/>
      <c r="M468" s="1155" t="s">
        <v>458</v>
      </c>
      <c r="N468" s="1156"/>
      <c r="O468" s="1160">
        <f>'在籍児童一覧（保育）'!Q191</f>
        <v>0</v>
      </c>
      <c r="P468" s="1160"/>
      <c r="Q468" s="1160">
        <f>'在籍児童一覧（保育）'!S191</f>
        <v>0</v>
      </c>
      <c r="R468" s="1160"/>
      <c r="S468" s="1160">
        <f>'在籍児童一覧（保育）'!U191</f>
        <v>0</v>
      </c>
      <c r="T468" s="1160"/>
      <c r="U468" s="1164"/>
      <c r="V468" s="1164"/>
      <c r="W468" s="1164"/>
      <c r="X468" s="1164"/>
      <c r="Y468" s="1164"/>
      <c r="Z468" s="1164"/>
    </row>
    <row r="469" spans="1:29" s="382" customFormat="1" ht="13.5" hidden="1" customHeight="1">
      <c r="A469" s="1189"/>
      <c r="B469" s="899"/>
      <c r="C469" s="899"/>
      <c r="D469" s="899"/>
      <c r="E469" s="899"/>
      <c r="F469" s="899"/>
      <c r="G469" s="899"/>
      <c r="H469" s="899"/>
      <c r="I469" s="900"/>
      <c r="J469" s="928"/>
      <c r="K469" s="929"/>
      <c r="L469" s="930"/>
      <c r="M469" s="1157"/>
      <c r="N469" s="1158"/>
      <c r="O469" s="1160">
        <f>'在籍児童一覧（保育）'!Q192</f>
        <v>0</v>
      </c>
      <c r="P469" s="1160"/>
      <c r="Q469" s="1160">
        <f>'在籍児童一覧（保育）'!S192</f>
        <v>0</v>
      </c>
      <c r="R469" s="1160"/>
      <c r="S469" s="1160">
        <f>'在籍児童一覧（保育）'!U192</f>
        <v>0</v>
      </c>
      <c r="T469" s="1160"/>
      <c r="U469" s="1165"/>
      <c r="V469" s="1165"/>
      <c r="W469" s="1165"/>
      <c r="X469" s="1165"/>
      <c r="Y469" s="1165"/>
      <c r="Z469" s="1165"/>
    </row>
    <row r="470" spans="1:29" s="382" customFormat="1" ht="13.5" hidden="1" customHeight="1">
      <c r="A470" s="1189"/>
      <c r="B470" s="899"/>
      <c r="C470" s="899"/>
      <c r="D470" s="899"/>
      <c r="E470" s="899"/>
      <c r="F470" s="899"/>
      <c r="G470" s="899"/>
      <c r="H470" s="899"/>
      <c r="I470" s="900"/>
      <c r="J470" s="928"/>
      <c r="K470" s="929"/>
      <c r="L470" s="930"/>
      <c r="M470" s="1113" t="s">
        <v>459</v>
      </c>
      <c r="N470" s="1114"/>
      <c r="O470" s="1160">
        <f>'在籍児童一覧（保育）'!Q210</f>
        <v>0</v>
      </c>
      <c r="P470" s="1160"/>
      <c r="Q470" s="1160">
        <f>'在籍児童一覧（保育）'!S210</f>
        <v>0</v>
      </c>
      <c r="R470" s="1160"/>
      <c r="S470" s="1160">
        <f>'在籍児童一覧（保育）'!U210</f>
        <v>0</v>
      </c>
      <c r="T470" s="1160"/>
      <c r="U470" s="1165"/>
      <c r="V470" s="1165"/>
      <c r="W470" s="1165"/>
      <c r="X470" s="1165"/>
      <c r="Y470" s="1165"/>
      <c r="Z470" s="1165"/>
    </row>
    <row r="471" spans="1:29" s="382" customFormat="1" ht="13.5" hidden="1" customHeight="1">
      <c r="A471" s="1189"/>
      <c r="B471" s="1162"/>
      <c r="C471" s="1162"/>
      <c r="D471" s="1162"/>
      <c r="E471" s="1162"/>
      <c r="F471" s="1162"/>
      <c r="G471" s="1162"/>
      <c r="H471" s="1162"/>
      <c r="I471" s="1163"/>
      <c r="J471" s="928"/>
      <c r="K471" s="929"/>
      <c r="L471" s="930"/>
      <c r="M471" s="1166"/>
      <c r="N471" s="1167"/>
      <c r="O471" s="1160">
        <f>'在籍児童一覧（保育）'!Q211</f>
        <v>0</v>
      </c>
      <c r="P471" s="1160"/>
      <c r="Q471" s="1160">
        <f>'在籍児童一覧（保育）'!S211</f>
        <v>0</v>
      </c>
      <c r="R471" s="1160"/>
      <c r="S471" s="1160">
        <f>'在籍児童一覧（保育）'!U211</f>
        <v>0</v>
      </c>
      <c r="T471" s="1160"/>
      <c r="U471" s="1165"/>
      <c r="V471" s="1165"/>
      <c r="W471" s="1165"/>
      <c r="X471" s="1165"/>
      <c r="Y471" s="1165"/>
      <c r="Z471" s="1165"/>
    </row>
    <row r="472" spans="1:29" s="378" customFormat="1" ht="13.5" hidden="1" customHeight="1">
      <c r="A472" s="1189"/>
      <c r="B472" s="783" t="s">
        <v>557</v>
      </c>
      <c r="C472" s="783"/>
      <c r="D472" s="783"/>
      <c r="E472" s="783"/>
      <c r="F472" s="783"/>
      <c r="G472" s="783"/>
      <c r="H472" s="783"/>
      <c r="I472" s="783"/>
      <c r="J472" s="783"/>
      <c r="K472" s="783"/>
      <c r="L472" s="783"/>
      <c r="M472" s="783"/>
      <c r="N472" s="784"/>
      <c r="O472" s="1098" t="e">
        <f ca="1">SUM(ROUNDDOWN(O454*O468/25,-1),ROUNDDOWN(O454*O469/25,-1),ROUNDDOWN(O455*O470/25,-1),ROUNDDOWN(O455*O471/25,-1))</f>
        <v>#N/A</v>
      </c>
      <c r="P472" s="1098"/>
      <c r="Q472" s="1098" t="e">
        <f ca="1">SUM(ROUNDDOWN(Q454*Q468/20,-1),ROUNDDOWN(Q454*Q469/20,-1),ROUNDDOWN(Q455*Q470/20,-1),ROUNDDOWN(Q455*Q471/20,-1))</f>
        <v>#N/A</v>
      </c>
      <c r="R472" s="1098"/>
      <c r="S472" s="1098" t="e">
        <f ca="1">SUM(ROUNDDOWN(S454*S468/20,-1),ROUNDDOWN(S454*S469/20,-1),ROUNDDOWN(S455*S470/20,-1),ROUNDDOWN(S455*S471/20,-1))</f>
        <v>#N/A</v>
      </c>
      <c r="T472" s="1098"/>
      <c r="U472" s="1165"/>
      <c r="V472" s="1165"/>
      <c r="W472" s="1165"/>
      <c r="X472" s="1165"/>
      <c r="Y472" s="1165"/>
      <c r="Z472" s="1165"/>
      <c r="AA472" s="382"/>
    </row>
    <row r="473" spans="1:29" s="378" customFormat="1" ht="13.5" hidden="1" customHeight="1">
      <c r="A473" s="1189"/>
      <c r="B473" s="456"/>
      <c r="C473" s="702" t="s">
        <v>10</v>
      </c>
      <c r="D473" s="703"/>
      <c r="E473" s="703"/>
      <c r="F473" s="703"/>
      <c r="G473" s="703"/>
      <c r="H473" s="703"/>
      <c r="I473" s="703"/>
      <c r="J473" s="703"/>
      <c r="K473" s="703"/>
      <c r="L473" s="703"/>
      <c r="M473" s="703"/>
      <c r="N473" s="704"/>
      <c r="O473" s="1143" t="e">
        <f ca="1">SUM(ROUNDDOWN(O456*O468/25,-1),ROUNDDOWN(O456*O469/25,-1),ROUNDDOWN(O457*O470/25,-1),ROUNDDOWN(O457*O471/25,-1))</f>
        <v>#N/A</v>
      </c>
      <c r="P473" s="1143"/>
      <c r="Q473" s="1143" t="e">
        <f ca="1">SUM(ROUNDDOWN(Q456*Q468/25,-1),ROUNDDOWN(Q456*Q469/25,-1),ROUNDDOWN(Q457*Q470/25,-1),ROUNDDOWN(Q457*Q471/25,-1))</f>
        <v>#N/A</v>
      </c>
      <c r="R473" s="1143"/>
      <c r="S473" s="1143" t="e">
        <f ca="1">SUM(ROUNDDOWN(S456*S468/25,-1),ROUNDDOWN(S456*S469/25,-1),ROUNDDOWN(S457*S470/25,-1),ROUNDDOWN(S457*S471/25,-1))</f>
        <v>#N/A</v>
      </c>
      <c r="T473" s="1143"/>
      <c r="U473" s="1165"/>
      <c r="V473" s="1165"/>
      <c r="W473" s="1165"/>
      <c r="X473" s="1165"/>
      <c r="Y473" s="1165"/>
      <c r="Z473" s="1165"/>
      <c r="AA473" s="382"/>
    </row>
    <row r="474" spans="1:29" s="382" customFormat="1" ht="13.5" hidden="1" customHeight="1">
      <c r="A474" s="1189"/>
      <c r="B474" s="1137" t="s">
        <v>643</v>
      </c>
      <c r="C474" s="1137"/>
      <c r="D474" s="1137"/>
      <c r="E474" s="1137"/>
      <c r="F474" s="1137"/>
      <c r="G474" s="1137"/>
      <c r="H474" s="1137"/>
      <c r="I474" s="1138"/>
      <c r="J474" s="1173" t="s">
        <v>138</v>
      </c>
      <c r="K474" s="1174"/>
      <c r="L474" s="1175"/>
      <c r="M474" s="1176" t="s">
        <v>458</v>
      </c>
      <c r="N474" s="1177"/>
      <c r="O474" s="1160">
        <f>'在籍児童一覧（保育）'!Q193</f>
        <v>0</v>
      </c>
      <c r="P474" s="1160"/>
      <c r="Q474" s="1160">
        <f>'在籍児童一覧（保育）'!S193</f>
        <v>0</v>
      </c>
      <c r="R474" s="1160"/>
      <c r="S474" s="1160">
        <f>'在籍児童一覧（保育）'!U193</f>
        <v>0</v>
      </c>
      <c r="T474" s="1160"/>
      <c r="U474" s="1178">
        <f>'在籍児童一覧（保育）'!W193</f>
        <v>0</v>
      </c>
      <c r="V474" s="1178"/>
      <c r="W474" s="1178">
        <f>'在籍児童一覧（保育）'!Y193</f>
        <v>0</v>
      </c>
      <c r="X474" s="1178"/>
      <c r="Y474" s="1178">
        <f>'在籍児童一覧（保育）'!AA193</f>
        <v>0</v>
      </c>
      <c r="Z474" s="1178"/>
    </row>
    <row r="475" spans="1:29" s="382" customFormat="1" ht="13.5" hidden="1" customHeight="1">
      <c r="A475" s="1189"/>
      <c r="B475" s="899"/>
      <c r="C475" s="899"/>
      <c r="D475" s="899"/>
      <c r="E475" s="899"/>
      <c r="F475" s="899"/>
      <c r="G475" s="899"/>
      <c r="H475" s="899"/>
      <c r="I475" s="900"/>
      <c r="J475" s="928"/>
      <c r="K475" s="929"/>
      <c r="L475" s="930"/>
      <c r="M475" s="1157"/>
      <c r="N475" s="1158"/>
      <c r="O475" s="1160">
        <f>'在籍児童一覧（保育）'!Q194</f>
        <v>0</v>
      </c>
      <c r="P475" s="1160"/>
      <c r="Q475" s="1160">
        <f>'在籍児童一覧（保育）'!S194</f>
        <v>0</v>
      </c>
      <c r="R475" s="1160"/>
      <c r="S475" s="1160">
        <f>'在籍児童一覧（保育）'!U194</f>
        <v>0</v>
      </c>
      <c r="T475" s="1160"/>
      <c r="U475" s="1160">
        <f>'在籍児童一覧（保育）'!W194</f>
        <v>0</v>
      </c>
      <c r="V475" s="1160"/>
      <c r="W475" s="1160">
        <f>'在籍児童一覧（保育）'!Y194</f>
        <v>0</v>
      </c>
      <c r="X475" s="1160"/>
      <c r="Y475" s="1160">
        <f>'在籍児童一覧（保育）'!AA194</f>
        <v>0</v>
      </c>
      <c r="Z475" s="1160"/>
    </row>
    <row r="476" spans="1:29" s="382" customFormat="1" ht="13.5" hidden="1" customHeight="1">
      <c r="A476" s="1189"/>
      <c r="B476" s="899"/>
      <c r="C476" s="899"/>
      <c r="D476" s="899"/>
      <c r="E476" s="899"/>
      <c r="F476" s="899"/>
      <c r="G476" s="899"/>
      <c r="H476" s="899"/>
      <c r="I476" s="900"/>
      <c r="J476" s="928"/>
      <c r="K476" s="929"/>
      <c r="L476" s="930"/>
      <c r="M476" s="1113" t="s">
        <v>459</v>
      </c>
      <c r="N476" s="1114"/>
      <c r="O476" s="1160">
        <f>'在籍児童一覧（保育）'!Q212</f>
        <v>0</v>
      </c>
      <c r="P476" s="1160"/>
      <c r="Q476" s="1160">
        <f>'在籍児童一覧（保育）'!S212</f>
        <v>0</v>
      </c>
      <c r="R476" s="1160"/>
      <c r="S476" s="1160">
        <f>'在籍児童一覧（保育）'!U212</f>
        <v>0</v>
      </c>
      <c r="T476" s="1160"/>
      <c r="U476" s="1160">
        <f>'在籍児童一覧（保育）'!W212</f>
        <v>0</v>
      </c>
      <c r="V476" s="1160"/>
      <c r="W476" s="1160">
        <f>'在籍児童一覧（保育）'!Y212</f>
        <v>0</v>
      </c>
      <c r="X476" s="1160"/>
      <c r="Y476" s="1160">
        <f>'在籍児童一覧（保育）'!AA212</f>
        <v>0</v>
      </c>
      <c r="Z476" s="1160"/>
    </row>
    <row r="477" spans="1:29" s="382" customFormat="1" ht="13.5" hidden="1" customHeight="1">
      <c r="A477" s="1189"/>
      <c r="B477" s="1149"/>
      <c r="C477" s="1149"/>
      <c r="D477" s="1149"/>
      <c r="E477" s="1149"/>
      <c r="F477" s="1149"/>
      <c r="G477" s="1149"/>
      <c r="H477" s="1149"/>
      <c r="I477" s="1150"/>
      <c r="J477" s="928"/>
      <c r="K477" s="929"/>
      <c r="L477" s="930"/>
      <c r="M477" s="1166"/>
      <c r="N477" s="1167"/>
      <c r="O477" s="1160">
        <f>'在籍児童一覧（保育）'!Q213</f>
        <v>0</v>
      </c>
      <c r="P477" s="1160"/>
      <c r="Q477" s="1160">
        <f>'在籍児童一覧（保育）'!S213</f>
        <v>0</v>
      </c>
      <c r="R477" s="1160"/>
      <c r="S477" s="1160">
        <f>'在籍児童一覧（保育）'!U213</f>
        <v>0</v>
      </c>
      <c r="T477" s="1160"/>
      <c r="U477" s="1160">
        <f>'在籍児童一覧（保育）'!W213</f>
        <v>0</v>
      </c>
      <c r="V477" s="1160"/>
      <c r="W477" s="1160">
        <f>'在籍児童一覧（保育）'!Y213</f>
        <v>0</v>
      </c>
      <c r="X477" s="1160"/>
      <c r="Y477" s="1160">
        <f>'在籍児童一覧（保育）'!AA213</f>
        <v>0</v>
      </c>
      <c r="Z477" s="1160"/>
    </row>
    <row r="478" spans="1:29" s="378" customFormat="1" ht="13.5" hidden="1" customHeight="1">
      <c r="A478" s="1189"/>
      <c r="B478" s="708" t="s">
        <v>558</v>
      </c>
      <c r="C478" s="708"/>
      <c r="D478" s="708"/>
      <c r="E478" s="708"/>
      <c r="F478" s="708"/>
      <c r="G478" s="708"/>
      <c r="H478" s="708"/>
      <c r="I478" s="708"/>
      <c r="J478" s="708"/>
      <c r="K478" s="708"/>
      <c r="L478" s="708"/>
      <c r="M478" s="708"/>
      <c r="N478" s="709"/>
      <c r="O478" s="1098" t="e">
        <f ca="1">SUM(ROUNDDOWN(O450*O474/25,-1),ROUNDDOWN(O450*O475/25,-1),ROUNDDOWN(O451*O476/25,-1),ROUNDDOWN(O451*O477/25,-1),IF(O474&lt;1,0,O458),IF(O475&lt;1,0,O458),IF(O476&lt;1,0,O459),IF(O477&lt;1,0,O459))</f>
        <v>#N/A</v>
      </c>
      <c r="P478" s="1098"/>
      <c r="Q478" s="1098" t="e">
        <f ca="1">SUM(ROUNDDOWN(Q450*Q474/25,-1),ROUNDDOWN(Q450*Q475/25,-1),ROUNDDOWN(Q451*Q476/25,-1),ROUNDDOWN(Q451*Q477/25,-1),IF(Q474&lt;1,0,Q458),IF(Q475&lt;1,0,Q458),IF(Q476&lt;1,0,Q459),IF(Q477&lt;1,0,Q459))</f>
        <v>#N/A</v>
      </c>
      <c r="R478" s="1098"/>
      <c r="S478" s="1098" t="e">
        <f ca="1">SUM(ROUNDDOWN(S450*S474/25,-1),ROUNDDOWN(S450*S475/25,-1),ROUNDDOWN(S451*S476/25,-1),ROUNDDOWN(S451*S477/25,-1),IF(S474&lt;1,0,S458),IF(S475&lt;1,0,S458),IF(S476&lt;1,0,S459),IF(S477&lt;1,0,S459))</f>
        <v>#N/A</v>
      </c>
      <c r="T478" s="1098"/>
      <c r="U478" s="1098" t="e">
        <f ca="1">SUM(ROUNDDOWN(U450*U474/25,-1),ROUNDDOWN(U450*U475/25,-1),ROUNDDOWN(U451*U476/25,-1),ROUNDDOWN(U451*U477/25,-1),IF(U474&lt;1,0,U458),IF(U475&lt;1,0,U458),IF(U476&lt;1,0,U459),IF(U477&lt;1,0,U459))</f>
        <v>#N/A</v>
      </c>
      <c r="V478" s="1098"/>
      <c r="W478" s="1098" t="e">
        <f ca="1">SUM(ROUNDDOWN(W450*W474/25,-1),ROUNDDOWN(W450*W475/25,-1),ROUNDDOWN(W451*W476/25,-1),ROUNDDOWN(W451*W477/25,-1),IF(W474&lt;1,0,W458),IF(W475&lt;1,0,W458),IF(W476&lt;1,0,W459),IF(W477&lt;1,0,W459))</f>
        <v>#N/A</v>
      </c>
      <c r="X478" s="1098"/>
      <c r="Y478" s="1098" t="e">
        <f ca="1">SUM(ROUNDDOWN(Y450*Y474/25,-1),ROUNDDOWN(Y450*Y475/25,-1),ROUNDDOWN(Y451*Y476/25,-1),ROUNDDOWN(Y451*Y477/25,-1),IF(Y474&lt;1,0,Y458),IF(Y475&lt;1,0,Y458),IF(Y476&lt;1,0,Y459),IF(Y477&lt;1,0,Y459))</f>
        <v>#N/A</v>
      </c>
      <c r="Z478" s="1098"/>
      <c r="AA478" s="382"/>
    </row>
    <row r="479" spans="1:29" s="378" customFormat="1" ht="13.5" hidden="1" customHeight="1">
      <c r="A479" s="1189"/>
      <c r="B479" s="451"/>
      <c r="C479" s="1019" t="s">
        <v>10</v>
      </c>
      <c r="D479" s="672"/>
      <c r="E479" s="672"/>
      <c r="F479" s="672"/>
      <c r="G479" s="672"/>
      <c r="H479" s="672"/>
      <c r="I479" s="672"/>
      <c r="J479" s="672"/>
      <c r="K479" s="672"/>
      <c r="L479" s="672"/>
      <c r="M479" s="672"/>
      <c r="N479" s="673"/>
      <c r="O479" s="1179" t="e">
        <f ca="1">SUM(ROUNDDOWN(O452*O474/25,-1),ROUNDDOWN(O452*O475/25,-1),ROUNDDOWN(O453*O476/25,-1),ROUNDDOWN(O453*O477/25,-1),IF(O474&lt;1,0,O460),IF(O475&lt;1,0,O460),IF(O476&lt;1,0,O461),IF(O477&lt;1,0,O461))</f>
        <v>#N/A</v>
      </c>
      <c r="P479" s="1179"/>
      <c r="Q479" s="1179" t="e">
        <f ca="1">SUM(ROUNDDOWN(Q452*Q474/25,-1),ROUNDDOWN(Q452*Q475/25,-1),ROUNDDOWN(Q453*Q476/25,-1),ROUNDDOWN(Q453*Q477/25,-1),IF(Q474&lt;1,0,Q460),IF(Q475&lt;1,0,Q460),IF(Q476&lt;1,0,Q461),IF(Q477&lt;1,0,Q461))</f>
        <v>#N/A</v>
      </c>
      <c r="R479" s="1179"/>
      <c r="S479" s="1179" t="e">
        <f ca="1">SUM(ROUNDDOWN(S452*S474/25,-1),ROUNDDOWN(S452*S475/25,-1),ROUNDDOWN(S453*S476/25,-1),ROUNDDOWN(S453*S477/25,-1),IF(S474&lt;1,0,S460),IF(S475&lt;1,0,S460),IF(S476&lt;1,0,S461),IF(S477&lt;1,0,S461))</f>
        <v>#N/A</v>
      </c>
      <c r="T479" s="1179"/>
      <c r="U479" s="1098" t="e">
        <f ca="1">SUM(ROUNDDOWN(U452*U474/25,-1),ROUNDDOWN(U452*U475/25,-1),ROUNDDOWN(U453*U476/25,-1),ROUNDDOWN(U453*U477/25,-1),IF(U474&lt;1,0,U460),IF(U475&lt;1,0,U460),IF(U476&lt;1,0,U461),IF(U477&lt;1,0,U461))</f>
        <v>#N/A</v>
      </c>
      <c r="V479" s="1098"/>
      <c r="W479" s="1098" t="e">
        <f ca="1">SUM(ROUNDDOWN(W452*W474/25,-1),ROUNDDOWN(W452*W475/25,-1),ROUNDDOWN(W453*W476/25,-1),ROUNDDOWN(W453*W477/25,-1),IF(W474&lt;1,0,W460),IF(W475&lt;1,0,W460),IF(W476&lt;1,0,W461),IF(W477&lt;1,0,W461))</f>
        <v>#N/A</v>
      </c>
      <c r="X479" s="1098"/>
      <c r="Y479" s="1098" t="e">
        <f ca="1">SUM(ROUNDDOWN(Y452*Y474/25,-1),ROUNDDOWN(Y452*Y475/25,-1),ROUNDDOWN(Y453*Y476/25,-1),ROUNDDOWN(Y453*Y477/25,-1),IF(Y474&lt;1,0,Y460),IF(Y475&lt;1,0,Y460),IF(Y476&lt;1,0,Y461),IF(Y477&lt;1,0,Y461))</f>
        <v>#N/A</v>
      </c>
      <c r="Z479" s="1098"/>
      <c r="AA479" s="382"/>
      <c r="AB479" s="382"/>
      <c r="AC479" s="382"/>
    </row>
    <row r="480" spans="1:29" s="382" customFormat="1" ht="13.5" hidden="1" customHeight="1">
      <c r="A480" s="1189"/>
      <c r="B480" s="1137" t="s">
        <v>644</v>
      </c>
      <c r="C480" s="1137"/>
      <c r="D480" s="1137"/>
      <c r="E480" s="1137"/>
      <c r="F480" s="1137"/>
      <c r="G480" s="1137"/>
      <c r="H480" s="1137"/>
      <c r="I480" s="1138"/>
      <c r="J480" s="1173" t="s">
        <v>138</v>
      </c>
      <c r="K480" s="1174"/>
      <c r="L480" s="1175"/>
      <c r="M480" s="1176" t="s">
        <v>458</v>
      </c>
      <c r="N480" s="1177"/>
      <c r="O480" s="1159">
        <f>'在籍児童一覧（保育）'!Q195</f>
        <v>0</v>
      </c>
      <c r="P480" s="1159"/>
      <c r="Q480" s="1159">
        <f>'在籍児童一覧（保育）'!S195</f>
        <v>0</v>
      </c>
      <c r="R480" s="1159"/>
      <c r="S480" s="1159">
        <f>'在籍児童一覧（保育）'!U195</f>
        <v>0</v>
      </c>
      <c r="T480" s="1159"/>
      <c r="U480" s="1181"/>
      <c r="V480" s="1181"/>
      <c r="W480" s="1181"/>
      <c r="X480" s="1181"/>
      <c r="Y480" s="1181"/>
      <c r="Z480" s="1181"/>
    </row>
    <row r="481" spans="1:27" s="382" customFormat="1" ht="13.5" hidden="1" customHeight="1">
      <c r="A481" s="1189"/>
      <c r="B481" s="899"/>
      <c r="C481" s="899"/>
      <c r="D481" s="899"/>
      <c r="E481" s="899"/>
      <c r="F481" s="899"/>
      <c r="G481" s="899"/>
      <c r="H481" s="899"/>
      <c r="I481" s="900"/>
      <c r="J481" s="928"/>
      <c r="K481" s="929"/>
      <c r="L481" s="930"/>
      <c r="M481" s="1157"/>
      <c r="N481" s="1158"/>
      <c r="O481" s="1160">
        <f>'在籍児童一覧（保育）'!Q196</f>
        <v>0</v>
      </c>
      <c r="P481" s="1160"/>
      <c r="Q481" s="1160">
        <f>'在籍児童一覧（保育）'!S196</f>
        <v>0</v>
      </c>
      <c r="R481" s="1160"/>
      <c r="S481" s="1160">
        <f>'在籍児童一覧（保育）'!U196</f>
        <v>0</v>
      </c>
      <c r="T481" s="1160"/>
      <c r="U481" s="1165"/>
      <c r="V481" s="1165"/>
      <c r="W481" s="1165"/>
      <c r="X481" s="1165"/>
      <c r="Y481" s="1165"/>
      <c r="Z481" s="1165"/>
    </row>
    <row r="482" spans="1:27" s="382" customFormat="1" ht="13.5" hidden="1" customHeight="1">
      <c r="A482" s="1189"/>
      <c r="B482" s="899"/>
      <c r="C482" s="899"/>
      <c r="D482" s="899"/>
      <c r="E482" s="899"/>
      <c r="F482" s="899"/>
      <c r="G482" s="899"/>
      <c r="H482" s="899"/>
      <c r="I482" s="900"/>
      <c r="J482" s="928"/>
      <c r="K482" s="929"/>
      <c r="L482" s="930"/>
      <c r="M482" s="1113" t="s">
        <v>459</v>
      </c>
      <c r="N482" s="1114"/>
      <c r="O482" s="1160">
        <f>'在籍児童一覧（保育）'!Q214</f>
        <v>0</v>
      </c>
      <c r="P482" s="1160"/>
      <c r="Q482" s="1160">
        <f>'在籍児童一覧（保育）'!S214</f>
        <v>0</v>
      </c>
      <c r="R482" s="1160"/>
      <c r="S482" s="1160">
        <f>'在籍児童一覧（保育）'!U214</f>
        <v>0</v>
      </c>
      <c r="T482" s="1160"/>
      <c r="U482" s="1165"/>
      <c r="V482" s="1165"/>
      <c r="W482" s="1165"/>
      <c r="X482" s="1165"/>
      <c r="Y482" s="1165"/>
      <c r="Z482" s="1165"/>
    </row>
    <row r="483" spans="1:27" s="382" customFormat="1" ht="13.5" hidden="1" customHeight="1">
      <c r="A483" s="1189"/>
      <c r="B483" s="1149"/>
      <c r="C483" s="1149"/>
      <c r="D483" s="1149"/>
      <c r="E483" s="1149"/>
      <c r="F483" s="1149"/>
      <c r="G483" s="1149"/>
      <c r="H483" s="1149"/>
      <c r="I483" s="1150"/>
      <c r="J483" s="928"/>
      <c r="K483" s="929"/>
      <c r="L483" s="930"/>
      <c r="M483" s="1166"/>
      <c r="N483" s="1167"/>
      <c r="O483" s="1160">
        <f>'在籍児童一覧（保育）'!Q215</f>
        <v>0</v>
      </c>
      <c r="P483" s="1160"/>
      <c r="Q483" s="1160">
        <f>'在籍児童一覧（保育）'!S215</f>
        <v>0</v>
      </c>
      <c r="R483" s="1160"/>
      <c r="S483" s="1160">
        <f>'在籍児童一覧（保育）'!U215</f>
        <v>0</v>
      </c>
      <c r="T483" s="1160"/>
      <c r="U483" s="1165"/>
      <c r="V483" s="1165"/>
      <c r="W483" s="1165"/>
      <c r="X483" s="1165"/>
      <c r="Y483" s="1165"/>
      <c r="Z483" s="1165"/>
    </row>
    <row r="484" spans="1:27" s="378" customFormat="1" ht="13.5" hidden="1" customHeight="1">
      <c r="A484" s="1189"/>
      <c r="B484" s="708" t="s">
        <v>559</v>
      </c>
      <c r="C484" s="708"/>
      <c r="D484" s="708"/>
      <c r="E484" s="708"/>
      <c r="F484" s="708"/>
      <c r="G484" s="708"/>
      <c r="H484" s="708"/>
      <c r="I484" s="708"/>
      <c r="J484" s="708"/>
      <c r="K484" s="708"/>
      <c r="L484" s="708"/>
      <c r="M484" s="708"/>
      <c r="N484" s="709"/>
      <c r="O484" s="1098" t="e">
        <f ca="1">SUM(ROUNDDOWN(O454*O480/25,-1),ROUNDDOWN(O454*O481/25,-1),ROUNDDOWN(O455*O482/25,-1),ROUNDDOWN(O455*O483/25,-1),IF(O480&lt;1,0,O458),IF(O481&lt;1,0,O458),IF(O482&lt;1,0,O459),IF(O483&lt;1,0,O459))</f>
        <v>#N/A</v>
      </c>
      <c r="P484" s="1098"/>
      <c r="Q484" s="1098" t="e">
        <f ca="1">SUM(ROUNDDOWN(Q454*Q480/25,-1),ROUNDDOWN(Q454*Q481/25,-1),ROUNDDOWN(Q455*Q482/25,-1),ROUNDDOWN(Q455*Q483/25,-1),IF(Q480&lt;1,0,Q458),IF(Q481&lt;1,0,Q458),IF(Q482&lt;1,0,Q459),IF(Q483&lt;1,0,Q459))</f>
        <v>#N/A</v>
      </c>
      <c r="R484" s="1098"/>
      <c r="S484" s="1098" t="e">
        <f ca="1">SUM(ROUNDDOWN(S454*S480/25,-1),ROUNDDOWN(S454*S481/25,-1),ROUNDDOWN(S455*S482/25,-1),ROUNDDOWN(S455*S483/25,-1),IF(S480&lt;1,0,S458),IF(S481&lt;1,0,S458),IF(S482&lt;1,0,S459),IF(S483&lt;1,0,S459))</f>
        <v>#N/A</v>
      </c>
      <c r="T484" s="1098"/>
      <c r="U484" s="1165"/>
      <c r="V484" s="1165"/>
      <c r="W484" s="1165"/>
      <c r="X484" s="1165"/>
      <c r="Y484" s="1165"/>
      <c r="Z484" s="1165"/>
      <c r="AA484" s="382"/>
    </row>
    <row r="485" spans="1:27" s="378" customFormat="1" ht="13.5" hidden="1" customHeight="1">
      <c r="A485" s="1189"/>
      <c r="B485" s="451"/>
      <c r="C485" s="1019" t="s">
        <v>10</v>
      </c>
      <c r="D485" s="672"/>
      <c r="E485" s="672"/>
      <c r="F485" s="672"/>
      <c r="G485" s="672"/>
      <c r="H485" s="672"/>
      <c r="I485" s="672"/>
      <c r="J485" s="672"/>
      <c r="K485" s="672"/>
      <c r="L485" s="672"/>
      <c r="M485" s="672"/>
      <c r="N485" s="673"/>
      <c r="O485" s="1179" t="e">
        <f ca="1">SUM(ROUNDDOWN(O456*O480/25,-1),ROUNDDOWN(O456*O481/25,-1),ROUNDDOWN(O457*O482/25,-1),ROUNDDOWN(O457*O483/25,-1),IF(O480&lt;1,0,O460),IF(O481&lt;1,0,O460),IF(O482&lt;1,0,O461),IF(O483&lt;1,0,O461))</f>
        <v>#N/A</v>
      </c>
      <c r="P485" s="1179"/>
      <c r="Q485" s="1179" t="e">
        <f ca="1">SUM(ROUNDDOWN(Q456*Q480/25,-1),ROUNDDOWN(Q456*Q481/25,-1),ROUNDDOWN(Q457*Q482/25,-1),ROUNDDOWN(Q457*Q483/25,-1),IF(Q480&lt;1,0,Q460),IF(Q481&lt;1,0,Q460),IF(Q482&lt;1,0,Q461),IF(Q483&lt;1,0,Q461))</f>
        <v>#N/A</v>
      </c>
      <c r="R485" s="1179"/>
      <c r="S485" s="1179" t="e">
        <f ca="1">SUM(ROUNDDOWN(S456*S480/25,-1),ROUNDDOWN(S456*S481/25,-1),ROUNDDOWN(S457*S482/25,-1),ROUNDDOWN(S457*S483/25,-1),IF(S480&lt;1,0,S460),IF(S481&lt;1,0,S460),IF(S482&lt;1,0,S461),IF(S483&lt;1,0,S461))</f>
        <v>#N/A</v>
      </c>
      <c r="T485" s="1179"/>
      <c r="U485" s="1182"/>
      <c r="V485" s="1182"/>
      <c r="W485" s="1182"/>
      <c r="X485" s="1182"/>
      <c r="Y485" s="1182"/>
      <c r="Z485" s="1182"/>
      <c r="AA485" s="382"/>
    </row>
    <row r="486" spans="1:27" s="378" customFormat="1" ht="13.5" hidden="1" customHeight="1">
      <c r="A486" s="1189"/>
      <c r="B486" s="623" t="s">
        <v>139</v>
      </c>
      <c r="C486" s="623"/>
      <c r="D486" s="623"/>
      <c r="E486" s="623"/>
      <c r="F486" s="623"/>
      <c r="G486" s="623"/>
      <c r="H486" s="623"/>
      <c r="I486" s="623"/>
      <c r="J486" s="623"/>
      <c r="K486" s="623"/>
      <c r="L486" s="623"/>
      <c r="M486" s="623"/>
      <c r="N486" s="624"/>
      <c r="O486" s="1132" t="e">
        <f ca="1">SUM(O466,O472,O478,O484)</f>
        <v>#N/A</v>
      </c>
      <c r="P486" s="1132"/>
      <c r="Q486" s="1132" t="e">
        <f ca="1">SUM(Q466,Q472,Q478,Q484)</f>
        <v>#N/A</v>
      </c>
      <c r="R486" s="1132"/>
      <c r="S486" s="1132" t="e">
        <f ca="1">SUM(S466,S472,S478,S484)</f>
        <v>#N/A</v>
      </c>
      <c r="T486" s="1132"/>
      <c r="U486" s="1184" t="e">
        <f ca="1">SUM(U466,U472,U478,U484)</f>
        <v>#N/A</v>
      </c>
      <c r="V486" s="1184"/>
      <c r="W486" s="1184" t="e">
        <f ca="1">SUM(W466,W472,W478,W484)</f>
        <v>#N/A</v>
      </c>
      <c r="X486" s="1184"/>
      <c r="Y486" s="1184" t="e">
        <f ca="1">SUM(Y466,Y472,Y478,Y484)</f>
        <v>#N/A</v>
      </c>
      <c r="Z486" s="1184"/>
      <c r="AA486" s="382"/>
    </row>
    <row r="487" spans="1:27" s="378" customFormat="1" ht="13.5" hidden="1" customHeight="1">
      <c r="A487" s="1190"/>
      <c r="B487" s="455"/>
      <c r="C487" s="921" t="s">
        <v>10</v>
      </c>
      <c r="D487" s="592"/>
      <c r="E487" s="592"/>
      <c r="F487" s="592"/>
      <c r="G487" s="592"/>
      <c r="H487" s="592"/>
      <c r="I487" s="592"/>
      <c r="J487" s="592"/>
      <c r="K487" s="592"/>
      <c r="L487" s="592"/>
      <c r="M487" s="592"/>
      <c r="N487" s="593"/>
      <c r="O487" s="1143" t="e">
        <f ca="1">SUM(O467,O473,O479,O485)</f>
        <v>#N/A</v>
      </c>
      <c r="P487" s="1143"/>
      <c r="Q487" s="1143" t="e">
        <f ca="1">SUM(Q467,Q473,Q479,Q485)</f>
        <v>#N/A</v>
      </c>
      <c r="R487" s="1143"/>
      <c r="S487" s="1143" t="e">
        <f ca="1">SUM(S467,S473,S479,S485)</f>
        <v>#N/A</v>
      </c>
      <c r="T487" s="1143"/>
      <c r="U487" s="1143" t="e">
        <f ca="1">SUM(U467,U473,U479,U485)</f>
        <v>#N/A</v>
      </c>
      <c r="V487" s="1143"/>
      <c r="W487" s="1143" t="e">
        <f ca="1">SUM(W467,W473,W479,W485)</f>
        <v>#N/A</v>
      </c>
      <c r="X487" s="1143"/>
      <c r="Y487" s="1143" t="e">
        <f ca="1">SUM(Y467,Y473,Y479,Y485)</f>
        <v>#N/A</v>
      </c>
      <c r="Z487" s="1143"/>
      <c r="AA487" s="382"/>
    </row>
    <row r="488" spans="1:27" s="459" customFormat="1" ht="13.5" customHeight="1">
      <c r="A488" s="457"/>
      <c r="B488" s="457"/>
      <c r="C488" s="457"/>
      <c r="D488" s="457"/>
      <c r="E488" s="457"/>
      <c r="F488" s="457"/>
      <c r="G488" s="457"/>
      <c r="H488" s="457"/>
      <c r="I488" s="458"/>
      <c r="J488" s="458"/>
      <c r="K488" s="458"/>
      <c r="L488" s="458"/>
      <c r="M488" s="458"/>
      <c r="N488" s="458"/>
      <c r="O488" s="458"/>
      <c r="P488" s="458"/>
      <c r="Q488" s="458"/>
      <c r="R488" s="458"/>
      <c r="S488" s="458"/>
      <c r="T488" s="458"/>
      <c r="U488" s="458"/>
      <c r="V488" s="458"/>
      <c r="W488" s="458"/>
      <c r="X488" s="458"/>
      <c r="Y488" s="458"/>
      <c r="Z488" s="458"/>
    </row>
    <row r="489" spans="1:27" s="378" customFormat="1" ht="13.5" customHeight="1">
      <c r="A489" s="619" t="s">
        <v>140</v>
      </c>
      <c r="B489" s="1017"/>
      <c r="C489" s="1017"/>
      <c r="D489" s="1017"/>
      <c r="E489" s="1017"/>
      <c r="F489" s="1017"/>
      <c r="G489" s="1017"/>
      <c r="H489" s="1017"/>
      <c r="I489" s="1017"/>
      <c r="J489" s="1017"/>
      <c r="K489" s="1017"/>
      <c r="L489" s="1017"/>
      <c r="M489" s="1017"/>
      <c r="N489" s="1018"/>
      <c r="O489" s="908" t="e">
        <f ca="1">SUM(O395,O448)</f>
        <v>#N/A</v>
      </c>
      <c r="P489" s="910"/>
      <c r="Q489" s="908" t="e">
        <f ca="1">SUM(Q395,Q448)</f>
        <v>#N/A</v>
      </c>
      <c r="R489" s="910"/>
      <c r="S489" s="908" t="e">
        <f ca="1">SUM(S395,S448)</f>
        <v>#N/A</v>
      </c>
      <c r="T489" s="910"/>
      <c r="U489" s="1132" t="e">
        <f ca="1">SUM(U395,U448)</f>
        <v>#N/A</v>
      </c>
      <c r="V489" s="1132"/>
      <c r="W489" s="1132" t="e">
        <f ca="1">SUM(W395,W448)</f>
        <v>#N/A</v>
      </c>
      <c r="X489" s="1132"/>
      <c r="Y489" s="908" t="e">
        <f ca="1">SUM(Y395,Y448)</f>
        <v>#N/A</v>
      </c>
      <c r="Z489" s="910"/>
    </row>
    <row r="490" spans="1:27" s="378" customFormat="1" ht="13.5" customHeight="1">
      <c r="A490" s="426"/>
      <c r="B490" s="921" t="s">
        <v>10</v>
      </c>
      <c r="C490" s="592"/>
      <c r="D490" s="592"/>
      <c r="E490" s="592"/>
      <c r="F490" s="592"/>
      <c r="G490" s="592"/>
      <c r="H490" s="592"/>
      <c r="I490" s="592"/>
      <c r="J490" s="592"/>
      <c r="K490" s="592"/>
      <c r="L490" s="592"/>
      <c r="M490" s="592"/>
      <c r="N490" s="593"/>
      <c r="O490" s="922" t="e">
        <f ca="1">SUM(O396,O449)</f>
        <v>#N/A</v>
      </c>
      <c r="P490" s="924"/>
      <c r="Q490" s="922" t="e">
        <f ca="1">SUM(Q396,Q449)</f>
        <v>#N/A</v>
      </c>
      <c r="R490" s="924"/>
      <c r="S490" s="922" t="e">
        <f ca="1">SUM(S396,S449)</f>
        <v>#N/A</v>
      </c>
      <c r="T490" s="924"/>
      <c r="U490" s="1143" t="e">
        <f ca="1">SUM(U396,U449)</f>
        <v>#N/A</v>
      </c>
      <c r="V490" s="1143"/>
      <c r="W490" s="1143" t="e">
        <f ca="1">SUM(W396,W449)</f>
        <v>#N/A</v>
      </c>
      <c r="X490" s="1143"/>
      <c r="Y490" s="922" t="e">
        <f ca="1">SUM(Y396,Y449)</f>
        <v>#N/A</v>
      </c>
      <c r="Z490" s="924"/>
    </row>
    <row r="491" spans="1:27" s="378" customFormat="1" ht="13.5" hidden="1" customHeight="1">
      <c r="A491" s="1191" t="s">
        <v>525</v>
      </c>
      <c r="B491" s="619" t="s">
        <v>140</v>
      </c>
      <c r="C491" s="620"/>
      <c r="D491" s="620"/>
      <c r="E491" s="620"/>
      <c r="F491" s="620"/>
      <c r="G491" s="620"/>
      <c r="H491" s="620"/>
      <c r="I491" s="620"/>
      <c r="J491" s="620"/>
      <c r="K491" s="620"/>
      <c r="L491" s="620"/>
      <c r="M491" s="620"/>
      <c r="N491" s="621"/>
      <c r="O491" s="908" t="e">
        <f ca="1">SUM(O409,O486)</f>
        <v>#N/A</v>
      </c>
      <c r="P491" s="910"/>
      <c r="Q491" s="908" t="e">
        <f ca="1">SUM(Q409,Q486)</f>
        <v>#N/A</v>
      </c>
      <c r="R491" s="910"/>
      <c r="S491" s="908" t="e">
        <f ca="1">SUM(S409,S486)</f>
        <v>#N/A</v>
      </c>
      <c r="T491" s="910"/>
      <c r="U491" s="1132" t="e">
        <f ca="1">SUM(U409,U486)</f>
        <v>#N/A</v>
      </c>
      <c r="V491" s="1132"/>
      <c r="W491" s="1132" t="e">
        <f ca="1">SUM(W409,W486)</f>
        <v>#N/A</v>
      </c>
      <c r="X491" s="1132"/>
      <c r="Y491" s="908" t="e">
        <f ca="1">SUM(Y409,Y486)</f>
        <v>#N/A</v>
      </c>
      <c r="Z491" s="910"/>
    </row>
    <row r="492" spans="1:27" s="378" customFormat="1" ht="13.5" hidden="1" customHeight="1">
      <c r="A492" s="1192"/>
      <c r="B492" s="426"/>
      <c r="C492" s="921" t="s">
        <v>10</v>
      </c>
      <c r="D492" s="592"/>
      <c r="E492" s="592"/>
      <c r="F492" s="592"/>
      <c r="G492" s="592"/>
      <c r="H492" s="592"/>
      <c r="I492" s="592"/>
      <c r="J492" s="592"/>
      <c r="K492" s="592"/>
      <c r="L492" s="592"/>
      <c r="M492" s="592"/>
      <c r="N492" s="593"/>
      <c r="O492" s="922" t="e">
        <f ca="1">SUM(O410,O487)</f>
        <v>#N/A</v>
      </c>
      <c r="P492" s="924"/>
      <c r="Q492" s="922" t="e">
        <f ca="1">SUM(Q410,Q487)</f>
        <v>#N/A</v>
      </c>
      <c r="R492" s="924"/>
      <c r="S492" s="922" t="e">
        <f ca="1">SUM(S410,S487)</f>
        <v>#N/A</v>
      </c>
      <c r="T492" s="924"/>
      <c r="U492" s="1143" t="e">
        <f ca="1">SUM(U410,U487)</f>
        <v>#N/A</v>
      </c>
      <c r="V492" s="1143"/>
      <c r="W492" s="1143" t="e">
        <f ca="1">SUM(W410,W487)</f>
        <v>#N/A</v>
      </c>
      <c r="X492" s="1143"/>
      <c r="Y492" s="922" t="e">
        <f ca="1">SUM(Y410,Y487)</f>
        <v>#N/A</v>
      </c>
      <c r="Z492" s="924"/>
    </row>
    <row r="493" spans="1:27" s="378" customFormat="1" ht="13.5" customHeight="1">
      <c r="A493" s="431"/>
      <c r="B493" s="418"/>
      <c r="C493" s="418"/>
      <c r="D493" s="418"/>
      <c r="E493" s="418"/>
      <c r="F493" s="418"/>
      <c r="G493" s="418"/>
      <c r="H493" s="418"/>
      <c r="I493" s="418"/>
      <c r="J493" s="418"/>
      <c r="K493" s="418"/>
      <c r="L493" s="418"/>
      <c r="M493" s="418"/>
      <c r="N493" s="418"/>
      <c r="O493" s="432"/>
      <c r="P493" s="432"/>
      <c r="Q493" s="432"/>
      <c r="R493" s="432"/>
      <c r="S493" s="432"/>
      <c r="T493" s="432"/>
      <c r="U493" s="432"/>
      <c r="V493" s="432"/>
      <c r="W493" s="432"/>
      <c r="X493" s="432"/>
      <c r="Y493" s="432"/>
      <c r="Z493" s="433"/>
    </row>
    <row r="494" spans="1:27" s="378" customFormat="1" ht="13.5" customHeight="1">
      <c r="A494" s="619" t="s">
        <v>617</v>
      </c>
      <c r="B494" s="1017"/>
      <c r="C494" s="1017"/>
      <c r="D494" s="1017"/>
      <c r="E494" s="1017"/>
      <c r="F494" s="1017"/>
      <c r="G494" s="1017"/>
      <c r="H494" s="1017"/>
      <c r="I494" s="683" t="s">
        <v>142</v>
      </c>
      <c r="J494" s="684"/>
      <c r="K494" s="685"/>
      <c r="L494" s="906">
        <f>IF((M4-P4)&gt;=0,M4-P4+1,M4-P4+13)</f>
        <v>1</v>
      </c>
      <c r="M494" s="906"/>
      <c r="N494" s="907"/>
      <c r="O494" s="908" t="e">
        <f ca="1">SUM(O489,O491)*L494</f>
        <v>#N/A</v>
      </c>
      <c r="P494" s="910"/>
      <c r="Q494" s="908" t="e">
        <f ca="1">SUM(Q489,Q491)*L494</f>
        <v>#N/A</v>
      </c>
      <c r="R494" s="910"/>
      <c r="S494" s="908" t="e">
        <f ca="1">SUM(S489,S491)*L494</f>
        <v>#N/A</v>
      </c>
      <c r="T494" s="910"/>
      <c r="U494" s="908" t="e">
        <f ca="1">SUM(U489,U491)*L494</f>
        <v>#N/A</v>
      </c>
      <c r="V494" s="910"/>
      <c r="W494" s="908" t="e">
        <f ca="1">SUM(W489,W491)*L494</f>
        <v>#N/A</v>
      </c>
      <c r="X494" s="910"/>
      <c r="Y494" s="908" t="e">
        <f ca="1">SUM(Y489,Y491)*L494</f>
        <v>#N/A</v>
      </c>
      <c r="Z494" s="910"/>
    </row>
    <row r="495" spans="1:27" s="378" customFormat="1" ht="13.5" customHeight="1">
      <c r="A495" s="426"/>
      <c r="B495" s="921" t="s">
        <v>10</v>
      </c>
      <c r="C495" s="592"/>
      <c r="D495" s="592"/>
      <c r="E495" s="592"/>
      <c r="F495" s="592"/>
      <c r="G495" s="592"/>
      <c r="H495" s="592"/>
      <c r="I495" s="592"/>
      <c r="J495" s="592"/>
      <c r="K495" s="592"/>
      <c r="L495" s="592"/>
      <c r="M495" s="592"/>
      <c r="N495" s="593"/>
      <c r="O495" s="922" t="e">
        <f ca="1">SUM(O490,O492)*L494</f>
        <v>#N/A</v>
      </c>
      <c r="P495" s="924"/>
      <c r="Q495" s="922" t="e">
        <f ca="1">SUM(Q490,Q492)*L494</f>
        <v>#N/A</v>
      </c>
      <c r="R495" s="924"/>
      <c r="S495" s="922" t="e">
        <f ca="1">SUM(S490,S492)*L494</f>
        <v>#N/A</v>
      </c>
      <c r="T495" s="924"/>
      <c r="U495" s="922" t="e">
        <f ca="1">SUM(U490,U492)*L494</f>
        <v>#N/A</v>
      </c>
      <c r="V495" s="924"/>
      <c r="W495" s="922" t="e">
        <f ca="1">SUM(W490,W492)*L494</f>
        <v>#N/A</v>
      </c>
      <c r="X495" s="924"/>
      <c r="Y495" s="922" t="e">
        <f ca="1">SUM(Y490,Y492)*L494</f>
        <v>#N/A</v>
      </c>
      <c r="Z495" s="924"/>
    </row>
    <row r="496" spans="1:27" s="378" customFormat="1" ht="13.5" customHeight="1">
      <c r="A496" s="421"/>
      <c r="B496" s="418"/>
      <c r="C496" s="418"/>
      <c r="D496" s="418"/>
      <c r="E496" s="418"/>
      <c r="F496" s="418"/>
      <c r="G496" s="418"/>
      <c r="H496" s="418"/>
      <c r="I496" s="418"/>
      <c r="J496" s="418"/>
      <c r="K496" s="418"/>
      <c r="L496" s="418"/>
      <c r="M496" s="418"/>
      <c r="N496" s="418"/>
      <c r="O496" s="460"/>
      <c r="P496" s="460"/>
      <c r="Q496" s="460"/>
      <c r="R496" s="460"/>
      <c r="S496" s="460"/>
      <c r="T496" s="460"/>
      <c r="U496" s="460"/>
      <c r="V496" s="460"/>
      <c r="W496" s="460"/>
      <c r="X496" s="460"/>
      <c r="Y496" s="460"/>
      <c r="Z496" s="460"/>
    </row>
    <row r="497" spans="1:26" s="378" customFormat="1">
      <c r="A497" s="631" t="s">
        <v>560</v>
      </c>
      <c r="B497" s="632"/>
      <c r="C497" s="632"/>
      <c r="D497" s="632"/>
      <c r="E497" s="632"/>
      <c r="F497" s="632"/>
      <c r="G497" s="632"/>
      <c r="H497" s="633"/>
      <c r="I497" s="1211">
        <f>SUM('在籍児童一覧（保育）'!AA11:AB160)</f>
        <v>0</v>
      </c>
      <c r="J497" s="1211"/>
      <c r="K497" s="1211"/>
      <c r="L497" s="1211"/>
      <c r="M497" s="1211"/>
      <c r="N497" s="1211"/>
      <c r="O497" s="1211"/>
      <c r="P497" s="1211"/>
      <c r="Q497" s="1211"/>
      <c r="R497" s="1211"/>
      <c r="S497" s="1211"/>
      <c r="T497" s="1211"/>
      <c r="U497" s="1211"/>
      <c r="V497" s="1211"/>
      <c r="W497" s="1211"/>
      <c r="X497" s="1211"/>
      <c r="Y497" s="1211"/>
      <c r="Z497" s="1211"/>
    </row>
    <row r="498" spans="1:26" s="378" customFormat="1" ht="13.5" customHeight="1" thickBot="1">
      <c r="A498" s="461"/>
      <c r="B498" s="407"/>
      <c r="C498" s="407"/>
      <c r="D498" s="407"/>
      <c r="E498" s="407"/>
      <c r="F498" s="407"/>
      <c r="G498" s="407"/>
      <c r="H498" s="407"/>
      <c r="I498" s="408"/>
      <c r="J498" s="408"/>
      <c r="K498" s="408"/>
      <c r="L498" s="408"/>
      <c r="M498" s="408"/>
      <c r="N498" s="408"/>
      <c r="O498" s="408"/>
      <c r="P498" s="408"/>
      <c r="Q498" s="408"/>
      <c r="R498" s="408"/>
      <c r="S498" s="408"/>
      <c r="T498" s="408"/>
      <c r="U498" s="408"/>
      <c r="V498" s="408"/>
      <c r="W498" s="408"/>
      <c r="X498" s="408"/>
      <c r="Y498" s="408"/>
      <c r="Z498" s="408"/>
    </row>
    <row r="499" spans="1:26" s="378" customFormat="1" ht="35.25" customHeight="1" thickBot="1">
      <c r="A499" s="1198" t="s">
        <v>794</v>
      </c>
      <c r="B499" s="1199"/>
      <c r="C499" s="1199"/>
      <c r="D499" s="1199"/>
      <c r="E499" s="1199"/>
      <c r="F499" s="1199"/>
      <c r="G499" s="1199"/>
      <c r="H499" s="1199"/>
      <c r="I499" s="1200" t="e">
        <f ca="1">SUM(O494:Z494)-I497</f>
        <v>#N/A</v>
      </c>
      <c r="J499" s="1200"/>
      <c r="K499" s="1200"/>
      <c r="L499" s="1200"/>
      <c r="M499" s="1200"/>
      <c r="N499" s="1200"/>
      <c r="O499" s="1200"/>
      <c r="P499" s="1200"/>
      <c r="Q499" s="1200"/>
      <c r="R499" s="1200"/>
      <c r="S499" s="1200"/>
      <c r="T499" s="1200"/>
      <c r="U499" s="1200"/>
      <c r="V499" s="1200"/>
      <c r="W499" s="1200"/>
      <c r="X499" s="1200"/>
      <c r="Y499" s="1200"/>
      <c r="Z499" s="1201"/>
    </row>
  </sheetData>
  <mergeCells count="1961">
    <mergeCell ref="B92:E92"/>
    <mergeCell ref="F92:X92"/>
    <mergeCell ref="A499:H499"/>
    <mergeCell ref="I499:Z499"/>
    <mergeCell ref="A122:Z124"/>
    <mergeCell ref="A494:H494"/>
    <mergeCell ref="I494:K494"/>
    <mergeCell ref="L494:N494"/>
    <mergeCell ref="O494:P494"/>
    <mergeCell ref="Q494:R494"/>
    <mergeCell ref="S494:T494"/>
    <mergeCell ref="U494:V494"/>
    <mergeCell ref="W494:X494"/>
    <mergeCell ref="Y494:Z494"/>
    <mergeCell ref="B495:N495"/>
    <mergeCell ref="O495:P495"/>
    <mergeCell ref="Q495:R495"/>
    <mergeCell ref="S495:T495"/>
    <mergeCell ref="U495:V495"/>
    <mergeCell ref="W495:X495"/>
    <mergeCell ref="Y495:Z495"/>
    <mergeCell ref="A497:H497"/>
    <mergeCell ref="I497:Z497"/>
    <mergeCell ref="Y491:Z491"/>
    <mergeCell ref="C492:N492"/>
    <mergeCell ref="O492:P492"/>
    <mergeCell ref="Q492:R492"/>
    <mergeCell ref="S492:T492"/>
    <mergeCell ref="U492:V492"/>
    <mergeCell ref="W492:X492"/>
    <mergeCell ref="Y492:Z492"/>
    <mergeCell ref="A489:N489"/>
    <mergeCell ref="O489:P489"/>
    <mergeCell ref="Q489:R489"/>
    <mergeCell ref="S489:T489"/>
    <mergeCell ref="U489:V489"/>
    <mergeCell ref="W489:X489"/>
    <mergeCell ref="Y489:Z489"/>
    <mergeCell ref="B490:N490"/>
    <mergeCell ref="O490:P490"/>
    <mergeCell ref="Q490:R490"/>
    <mergeCell ref="S490:T490"/>
    <mergeCell ref="U490:V490"/>
    <mergeCell ref="W490:X490"/>
    <mergeCell ref="Y490:Z490"/>
    <mergeCell ref="A491:A492"/>
    <mergeCell ref="B491:N491"/>
    <mergeCell ref="O491:P491"/>
    <mergeCell ref="Q491:R491"/>
    <mergeCell ref="S491:T491"/>
    <mergeCell ref="U491:V491"/>
    <mergeCell ref="W491:X491"/>
    <mergeCell ref="O484:P484"/>
    <mergeCell ref="Q484:R484"/>
    <mergeCell ref="S484:T484"/>
    <mergeCell ref="C485:N485"/>
    <mergeCell ref="O485:P485"/>
    <mergeCell ref="Q485:R485"/>
    <mergeCell ref="S485:T485"/>
    <mergeCell ref="B486:N486"/>
    <mergeCell ref="O486:P486"/>
    <mergeCell ref="Q486:R486"/>
    <mergeCell ref="S486:T486"/>
    <mergeCell ref="U486:V486"/>
    <mergeCell ref="W486:X486"/>
    <mergeCell ref="Y486:Z486"/>
    <mergeCell ref="C487:N487"/>
    <mergeCell ref="O487:P487"/>
    <mergeCell ref="Q487:R487"/>
    <mergeCell ref="S487:T487"/>
    <mergeCell ref="U487:V487"/>
    <mergeCell ref="W487:X487"/>
    <mergeCell ref="Y487:Z487"/>
    <mergeCell ref="A450:A487"/>
    <mergeCell ref="B454:L454"/>
    <mergeCell ref="M454:N454"/>
    <mergeCell ref="O454:P454"/>
    <mergeCell ref="B478:N478"/>
    <mergeCell ref="O478:P478"/>
    <mergeCell ref="Q478:R478"/>
    <mergeCell ref="S478:T478"/>
    <mergeCell ref="U478:V478"/>
    <mergeCell ref="W478:X478"/>
    <mergeCell ref="Y478:Z478"/>
    <mergeCell ref="C479:N479"/>
    <mergeCell ref="O479:P479"/>
    <mergeCell ref="Q479:R479"/>
    <mergeCell ref="S479:T479"/>
    <mergeCell ref="U479:V479"/>
    <mergeCell ref="W479:X479"/>
    <mergeCell ref="Y479:Z479"/>
    <mergeCell ref="B480:I483"/>
    <mergeCell ref="J480:L483"/>
    <mergeCell ref="M480:N481"/>
    <mergeCell ref="O480:P480"/>
    <mergeCell ref="Q480:R480"/>
    <mergeCell ref="S480:T480"/>
    <mergeCell ref="U480:Z485"/>
    <mergeCell ref="O481:P481"/>
    <mergeCell ref="Q481:R481"/>
    <mergeCell ref="S481:T481"/>
    <mergeCell ref="M482:N483"/>
    <mergeCell ref="O482:P482"/>
    <mergeCell ref="Q482:R482"/>
    <mergeCell ref="S482:T482"/>
    <mergeCell ref="O483:P483"/>
    <mergeCell ref="Q483:R483"/>
    <mergeCell ref="S483:T483"/>
    <mergeCell ref="B484:N484"/>
    <mergeCell ref="B474:I477"/>
    <mergeCell ref="J474:L477"/>
    <mergeCell ref="M474:N475"/>
    <mergeCell ref="O474:P474"/>
    <mergeCell ref="Q474:R474"/>
    <mergeCell ref="S474:T474"/>
    <mergeCell ref="U474:V474"/>
    <mergeCell ref="W474:X474"/>
    <mergeCell ref="Y474:Z474"/>
    <mergeCell ref="O475:P475"/>
    <mergeCell ref="Q475:R475"/>
    <mergeCell ref="S475:T475"/>
    <mergeCell ref="U475:V475"/>
    <mergeCell ref="W475:X475"/>
    <mergeCell ref="Y475:Z475"/>
    <mergeCell ref="M476:N477"/>
    <mergeCell ref="O476:P476"/>
    <mergeCell ref="Q476:R476"/>
    <mergeCell ref="S476:T476"/>
    <mergeCell ref="U476:V476"/>
    <mergeCell ref="W476:X476"/>
    <mergeCell ref="Y476:Z476"/>
    <mergeCell ref="O477:P477"/>
    <mergeCell ref="Q477:R477"/>
    <mergeCell ref="S477:T477"/>
    <mergeCell ref="U477:V477"/>
    <mergeCell ref="W477:X477"/>
    <mergeCell ref="Y477:Z477"/>
    <mergeCell ref="C467:N467"/>
    <mergeCell ref="O467:P467"/>
    <mergeCell ref="Q467:R467"/>
    <mergeCell ref="S467:T467"/>
    <mergeCell ref="U467:V467"/>
    <mergeCell ref="W467:X467"/>
    <mergeCell ref="Y467:Z467"/>
    <mergeCell ref="B468:I471"/>
    <mergeCell ref="J468:L471"/>
    <mergeCell ref="M468:N469"/>
    <mergeCell ref="O468:P468"/>
    <mergeCell ref="Q468:R468"/>
    <mergeCell ref="S468:T468"/>
    <mergeCell ref="U468:Z473"/>
    <mergeCell ref="O469:P469"/>
    <mergeCell ref="Q469:R469"/>
    <mergeCell ref="S469:T469"/>
    <mergeCell ref="M470:N471"/>
    <mergeCell ref="O470:P470"/>
    <mergeCell ref="Q470:R470"/>
    <mergeCell ref="S470:T470"/>
    <mergeCell ref="O471:P471"/>
    <mergeCell ref="Q471:R471"/>
    <mergeCell ref="S471:T471"/>
    <mergeCell ref="B472:N472"/>
    <mergeCell ref="O472:P472"/>
    <mergeCell ref="Q472:R472"/>
    <mergeCell ref="S472:T472"/>
    <mergeCell ref="C473:N473"/>
    <mergeCell ref="O473:P473"/>
    <mergeCell ref="Q473:R473"/>
    <mergeCell ref="S473:T473"/>
    <mergeCell ref="O464:P464"/>
    <mergeCell ref="Q464:R464"/>
    <mergeCell ref="S464:T464"/>
    <mergeCell ref="U464:V464"/>
    <mergeCell ref="W464:X464"/>
    <mergeCell ref="Y464:Z464"/>
    <mergeCell ref="O465:P465"/>
    <mergeCell ref="Q465:R465"/>
    <mergeCell ref="S465:T465"/>
    <mergeCell ref="U465:V465"/>
    <mergeCell ref="W465:X465"/>
    <mergeCell ref="Y465:Z465"/>
    <mergeCell ref="B466:N466"/>
    <mergeCell ref="O466:P466"/>
    <mergeCell ref="Q466:R466"/>
    <mergeCell ref="S466:T466"/>
    <mergeCell ref="U466:V466"/>
    <mergeCell ref="W466:X466"/>
    <mergeCell ref="Y466:Z466"/>
    <mergeCell ref="B460:B461"/>
    <mergeCell ref="C460:L461"/>
    <mergeCell ref="M460:N460"/>
    <mergeCell ref="O460:P460"/>
    <mergeCell ref="Q460:R460"/>
    <mergeCell ref="S460:T460"/>
    <mergeCell ref="U460:V460"/>
    <mergeCell ref="W460:X460"/>
    <mergeCell ref="Y460:Z460"/>
    <mergeCell ref="M461:N461"/>
    <mergeCell ref="O461:P461"/>
    <mergeCell ref="Q461:R461"/>
    <mergeCell ref="S461:T461"/>
    <mergeCell ref="U461:V461"/>
    <mergeCell ref="W461:X461"/>
    <mergeCell ref="Y461:Z461"/>
    <mergeCell ref="B462:I465"/>
    <mergeCell ref="J462:L465"/>
    <mergeCell ref="M462:N463"/>
    <mergeCell ref="O462:P462"/>
    <mergeCell ref="Q462:R462"/>
    <mergeCell ref="S462:T462"/>
    <mergeCell ref="U462:V462"/>
    <mergeCell ref="W462:X462"/>
    <mergeCell ref="Y462:Z462"/>
    <mergeCell ref="O463:P463"/>
    <mergeCell ref="Q463:R463"/>
    <mergeCell ref="S463:T463"/>
    <mergeCell ref="U463:V463"/>
    <mergeCell ref="W463:X463"/>
    <mergeCell ref="Y463:Z463"/>
    <mergeCell ref="M464:N465"/>
    <mergeCell ref="Q456:R456"/>
    <mergeCell ref="S456:T456"/>
    <mergeCell ref="M457:N457"/>
    <mergeCell ref="O457:P457"/>
    <mergeCell ref="Q457:R457"/>
    <mergeCell ref="S457:T457"/>
    <mergeCell ref="B458:L458"/>
    <mergeCell ref="M458:N458"/>
    <mergeCell ref="O458:P458"/>
    <mergeCell ref="Q458:R458"/>
    <mergeCell ref="S458:T458"/>
    <mergeCell ref="U458:V458"/>
    <mergeCell ref="W458:X458"/>
    <mergeCell ref="Y458:Z458"/>
    <mergeCell ref="B459:L459"/>
    <mergeCell ref="M459:N459"/>
    <mergeCell ref="O459:P459"/>
    <mergeCell ref="Q459:R459"/>
    <mergeCell ref="S459:T459"/>
    <mergeCell ref="U459:V459"/>
    <mergeCell ref="W459:X459"/>
    <mergeCell ref="Y459:Z459"/>
    <mergeCell ref="W450:X450"/>
    <mergeCell ref="Y450:Z450"/>
    <mergeCell ref="B451:L451"/>
    <mergeCell ref="M451:N451"/>
    <mergeCell ref="O451:P451"/>
    <mergeCell ref="Q451:R451"/>
    <mergeCell ref="S451:T451"/>
    <mergeCell ref="U451:V451"/>
    <mergeCell ref="W451:X451"/>
    <mergeCell ref="Y451:Z451"/>
    <mergeCell ref="B452:B453"/>
    <mergeCell ref="C452:L453"/>
    <mergeCell ref="M452:N452"/>
    <mergeCell ref="O452:P452"/>
    <mergeCell ref="Q452:R452"/>
    <mergeCell ref="S452:T452"/>
    <mergeCell ref="U452:V452"/>
    <mergeCell ref="W452:X452"/>
    <mergeCell ref="Y452:Z452"/>
    <mergeCell ref="M453:N453"/>
    <mergeCell ref="O453:P453"/>
    <mergeCell ref="Q453:R453"/>
    <mergeCell ref="S453:T453"/>
    <mergeCell ref="U453:V453"/>
    <mergeCell ref="W453:X453"/>
    <mergeCell ref="Y453:Z453"/>
    <mergeCell ref="B450:L450"/>
    <mergeCell ref="M450:N450"/>
    <mergeCell ref="O450:P450"/>
    <mergeCell ref="Q450:R450"/>
    <mergeCell ref="S450:T450"/>
    <mergeCell ref="U450:V450"/>
    <mergeCell ref="Q454:R454"/>
    <mergeCell ref="S454:T454"/>
    <mergeCell ref="U454:Z457"/>
    <mergeCell ref="B455:L455"/>
    <mergeCell ref="M455:N455"/>
    <mergeCell ref="O455:P455"/>
    <mergeCell ref="Q455:R455"/>
    <mergeCell ref="S455:T455"/>
    <mergeCell ref="B456:B457"/>
    <mergeCell ref="C456:L457"/>
    <mergeCell ref="M456:N456"/>
    <mergeCell ref="O456:P456"/>
    <mergeCell ref="O446:P446"/>
    <mergeCell ref="Q446:R446"/>
    <mergeCell ref="S446:T446"/>
    <mergeCell ref="B447:N447"/>
    <mergeCell ref="O447:P447"/>
    <mergeCell ref="Q447:R447"/>
    <mergeCell ref="S447:T447"/>
    <mergeCell ref="A448:N448"/>
    <mergeCell ref="O448:P448"/>
    <mergeCell ref="Q448:R448"/>
    <mergeCell ref="S448:T448"/>
    <mergeCell ref="U448:V448"/>
    <mergeCell ref="W448:X448"/>
    <mergeCell ref="Y448:Z448"/>
    <mergeCell ref="B449:N449"/>
    <mergeCell ref="O449:P449"/>
    <mergeCell ref="Q449:R449"/>
    <mergeCell ref="S449:T449"/>
    <mergeCell ref="U449:V449"/>
    <mergeCell ref="W449:X449"/>
    <mergeCell ref="Y449:Z449"/>
    <mergeCell ref="A440:N440"/>
    <mergeCell ref="O440:P440"/>
    <mergeCell ref="Q440:R440"/>
    <mergeCell ref="S440:T440"/>
    <mergeCell ref="U440:V440"/>
    <mergeCell ref="W440:X440"/>
    <mergeCell ref="Y440:Z440"/>
    <mergeCell ref="B441:N441"/>
    <mergeCell ref="O441:P441"/>
    <mergeCell ref="Q441:R441"/>
    <mergeCell ref="S441:T441"/>
    <mergeCell ref="U441:V441"/>
    <mergeCell ref="W441:X441"/>
    <mergeCell ref="Y441:Z441"/>
    <mergeCell ref="A442:I445"/>
    <mergeCell ref="J442:L445"/>
    <mergeCell ref="M442:N443"/>
    <mergeCell ref="O442:P442"/>
    <mergeCell ref="Q442:R442"/>
    <mergeCell ref="S442:T442"/>
    <mergeCell ref="U442:Z447"/>
    <mergeCell ref="O443:P443"/>
    <mergeCell ref="Q443:R443"/>
    <mergeCell ref="S443:T443"/>
    <mergeCell ref="M444:N445"/>
    <mergeCell ref="O444:P444"/>
    <mergeCell ref="Q444:R444"/>
    <mergeCell ref="S444:T444"/>
    <mergeCell ref="O445:P445"/>
    <mergeCell ref="Q445:R445"/>
    <mergeCell ref="S445:T445"/>
    <mergeCell ref="A446:N446"/>
    <mergeCell ref="A436:I439"/>
    <mergeCell ref="J436:L439"/>
    <mergeCell ref="M436:N437"/>
    <mergeCell ref="O436:P436"/>
    <mergeCell ref="Q436:R436"/>
    <mergeCell ref="S436:T436"/>
    <mergeCell ref="U436:V436"/>
    <mergeCell ref="W436:X436"/>
    <mergeCell ref="Y436:Z436"/>
    <mergeCell ref="O437:P437"/>
    <mergeCell ref="Q437:R437"/>
    <mergeCell ref="S437:T437"/>
    <mergeCell ref="U437:V437"/>
    <mergeCell ref="W437:X437"/>
    <mergeCell ref="Y437:Z437"/>
    <mergeCell ref="M438:N439"/>
    <mergeCell ref="O438:P438"/>
    <mergeCell ref="Q438:R438"/>
    <mergeCell ref="S438:T438"/>
    <mergeCell ref="U438:V438"/>
    <mergeCell ref="W438:X438"/>
    <mergeCell ref="Y438:Z438"/>
    <mergeCell ref="O439:P439"/>
    <mergeCell ref="Q439:R439"/>
    <mergeCell ref="S439:T439"/>
    <mergeCell ref="U439:V439"/>
    <mergeCell ref="W439:X439"/>
    <mergeCell ref="Y439:Z439"/>
    <mergeCell ref="B429:N429"/>
    <mergeCell ref="O429:P429"/>
    <mergeCell ref="Q429:R429"/>
    <mergeCell ref="S429:T429"/>
    <mergeCell ref="U429:V429"/>
    <mergeCell ref="W429:X429"/>
    <mergeCell ref="Y429:Z429"/>
    <mergeCell ref="A430:I433"/>
    <mergeCell ref="J430:L433"/>
    <mergeCell ref="M430:N431"/>
    <mergeCell ref="O430:P430"/>
    <mergeCell ref="Q430:R430"/>
    <mergeCell ref="S430:T430"/>
    <mergeCell ref="U430:Z435"/>
    <mergeCell ref="O431:P431"/>
    <mergeCell ref="Q431:R431"/>
    <mergeCell ref="S431:T431"/>
    <mergeCell ref="M432:N433"/>
    <mergeCell ref="O432:P432"/>
    <mergeCell ref="Q432:R432"/>
    <mergeCell ref="S432:T432"/>
    <mergeCell ref="O433:P433"/>
    <mergeCell ref="Q433:R433"/>
    <mergeCell ref="S433:T433"/>
    <mergeCell ref="A434:N434"/>
    <mergeCell ref="O434:P434"/>
    <mergeCell ref="Q434:R434"/>
    <mergeCell ref="S434:T434"/>
    <mergeCell ref="B435:N435"/>
    <mergeCell ref="O435:P435"/>
    <mergeCell ref="Q435:R435"/>
    <mergeCell ref="S435:T435"/>
    <mergeCell ref="Q426:R426"/>
    <mergeCell ref="S426:T426"/>
    <mergeCell ref="U426:V426"/>
    <mergeCell ref="W426:X426"/>
    <mergeCell ref="Y426:Z426"/>
    <mergeCell ref="O427:P427"/>
    <mergeCell ref="Q427:R427"/>
    <mergeCell ref="S427:T427"/>
    <mergeCell ref="U427:V427"/>
    <mergeCell ref="W427:X427"/>
    <mergeCell ref="Y427:Z427"/>
    <mergeCell ref="A428:N428"/>
    <mergeCell ref="O428:P428"/>
    <mergeCell ref="Q428:R428"/>
    <mergeCell ref="S428:T428"/>
    <mergeCell ref="U428:V428"/>
    <mergeCell ref="W428:X428"/>
    <mergeCell ref="Y428:Z428"/>
    <mergeCell ref="B422:L423"/>
    <mergeCell ref="M422:N422"/>
    <mergeCell ref="O422:P422"/>
    <mergeCell ref="Q422:R422"/>
    <mergeCell ref="S422:T422"/>
    <mergeCell ref="U422:V422"/>
    <mergeCell ref="W422:X422"/>
    <mergeCell ref="Y422:Z422"/>
    <mergeCell ref="M423:N423"/>
    <mergeCell ref="O423:P423"/>
    <mergeCell ref="Q423:R423"/>
    <mergeCell ref="S423:T423"/>
    <mergeCell ref="U423:V423"/>
    <mergeCell ref="W423:X423"/>
    <mergeCell ref="Y423:Z423"/>
    <mergeCell ref="A424:I427"/>
    <mergeCell ref="J424:L427"/>
    <mergeCell ref="M424:N425"/>
    <mergeCell ref="O424:P424"/>
    <mergeCell ref="Q424:R424"/>
    <mergeCell ref="S424:T424"/>
    <mergeCell ref="U424:V424"/>
    <mergeCell ref="W424:X424"/>
    <mergeCell ref="Y424:Z424"/>
    <mergeCell ref="O425:P425"/>
    <mergeCell ref="Q425:R425"/>
    <mergeCell ref="S425:T425"/>
    <mergeCell ref="U425:V425"/>
    <mergeCell ref="W425:X425"/>
    <mergeCell ref="Y425:Z425"/>
    <mergeCell ref="M426:N427"/>
    <mergeCell ref="O426:P426"/>
    <mergeCell ref="O419:P419"/>
    <mergeCell ref="Q419:R419"/>
    <mergeCell ref="S419:T419"/>
    <mergeCell ref="A420:L420"/>
    <mergeCell ref="M420:N420"/>
    <mergeCell ref="O420:P420"/>
    <mergeCell ref="Q420:R420"/>
    <mergeCell ref="S420:T420"/>
    <mergeCell ref="U420:V420"/>
    <mergeCell ref="W420:X420"/>
    <mergeCell ref="Y420:Z420"/>
    <mergeCell ref="A421:L421"/>
    <mergeCell ref="M421:N421"/>
    <mergeCell ref="O421:P421"/>
    <mergeCell ref="Q421:R421"/>
    <mergeCell ref="S421:T421"/>
    <mergeCell ref="U421:V421"/>
    <mergeCell ref="W421:X421"/>
    <mergeCell ref="Y421:Z421"/>
    <mergeCell ref="B414:L415"/>
    <mergeCell ref="M414:N414"/>
    <mergeCell ref="O414:P414"/>
    <mergeCell ref="Q414:R414"/>
    <mergeCell ref="S414:T414"/>
    <mergeCell ref="U414:V414"/>
    <mergeCell ref="W414:X414"/>
    <mergeCell ref="Y414:Z414"/>
    <mergeCell ref="M415:N415"/>
    <mergeCell ref="O415:P415"/>
    <mergeCell ref="Q415:R415"/>
    <mergeCell ref="S415:T415"/>
    <mergeCell ref="U415:V415"/>
    <mergeCell ref="W415:X415"/>
    <mergeCell ref="Y415:Z415"/>
    <mergeCell ref="A416:L416"/>
    <mergeCell ref="M416:N416"/>
    <mergeCell ref="O416:P416"/>
    <mergeCell ref="Q416:R416"/>
    <mergeCell ref="S416:T416"/>
    <mergeCell ref="U416:Z419"/>
    <mergeCell ref="A417:L417"/>
    <mergeCell ref="M417:N417"/>
    <mergeCell ref="O417:P417"/>
    <mergeCell ref="Q417:R417"/>
    <mergeCell ref="S417:T417"/>
    <mergeCell ref="B418:L419"/>
    <mergeCell ref="M418:N418"/>
    <mergeCell ref="O418:P418"/>
    <mergeCell ref="Q418:R418"/>
    <mergeCell ref="S418:T418"/>
    <mergeCell ref="M419:N419"/>
    <mergeCell ref="A412:L412"/>
    <mergeCell ref="M412:N412"/>
    <mergeCell ref="O412:P412"/>
    <mergeCell ref="Q412:R412"/>
    <mergeCell ref="S412:T412"/>
    <mergeCell ref="U412:V412"/>
    <mergeCell ref="W412:X412"/>
    <mergeCell ref="Y412:Z412"/>
    <mergeCell ref="A413:L413"/>
    <mergeCell ref="M413:N413"/>
    <mergeCell ref="O413:P413"/>
    <mergeCell ref="Q413:R413"/>
    <mergeCell ref="S413:T413"/>
    <mergeCell ref="U413:V413"/>
    <mergeCell ref="W413:X413"/>
    <mergeCell ref="Y413:Z413"/>
    <mergeCell ref="B409:N409"/>
    <mergeCell ref="O409:P409"/>
    <mergeCell ref="Q409:R409"/>
    <mergeCell ref="S409:T409"/>
    <mergeCell ref="U409:V409"/>
    <mergeCell ref="W409:X409"/>
    <mergeCell ref="Y409:Z409"/>
    <mergeCell ref="C410:N410"/>
    <mergeCell ref="O410:P410"/>
    <mergeCell ref="Q410:R410"/>
    <mergeCell ref="S410:T410"/>
    <mergeCell ref="U410:V410"/>
    <mergeCell ref="W410:X410"/>
    <mergeCell ref="Y410:Z410"/>
    <mergeCell ref="A397:A410"/>
    <mergeCell ref="B397:L398"/>
    <mergeCell ref="B405:L405"/>
    <mergeCell ref="M405:N405"/>
    <mergeCell ref="O405:P405"/>
    <mergeCell ref="Q405:R405"/>
    <mergeCell ref="S405:T405"/>
    <mergeCell ref="U405:V405"/>
    <mergeCell ref="W405:X405"/>
    <mergeCell ref="Y405:Z405"/>
    <mergeCell ref="B406:L406"/>
    <mergeCell ref="M406:N406"/>
    <mergeCell ref="O406:P406"/>
    <mergeCell ref="Q406:R406"/>
    <mergeCell ref="S406:T406"/>
    <mergeCell ref="U406:V406"/>
    <mergeCell ref="W406:X406"/>
    <mergeCell ref="Y406:Z406"/>
    <mergeCell ref="B407:L407"/>
    <mergeCell ref="M407:N407"/>
    <mergeCell ref="O407:P407"/>
    <mergeCell ref="Q407:R407"/>
    <mergeCell ref="S407:T407"/>
    <mergeCell ref="U407:Z408"/>
    <mergeCell ref="B408:L408"/>
    <mergeCell ref="M408:N408"/>
    <mergeCell ref="O408:P408"/>
    <mergeCell ref="Q408:R408"/>
    <mergeCell ref="S408:T408"/>
    <mergeCell ref="B401:L402"/>
    <mergeCell ref="M401:N401"/>
    <mergeCell ref="O401:P401"/>
    <mergeCell ref="Q401:R401"/>
    <mergeCell ref="S401:T401"/>
    <mergeCell ref="U401:Z404"/>
    <mergeCell ref="M402:N402"/>
    <mergeCell ref="O402:P402"/>
    <mergeCell ref="Q402:R402"/>
    <mergeCell ref="S402:T402"/>
    <mergeCell ref="B403:B404"/>
    <mergeCell ref="C403:L404"/>
    <mergeCell ref="M403:N403"/>
    <mergeCell ref="O403:P403"/>
    <mergeCell ref="Q403:R403"/>
    <mergeCell ref="S403:T403"/>
    <mergeCell ref="M404:N404"/>
    <mergeCell ref="O404:P404"/>
    <mergeCell ref="Q404:R404"/>
    <mergeCell ref="S404:T404"/>
    <mergeCell ref="M397:N397"/>
    <mergeCell ref="O397:P397"/>
    <mergeCell ref="Q397:R397"/>
    <mergeCell ref="S397:T397"/>
    <mergeCell ref="U397:V397"/>
    <mergeCell ref="W397:X397"/>
    <mergeCell ref="Y397:Z397"/>
    <mergeCell ref="M398:N398"/>
    <mergeCell ref="O398:P398"/>
    <mergeCell ref="Q398:R398"/>
    <mergeCell ref="S398:T398"/>
    <mergeCell ref="U398:V398"/>
    <mergeCell ref="W398:X398"/>
    <mergeCell ref="Y398:Z398"/>
    <mergeCell ref="B399:B400"/>
    <mergeCell ref="C399:L400"/>
    <mergeCell ref="M399:N399"/>
    <mergeCell ref="O399:P399"/>
    <mergeCell ref="Q399:R399"/>
    <mergeCell ref="S399:T399"/>
    <mergeCell ref="U399:V399"/>
    <mergeCell ref="W399:X399"/>
    <mergeCell ref="Y399:Z399"/>
    <mergeCell ref="M400:N400"/>
    <mergeCell ref="O400:P400"/>
    <mergeCell ref="Q400:R400"/>
    <mergeCell ref="S400:T400"/>
    <mergeCell ref="U400:V400"/>
    <mergeCell ref="W400:X400"/>
    <mergeCell ref="Y400:Z400"/>
    <mergeCell ref="Y395:Z395"/>
    <mergeCell ref="B396:N396"/>
    <mergeCell ref="O396:P396"/>
    <mergeCell ref="Q396:R396"/>
    <mergeCell ref="S396:T396"/>
    <mergeCell ref="U396:V396"/>
    <mergeCell ref="W396:X396"/>
    <mergeCell ref="Y396:Z396"/>
    <mergeCell ref="A391:L391"/>
    <mergeCell ref="M391:N391"/>
    <mergeCell ref="O391:P391"/>
    <mergeCell ref="Q391:R391"/>
    <mergeCell ref="S391:T391"/>
    <mergeCell ref="U391:V391"/>
    <mergeCell ref="W391:X391"/>
    <mergeCell ref="Y391:Z391"/>
    <mergeCell ref="A392:L392"/>
    <mergeCell ref="M392:N392"/>
    <mergeCell ref="O392:P392"/>
    <mergeCell ref="Q392:R392"/>
    <mergeCell ref="S392:T392"/>
    <mergeCell ref="U392:V392"/>
    <mergeCell ref="W392:X392"/>
    <mergeCell ref="Y392:Z392"/>
    <mergeCell ref="A393:L393"/>
    <mergeCell ref="M393:N393"/>
    <mergeCell ref="Q388:R388"/>
    <mergeCell ref="S388:T388"/>
    <mergeCell ref="B389:L390"/>
    <mergeCell ref="M389:N389"/>
    <mergeCell ref="O389:P389"/>
    <mergeCell ref="Q389:R389"/>
    <mergeCell ref="S389:T389"/>
    <mergeCell ref="M390:N390"/>
    <mergeCell ref="O390:P390"/>
    <mergeCell ref="Q390:R390"/>
    <mergeCell ref="S390:T390"/>
    <mergeCell ref="A395:N395"/>
    <mergeCell ref="O395:P395"/>
    <mergeCell ref="Q395:R395"/>
    <mergeCell ref="S395:T395"/>
    <mergeCell ref="U395:V395"/>
    <mergeCell ref="W395:X395"/>
    <mergeCell ref="B385:L386"/>
    <mergeCell ref="M385:N385"/>
    <mergeCell ref="O385:P385"/>
    <mergeCell ref="Q385:R385"/>
    <mergeCell ref="S385:T385"/>
    <mergeCell ref="U385:V385"/>
    <mergeCell ref="W385:X385"/>
    <mergeCell ref="Y385:Z385"/>
    <mergeCell ref="M386:N386"/>
    <mergeCell ref="O386:P386"/>
    <mergeCell ref="Q386:R386"/>
    <mergeCell ref="S386:T386"/>
    <mergeCell ref="U386:V386"/>
    <mergeCell ref="W386:X386"/>
    <mergeCell ref="Y386:Z386"/>
    <mergeCell ref="O393:P393"/>
    <mergeCell ref="Q393:R393"/>
    <mergeCell ref="S393:T393"/>
    <mergeCell ref="U393:Z394"/>
    <mergeCell ref="A394:L394"/>
    <mergeCell ref="M394:N394"/>
    <mergeCell ref="O394:P394"/>
    <mergeCell ref="Q394:R394"/>
    <mergeCell ref="S394:T394"/>
    <mergeCell ref="A387:L388"/>
    <mergeCell ref="M387:N387"/>
    <mergeCell ref="O387:P387"/>
    <mergeCell ref="Q387:R387"/>
    <mergeCell ref="S387:T387"/>
    <mergeCell ref="U387:Z390"/>
    <mergeCell ref="M388:N388"/>
    <mergeCell ref="O388:P388"/>
    <mergeCell ref="A340:A341"/>
    <mergeCell ref="B340:H341"/>
    <mergeCell ref="I340:J341"/>
    <mergeCell ref="K340:L341"/>
    <mergeCell ref="M340:N341"/>
    <mergeCell ref="O340:Z341"/>
    <mergeCell ref="B342:B343"/>
    <mergeCell ref="C342:H342"/>
    <mergeCell ref="I342:L343"/>
    <mergeCell ref="M342:N342"/>
    <mergeCell ref="O342:Z342"/>
    <mergeCell ref="C343:H343"/>
    <mergeCell ref="M343:N343"/>
    <mergeCell ref="O343:Z343"/>
    <mergeCell ref="A383:L384"/>
    <mergeCell ref="M383:N383"/>
    <mergeCell ref="O383:P383"/>
    <mergeCell ref="Q383:R383"/>
    <mergeCell ref="S383:T383"/>
    <mergeCell ref="U383:V383"/>
    <mergeCell ref="W383:X383"/>
    <mergeCell ref="Y383:Z383"/>
    <mergeCell ref="M384:N384"/>
    <mergeCell ref="O384:P384"/>
    <mergeCell ref="Q384:R384"/>
    <mergeCell ref="S384:T384"/>
    <mergeCell ref="U384:V384"/>
    <mergeCell ref="W384:X384"/>
    <mergeCell ref="Y384:Z384"/>
    <mergeCell ref="A344:A346"/>
    <mergeCell ref="S345:T345"/>
    <mergeCell ref="U345:X345"/>
    <mergeCell ref="U316:X316"/>
    <mergeCell ref="Y316:Z316"/>
    <mergeCell ref="B317:B320"/>
    <mergeCell ref="C317:H318"/>
    <mergeCell ref="K317:L317"/>
    <mergeCell ref="O317:R317"/>
    <mergeCell ref="S317:T317"/>
    <mergeCell ref="U317:X317"/>
    <mergeCell ref="Y317:Z317"/>
    <mergeCell ref="K318:L318"/>
    <mergeCell ref="O318:R318"/>
    <mergeCell ref="S318:T318"/>
    <mergeCell ref="U318:X318"/>
    <mergeCell ref="Y318:Z318"/>
    <mergeCell ref="C319:H320"/>
    <mergeCell ref="K319:L319"/>
    <mergeCell ref="O319:R319"/>
    <mergeCell ref="S319:T319"/>
    <mergeCell ref="U319:X319"/>
    <mergeCell ref="Y319:Z319"/>
    <mergeCell ref="K320:L320"/>
    <mergeCell ref="O320:R320"/>
    <mergeCell ref="S320:T320"/>
    <mergeCell ref="U320:X320"/>
    <mergeCell ref="Y320:Z320"/>
    <mergeCell ref="O176:Z176"/>
    <mergeCell ref="N52:T52"/>
    <mergeCell ref="N53:T53"/>
    <mergeCell ref="A195:A196"/>
    <mergeCell ref="B195:H196"/>
    <mergeCell ref="I195:J195"/>
    <mergeCell ref="B308:H308"/>
    <mergeCell ref="I308:L308"/>
    <mergeCell ref="M308:N308"/>
    <mergeCell ref="O308:Z308"/>
    <mergeCell ref="A315:A316"/>
    <mergeCell ref="B315:H316"/>
    <mergeCell ref="I315:J320"/>
    <mergeCell ref="K315:L315"/>
    <mergeCell ref="M315:N315"/>
    <mergeCell ref="O315:R315"/>
    <mergeCell ref="S315:T315"/>
    <mergeCell ref="U315:X315"/>
    <mergeCell ref="Y315:Z315"/>
    <mergeCell ref="B212:N212"/>
    <mergeCell ref="O212:Q212"/>
    <mergeCell ref="R212:T212"/>
    <mergeCell ref="U212:W212"/>
    <mergeCell ref="X212:Z212"/>
    <mergeCell ref="A208:Z208"/>
    <mergeCell ref="A211:N211"/>
    <mergeCell ref="O211:Q211"/>
    <mergeCell ref="R211:T211"/>
    <mergeCell ref="U211:W211"/>
    <mergeCell ref="X211:Z211"/>
    <mergeCell ref="O210:Q210"/>
    <mergeCell ref="R210:T210"/>
    <mergeCell ref="A333:A334"/>
    <mergeCell ref="B333:H334"/>
    <mergeCell ref="I333:L334"/>
    <mergeCell ref="M333:N334"/>
    <mergeCell ref="O333:Z334"/>
    <mergeCell ref="O312:Z312"/>
    <mergeCell ref="O313:Z313"/>
    <mergeCell ref="O314:Z314"/>
    <mergeCell ref="M187:N187"/>
    <mergeCell ref="C188:H188"/>
    <mergeCell ref="M188:N188"/>
    <mergeCell ref="C191:H191"/>
    <mergeCell ref="M191:N191"/>
    <mergeCell ref="O191:Z191"/>
    <mergeCell ref="M192:N192"/>
    <mergeCell ref="O192:Z192"/>
    <mergeCell ref="M200:N200"/>
    <mergeCell ref="K201:L201"/>
    <mergeCell ref="U210:W210"/>
    <mergeCell ref="B312:H312"/>
    <mergeCell ref="I312:L312"/>
    <mergeCell ref="M312:N312"/>
    <mergeCell ref="B313:B314"/>
    <mergeCell ref="C313:H313"/>
    <mergeCell ref="I313:L314"/>
    <mergeCell ref="M313:N313"/>
    <mergeCell ref="C314:H314"/>
    <mergeCell ref="M314:N314"/>
    <mergeCell ref="K316:L316"/>
    <mergeCell ref="M316:N320"/>
    <mergeCell ref="O316:R316"/>
    <mergeCell ref="S316:T316"/>
    <mergeCell ref="L90:O90"/>
    <mergeCell ref="Q90:T90"/>
    <mergeCell ref="U90:X90"/>
    <mergeCell ref="L106:M106"/>
    <mergeCell ref="O106:P106"/>
    <mergeCell ref="H118:I118"/>
    <mergeCell ref="J21:T21"/>
    <mergeCell ref="N23:T23"/>
    <mergeCell ref="N24:T24"/>
    <mergeCell ref="N49:T49"/>
    <mergeCell ref="N50:T50"/>
    <mergeCell ref="N51:T51"/>
    <mergeCell ref="N29:T29"/>
    <mergeCell ref="N30:T30"/>
    <mergeCell ref="N37:T37"/>
    <mergeCell ref="N38:T38"/>
    <mergeCell ref="N25:T25"/>
    <mergeCell ref="N27:T27"/>
    <mergeCell ref="N28:T28"/>
    <mergeCell ref="N66:T66"/>
    <mergeCell ref="B94:Z94"/>
    <mergeCell ref="B91:E91"/>
    <mergeCell ref="F91:K91"/>
    <mergeCell ref="L91:N91"/>
    <mergeCell ref="O91:X91"/>
    <mergeCell ref="N67:T67"/>
    <mergeCell ref="N81:T81"/>
    <mergeCell ref="N82:T82"/>
    <mergeCell ref="H85:W85"/>
    <mergeCell ref="N71:T71"/>
    <mergeCell ref="N72:T72"/>
    <mergeCell ref="N73:T73"/>
    <mergeCell ref="N43:T43"/>
    <mergeCell ref="N44:T44"/>
    <mergeCell ref="N32:T32"/>
    <mergeCell ref="N33:T33"/>
    <mergeCell ref="N34:T34"/>
    <mergeCell ref="N36:T36"/>
    <mergeCell ref="N35:T35"/>
    <mergeCell ref="N45:T45"/>
    <mergeCell ref="B86:E86"/>
    <mergeCell ref="F86:X86"/>
    <mergeCell ref="B87:E87"/>
    <mergeCell ref="F87:X87"/>
    <mergeCell ref="N54:T54"/>
    <mergeCell ref="N55:T55"/>
    <mergeCell ref="N56:T56"/>
    <mergeCell ref="N57:T57"/>
    <mergeCell ref="N70:T70"/>
    <mergeCell ref="N62:T62"/>
    <mergeCell ref="N75:T75"/>
    <mergeCell ref="N76:T76"/>
    <mergeCell ref="N77:T77"/>
    <mergeCell ref="N74:T74"/>
    <mergeCell ref="N47:T47"/>
    <mergeCell ref="N78:T78"/>
    <mergeCell ref="N79:T79"/>
    <mergeCell ref="N80:T80"/>
    <mergeCell ref="H10:N10"/>
    <mergeCell ref="H11:N11"/>
    <mergeCell ref="O11:Z11"/>
    <mergeCell ref="H12:N12"/>
    <mergeCell ref="O12:Z12"/>
    <mergeCell ref="T1:U1"/>
    <mergeCell ref="A3:Z3"/>
    <mergeCell ref="I4:J4"/>
    <mergeCell ref="B6:G6"/>
    <mergeCell ref="H9:N9"/>
    <mergeCell ref="O9:Z9"/>
    <mergeCell ref="H16:N16"/>
    <mergeCell ref="O16:Z16"/>
    <mergeCell ref="A18:Z19"/>
    <mergeCell ref="N31:T31"/>
    <mergeCell ref="N65:T65"/>
    <mergeCell ref="N58:T58"/>
    <mergeCell ref="N59:T59"/>
    <mergeCell ref="N60:T60"/>
    <mergeCell ref="N61:T61"/>
    <mergeCell ref="N63:T63"/>
    <mergeCell ref="N64:T64"/>
    <mergeCell ref="H13:N13"/>
    <mergeCell ref="N68:T68"/>
    <mergeCell ref="N69:T69"/>
    <mergeCell ref="N39:T39"/>
    <mergeCell ref="N40:T40"/>
    <mergeCell ref="N41:T41"/>
    <mergeCell ref="N42:T42"/>
    <mergeCell ref="O13:Z13"/>
    <mergeCell ref="H14:N14"/>
    <mergeCell ref="O14:Z14"/>
    <mergeCell ref="H15:N15"/>
    <mergeCell ref="O15:Z15"/>
    <mergeCell ref="O10:W10"/>
    <mergeCell ref="X10:Z10"/>
    <mergeCell ref="N46:T46"/>
    <mergeCell ref="N48:T48"/>
    <mergeCell ref="B95:Z95"/>
    <mergeCell ref="A101:E101"/>
    <mergeCell ref="A98:E98"/>
    <mergeCell ref="F98:P98"/>
    <mergeCell ref="I100:J100"/>
    <mergeCell ref="F100:H100"/>
    <mergeCell ref="K100:L100"/>
    <mergeCell ref="M100:N100"/>
    <mergeCell ref="O100:P100"/>
    <mergeCell ref="F101:H101"/>
    <mergeCell ref="I101:J101"/>
    <mergeCell ref="K101:L101"/>
    <mergeCell ref="M101:N101"/>
    <mergeCell ref="O101:P101"/>
    <mergeCell ref="A99:E99"/>
    <mergeCell ref="F99:P99"/>
    <mergeCell ref="A100:E100"/>
    <mergeCell ref="B88:E90"/>
    <mergeCell ref="F88:M89"/>
    <mergeCell ref="N88:O89"/>
    <mergeCell ref="Q88:U89"/>
    <mergeCell ref="W88:X89"/>
    <mergeCell ref="F90:K90"/>
    <mergeCell ref="C141:H141"/>
    <mergeCell ref="M141:N141"/>
    <mergeCell ref="M151:N151"/>
    <mergeCell ref="I157:J157"/>
    <mergeCell ref="M157:N158"/>
    <mergeCell ref="B142:H142"/>
    <mergeCell ref="I142:L142"/>
    <mergeCell ref="M142:N142"/>
    <mergeCell ref="H119:I119"/>
    <mergeCell ref="J119:K119"/>
    <mergeCell ref="L119:M119"/>
    <mergeCell ref="I128:L128"/>
    <mergeCell ref="M128:N128"/>
    <mergeCell ref="M145:N145"/>
    <mergeCell ref="M148:N148"/>
    <mergeCell ref="M144:N144"/>
    <mergeCell ref="M139:N139"/>
    <mergeCell ref="B137:B138"/>
    <mergeCell ref="C137:H137"/>
    <mergeCell ref="I137:L138"/>
    <mergeCell ref="M137:N137"/>
    <mergeCell ref="B136:H136"/>
    <mergeCell ref="O142:T144"/>
    <mergeCell ref="M152:N152"/>
    <mergeCell ref="U142:Z142"/>
    <mergeCell ref="B143:B144"/>
    <mergeCell ref="C143:H143"/>
    <mergeCell ref="I143:L144"/>
    <mergeCell ref="M143:N143"/>
    <mergeCell ref="U143:Z143"/>
    <mergeCell ref="C144:H144"/>
    <mergeCell ref="U144:Z144"/>
    <mergeCell ref="M170:N170"/>
    <mergeCell ref="K162:L162"/>
    <mergeCell ref="M162:N162"/>
    <mergeCell ref="M159:N159"/>
    <mergeCell ref="O159:Z159"/>
    <mergeCell ref="X128:Z128"/>
    <mergeCell ref="B129:H129"/>
    <mergeCell ref="I129:N129"/>
    <mergeCell ref="O129:T129"/>
    <mergeCell ref="U129:Z129"/>
    <mergeCell ref="M138:N138"/>
    <mergeCell ref="O141:Z141"/>
    <mergeCell ref="O165:Q165"/>
    <mergeCell ref="R165:T165"/>
    <mergeCell ref="U165:W165"/>
    <mergeCell ref="X165:Z165"/>
    <mergeCell ref="B168:B169"/>
    <mergeCell ref="C168:H168"/>
    <mergeCell ref="M156:N156"/>
    <mergeCell ref="B159:B160"/>
    <mergeCell ref="C159:H159"/>
    <mergeCell ref="I146:L147"/>
    <mergeCell ref="X146:Z146"/>
    <mergeCell ref="C147:H147"/>
    <mergeCell ref="O160:Z160"/>
    <mergeCell ref="B161:H161"/>
    <mergeCell ref="I161:L161"/>
    <mergeCell ref="O161:Z161"/>
    <mergeCell ref="B162:H162"/>
    <mergeCell ref="I154:L154"/>
    <mergeCell ref="M154:N154"/>
    <mergeCell ref="O154:Z154"/>
    <mergeCell ref="B155:B156"/>
    <mergeCell ref="C155:H155"/>
    <mergeCell ref="I155:L156"/>
    <mergeCell ref="M155:N155"/>
    <mergeCell ref="O155:Z155"/>
    <mergeCell ref="C156:H156"/>
    <mergeCell ref="O156:Z156"/>
    <mergeCell ref="M160:N160"/>
    <mergeCell ref="I159:L160"/>
    <mergeCell ref="M146:N146"/>
    <mergeCell ref="M147:N147"/>
    <mergeCell ref="K157:L157"/>
    <mergeCell ref="B148:H148"/>
    <mergeCell ref="I148:L148"/>
    <mergeCell ref="B152:B153"/>
    <mergeCell ref="O162:Z162"/>
    <mergeCell ref="C152:H152"/>
    <mergeCell ref="I152:L153"/>
    <mergeCell ref="O152:Z152"/>
    <mergeCell ref="C153:H153"/>
    <mergeCell ref="O153:Z153"/>
    <mergeCell ref="O178:T178"/>
    <mergeCell ref="U178:W178"/>
    <mergeCell ref="X178:Z178"/>
    <mergeCell ref="C179:H179"/>
    <mergeCell ref="O179:T179"/>
    <mergeCell ref="U179:W179"/>
    <mergeCell ref="X179:Z179"/>
    <mergeCell ref="C178:H178"/>
    <mergeCell ref="O157:Z158"/>
    <mergeCell ref="I158:J158"/>
    <mergeCell ref="K170:L170"/>
    <mergeCell ref="O170:Z170"/>
    <mergeCell ref="B171:B172"/>
    <mergeCell ref="I171:L172"/>
    <mergeCell ref="O171:Z171"/>
    <mergeCell ref="C172:H172"/>
    <mergeCell ref="O172:Z172"/>
    <mergeCell ref="B177:H177"/>
    <mergeCell ref="I177:L177"/>
    <mergeCell ref="O177:T177"/>
    <mergeCell ref="U177:W177"/>
    <mergeCell ref="X177:Z177"/>
    <mergeCell ref="O175:Z175"/>
    <mergeCell ref="C176:H176"/>
    <mergeCell ref="B175:B176"/>
    <mergeCell ref="M176:N176"/>
    <mergeCell ref="K158:L158"/>
    <mergeCell ref="C175:H175"/>
    <mergeCell ref="M177:N177"/>
    <mergeCell ref="M172:N172"/>
    <mergeCell ref="M161:N161"/>
    <mergeCell ref="C160:H160"/>
    <mergeCell ref="O128:Q128"/>
    <mergeCell ref="R128:T128"/>
    <mergeCell ref="A111:G111"/>
    <mergeCell ref="A244:N244"/>
    <mergeCell ref="O244:Q244"/>
    <mergeCell ref="R244:T244"/>
    <mergeCell ref="U244:W244"/>
    <mergeCell ref="X244:Z244"/>
    <mergeCell ref="B245:N245"/>
    <mergeCell ref="O245:Q245"/>
    <mergeCell ref="R245:T245"/>
    <mergeCell ref="U245:W245"/>
    <mergeCell ref="X245:Z245"/>
    <mergeCell ref="A250:H250"/>
    <mergeCell ref="I250:Z250"/>
    <mergeCell ref="X247:Z247"/>
    <mergeCell ref="B248:N248"/>
    <mergeCell ref="O248:Q248"/>
    <mergeCell ref="R248:T248"/>
    <mergeCell ref="U248:W248"/>
    <mergeCell ref="X248:Z248"/>
    <mergeCell ref="A247:H247"/>
    <mergeCell ref="B223:N223"/>
    <mergeCell ref="O223:Q223"/>
    <mergeCell ref="B178:B179"/>
    <mergeCell ref="I178:L179"/>
    <mergeCell ref="M178:N179"/>
    <mergeCell ref="U128:W128"/>
    <mergeCell ref="F114:G114"/>
    <mergeCell ref="H114:I114"/>
    <mergeCell ref="D112:E112"/>
    <mergeCell ref="F112:G112"/>
    <mergeCell ref="A108:K108"/>
    <mergeCell ref="L108:M108"/>
    <mergeCell ref="O108:P108"/>
    <mergeCell ref="A109:K109"/>
    <mergeCell ref="L109:M109"/>
    <mergeCell ref="O109:P109"/>
    <mergeCell ref="B116:C116"/>
    <mergeCell ref="D116:E116"/>
    <mergeCell ref="F116:G116"/>
    <mergeCell ref="H116:I116"/>
    <mergeCell ref="J116:K116"/>
    <mergeCell ref="B117:C117"/>
    <mergeCell ref="D117:E117"/>
    <mergeCell ref="F117:G117"/>
    <mergeCell ref="A112:A115"/>
    <mergeCell ref="A116:A119"/>
    <mergeCell ref="O112:O115"/>
    <mergeCell ref="O116:O119"/>
    <mergeCell ref="B113:C113"/>
    <mergeCell ref="D113:E113"/>
    <mergeCell ref="F113:G113"/>
    <mergeCell ref="H113:I113"/>
    <mergeCell ref="J113:K113"/>
    <mergeCell ref="L113:M113"/>
    <mergeCell ref="B112:C112"/>
    <mergeCell ref="D119:E119"/>
    <mergeCell ref="F119:G119"/>
    <mergeCell ref="H111:R111"/>
    <mergeCell ref="J114:K114"/>
    <mergeCell ref="L114:M114"/>
    <mergeCell ref="B119:C119"/>
    <mergeCell ref="J118:K118"/>
    <mergeCell ref="H112:I112"/>
    <mergeCell ref="J112:K112"/>
    <mergeCell ref="L112:M112"/>
    <mergeCell ref="H115:I115"/>
    <mergeCell ref="J115:K115"/>
    <mergeCell ref="L115:M115"/>
    <mergeCell ref="B114:C114"/>
    <mergeCell ref="D114:E114"/>
    <mergeCell ref="B115:C115"/>
    <mergeCell ref="D115:E115"/>
    <mergeCell ref="F115:G115"/>
    <mergeCell ref="B118:C118"/>
    <mergeCell ref="D118:E118"/>
    <mergeCell ref="F118:G118"/>
    <mergeCell ref="I183:J183"/>
    <mergeCell ref="K183:L183"/>
    <mergeCell ref="L117:M117"/>
    <mergeCell ref="A128:H128"/>
    <mergeCell ref="C171:H171"/>
    <mergeCell ref="M171:N171"/>
    <mergeCell ref="I136:L136"/>
    <mergeCell ref="M136:N136"/>
    <mergeCell ref="C138:H138"/>
    <mergeCell ref="B170:H170"/>
    <mergeCell ref="I170:J170"/>
    <mergeCell ref="A157:A158"/>
    <mergeCell ref="B157:H158"/>
    <mergeCell ref="L118:M118"/>
    <mergeCell ref="I168:L169"/>
    <mergeCell ref="M153:N153"/>
    <mergeCell ref="L116:M116"/>
    <mergeCell ref="I162:J162"/>
    <mergeCell ref="B186:H186"/>
    <mergeCell ref="I186:L186"/>
    <mergeCell ref="M186:N186"/>
    <mergeCell ref="C187:H187"/>
    <mergeCell ref="I193:L194"/>
    <mergeCell ref="M193:N193"/>
    <mergeCell ref="O193:Z193"/>
    <mergeCell ref="O139:Z139"/>
    <mergeCell ref="B140:B141"/>
    <mergeCell ref="C140:H140"/>
    <mergeCell ref="I140:L141"/>
    <mergeCell ref="M140:N140"/>
    <mergeCell ref="O140:Z140"/>
    <mergeCell ref="O133:T133"/>
    <mergeCell ref="U133:Z133"/>
    <mergeCell ref="I134:J135"/>
    <mergeCell ref="M134:N134"/>
    <mergeCell ref="O134:Z135"/>
    <mergeCell ref="K135:L135"/>
    <mergeCell ref="M135:N135"/>
    <mergeCell ref="O136:Z136"/>
    <mergeCell ref="O137:Z137"/>
    <mergeCell ref="O138:Z138"/>
    <mergeCell ref="B139:H139"/>
    <mergeCell ref="B133:H135"/>
    <mergeCell ref="I133:J133"/>
    <mergeCell ref="M133:N133"/>
    <mergeCell ref="K133:L133"/>
    <mergeCell ref="K134:L134"/>
    <mergeCell ref="I139:L139"/>
    <mergeCell ref="I187:L188"/>
    <mergeCell ref="C190:H190"/>
    <mergeCell ref="I190:L191"/>
    <mergeCell ref="M190:N190"/>
    <mergeCell ref="O190:Z190"/>
    <mergeCell ref="B192:H192"/>
    <mergeCell ref="I192:L192"/>
    <mergeCell ref="C193:H193"/>
    <mergeCell ref="M205:N205"/>
    <mergeCell ref="K195:L195"/>
    <mergeCell ref="I196:J196"/>
    <mergeCell ref="K196:L196"/>
    <mergeCell ref="B200:H200"/>
    <mergeCell ref="I200:J200"/>
    <mergeCell ref="O200:Z200"/>
    <mergeCell ref="O183:Z183"/>
    <mergeCell ref="O184:Z184"/>
    <mergeCell ref="O185:Z185"/>
    <mergeCell ref="O186:Z186"/>
    <mergeCell ref="O187:Z187"/>
    <mergeCell ref="O188:Z188"/>
    <mergeCell ref="B189:H189"/>
    <mergeCell ref="I189:L189"/>
    <mergeCell ref="M189:N189"/>
    <mergeCell ref="O189:Z189"/>
    <mergeCell ref="B183:H183"/>
    <mergeCell ref="M183:N183"/>
    <mergeCell ref="C184:H184"/>
    <mergeCell ref="I184:L185"/>
    <mergeCell ref="M184:N184"/>
    <mergeCell ref="C185:H185"/>
    <mergeCell ref="M185:N185"/>
    <mergeCell ref="C194:H194"/>
    <mergeCell ref="M194:N194"/>
    <mergeCell ref="O194:Z194"/>
    <mergeCell ref="B201:H201"/>
    <mergeCell ref="I201:J201"/>
    <mergeCell ref="O201:Z201"/>
    <mergeCell ref="B204:H204"/>
    <mergeCell ref="I204:J204"/>
    <mergeCell ref="O204:Z204"/>
    <mergeCell ref="B205:H205"/>
    <mergeCell ref="I205:L205"/>
    <mergeCell ref="O205:Z205"/>
    <mergeCell ref="B206:H206"/>
    <mergeCell ref="I206:L206"/>
    <mergeCell ref="M206:N206"/>
    <mergeCell ref="O206:Z206"/>
    <mergeCell ref="I202:L202"/>
    <mergeCell ref="M202:N202"/>
    <mergeCell ref="O202:Z202"/>
    <mergeCell ref="B203:H203"/>
    <mergeCell ref="I203:L203"/>
    <mergeCell ref="M203:N203"/>
    <mergeCell ref="O203:Z203"/>
    <mergeCell ref="M201:N201"/>
    <mergeCell ref="K204:L204"/>
    <mergeCell ref="M204:N204"/>
    <mergeCell ref="M195:N195"/>
    <mergeCell ref="O195:Z195"/>
    <mergeCell ref="M196:N196"/>
    <mergeCell ref="O196:Z196"/>
    <mergeCell ref="K200:L200"/>
    <mergeCell ref="B202:H202"/>
    <mergeCell ref="X210:Z210"/>
    <mergeCell ref="A210:N210"/>
    <mergeCell ref="A207:Z207"/>
    <mergeCell ref="A216:N216"/>
    <mergeCell ref="O216:Q216"/>
    <mergeCell ref="R216:T216"/>
    <mergeCell ref="U216:W216"/>
    <mergeCell ref="X216:Z216"/>
    <mergeCell ref="A213:N213"/>
    <mergeCell ref="O213:Q213"/>
    <mergeCell ref="R213:T213"/>
    <mergeCell ref="U213:W213"/>
    <mergeCell ref="X213:Z213"/>
    <mergeCell ref="A217:N217"/>
    <mergeCell ref="O217:Q217"/>
    <mergeCell ref="R217:T217"/>
    <mergeCell ref="U217:W217"/>
    <mergeCell ref="X217:Z217"/>
    <mergeCell ref="B218:N218"/>
    <mergeCell ref="O218:Q218"/>
    <mergeCell ref="R218:T218"/>
    <mergeCell ref="U218:W218"/>
    <mergeCell ref="X218:Z218"/>
    <mergeCell ref="B214:N214"/>
    <mergeCell ref="O214:Q214"/>
    <mergeCell ref="R214:T214"/>
    <mergeCell ref="U214:W214"/>
    <mergeCell ref="X214:Z214"/>
    <mergeCell ref="A215:N215"/>
    <mergeCell ref="O215:Q215"/>
    <mergeCell ref="R215:T215"/>
    <mergeCell ref="U215:W215"/>
    <mergeCell ref="X215:Z215"/>
    <mergeCell ref="A220:N220"/>
    <mergeCell ref="O220:Q220"/>
    <mergeCell ref="R220:T220"/>
    <mergeCell ref="U220:W220"/>
    <mergeCell ref="X220:Z220"/>
    <mergeCell ref="B221:N221"/>
    <mergeCell ref="O221:Q221"/>
    <mergeCell ref="R221:T221"/>
    <mergeCell ref="U221:W221"/>
    <mergeCell ref="X221:Z221"/>
    <mergeCell ref="A222:N222"/>
    <mergeCell ref="O222:Q222"/>
    <mergeCell ref="R222:T222"/>
    <mergeCell ref="U222:W222"/>
    <mergeCell ref="X222:Z222"/>
    <mergeCell ref="U224:W224"/>
    <mergeCell ref="X224:Z224"/>
    <mergeCell ref="B225:N225"/>
    <mergeCell ref="O225:Q225"/>
    <mergeCell ref="R225:T225"/>
    <mergeCell ref="U225:W225"/>
    <mergeCell ref="X225:Z225"/>
    <mergeCell ref="R223:T223"/>
    <mergeCell ref="U223:W223"/>
    <mergeCell ref="X223:Z223"/>
    <mergeCell ref="A224:N224"/>
    <mergeCell ref="O224:Q224"/>
    <mergeCell ref="R224:T224"/>
    <mergeCell ref="A226:K226"/>
    <mergeCell ref="L226:N227"/>
    <mergeCell ref="O226:Q226"/>
    <mergeCell ref="R226:T226"/>
    <mergeCell ref="U226:W226"/>
    <mergeCell ref="X226:Z226"/>
    <mergeCell ref="A227:K227"/>
    <mergeCell ref="O227:Q227"/>
    <mergeCell ref="R227:T227"/>
    <mergeCell ref="U227:W227"/>
    <mergeCell ref="X227:Z227"/>
    <mergeCell ref="U228:W228"/>
    <mergeCell ref="X228:Z228"/>
    <mergeCell ref="B229:N229"/>
    <mergeCell ref="O229:Q229"/>
    <mergeCell ref="R229:T229"/>
    <mergeCell ref="U229:W229"/>
    <mergeCell ref="X229:Z229"/>
    <mergeCell ref="A230:K230"/>
    <mergeCell ref="L230:N231"/>
    <mergeCell ref="O230:Q230"/>
    <mergeCell ref="R230:T230"/>
    <mergeCell ref="U230:W230"/>
    <mergeCell ref="X230:Z230"/>
    <mergeCell ref="A231:K231"/>
    <mergeCell ref="O231:Q231"/>
    <mergeCell ref="R231:T231"/>
    <mergeCell ref="U231:W231"/>
    <mergeCell ref="X231:Z231"/>
    <mergeCell ref="A228:N228"/>
    <mergeCell ref="O228:Q228"/>
    <mergeCell ref="R228:T228"/>
    <mergeCell ref="X232:Z232"/>
    <mergeCell ref="B233:N233"/>
    <mergeCell ref="O233:Q233"/>
    <mergeCell ref="R233:T233"/>
    <mergeCell ref="U233:W233"/>
    <mergeCell ref="X233:Z233"/>
    <mergeCell ref="R234:T234"/>
    <mergeCell ref="U234:W234"/>
    <mergeCell ref="X234:Z234"/>
    <mergeCell ref="A235:K235"/>
    <mergeCell ref="O235:Q235"/>
    <mergeCell ref="R235:T235"/>
    <mergeCell ref="U235:W235"/>
    <mergeCell ref="X235:Z235"/>
    <mergeCell ref="A232:N232"/>
    <mergeCell ref="O232:Q232"/>
    <mergeCell ref="R232:T232"/>
    <mergeCell ref="U232:W232"/>
    <mergeCell ref="X236:Z236"/>
    <mergeCell ref="B237:N237"/>
    <mergeCell ref="O237:Q237"/>
    <mergeCell ref="R237:T237"/>
    <mergeCell ref="U237:W237"/>
    <mergeCell ref="X237:Z237"/>
    <mergeCell ref="O238:Q238"/>
    <mergeCell ref="R238:T238"/>
    <mergeCell ref="U238:W238"/>
    <mergeCell ref="X238:Z238"/>
    <mergeCell ref="A239:K239"/>
    <mergeCell ref="O239:Q239"/>
    <mergeCell ref="R239:T239"/>
    <mergeCell ref="U239:W239"/>
    <mergeCell ref="X239:Z239"/>
    <mergeCell ref="U236:W236"/>
    <mergeCell ref="O236:Q236"/>
    <mergeCell ref="R236:T236"/>
    <mergeCell ref="A242:N242"/>
    <mergeCell ref="O242:Q242"/>
    <mergeCell ref="H117:I117"/>
    <mergeCell ref="J117:K117"/>
    <mergeCell ref="M173:N174"/>
    <mergeCell ref="O173:Z174"/>
    <mergeCell ref="M169:N169"/>
    <mergeCell ref="O169:Z169"/>
    <mergeCell ref="R242:T242"/>
    <mergeCell ref="U242:W242"/>
    <mergeCell ref="X242:Z242"/>
    <mergeCell ref="T127:W127"/>
    <mergeCell ref="A132:H132"/>
    <mergeCell ref="B145:H145"/>
    <mergeCell ref="I145:L145"/>
    <mergeCell ref="B151:H151"/>
    <mergeCell ref="B154:H154"/>
    <mergeCell ref="A234:K234"/>
    <mergeCell ref="L234:N235"/>
    <mergeCell ref="O234:Q234"/>
    <mergeCell ref="R243:T243"/>
    <mergeCell ref="U243:W243"/>
    <mergeCell ref="X243:Z243"/>
    <mergeCell ref="A240:N240"/>
    <mergeCell ref="I151:J151"/>
    <mergeCell ref="O151:Z151"/>
    <mergeCell ref="O148:Z148"/>
    <mergeCell ref="B149:B150"/>
    <mergeCell ref="C146:H146"/>
    <mergeCell ref="O241:Q241"/>
    <mergeCell ref="R240:T240"/>
    <mergeCell ref="U240:W240"/>
    <mergeCell ref="X240:Z240"/>
    <mergeCell ref="O240:Q240"/>
    <mergeCell ref="R241:T241"/>
    <mergeCell ref="U241:W241"/>
    <mergeCell ref="X241:Z241"/>
    <mergeCell ref="O145:W147"/>
    <mergeCell ref="X145:Z145"/>
    <mergeCell ref="B146:B147"/>
    <mergeCell ref="B241:N241"/>
    <mergeCell ref="X147:Z147"/>
    <mergeCell ref="M149:N149"/>
    <mergeCell ref="M150:N150"/>
    <mergeCell ref="K151:L151"/>
    <mergeCell ref="C149:H149"/>
    <mergeCell ref="I149:L150"/>
    <mergeCell ref="O149:Z149"/>
    <mergeCell ref="C150:H150"/>
    <mergeCell ref="O150:Z150"/>
    <mergeCell ref="A238:K238"/>
    <mergeCell ref="L238:N239"/>
    <mergeCell ref="A260:H260"/>
    <mergeCell ref="I260:L260"/>
    <mergeCell ref="M260:N260"/>
    <mergeCell ref="O260:P260"/>
    <mergeCell ref="Q260:R260"/>
    <mergeCell ref="S260:T260"/>
    <mergeCell ref="U260:V260"/>
    <mergeCell ref="W260:X260"/>
    <mergeCell ref="Y260:Z260"/>
    <mergeCell ref="A166:A167"/>
    <mergeCell ref="B166:H167"/>
    <mergeCell ref="I166:L167"/>
    <mergeCell ref="M166:N167"/>
    <mergeCell ref="O166:Z167"/>
    <mergeCell ref="B173:H174"/>
    <mergeCell ref="A173:A174"/>
    <mergeCell ref="I173:J174"/>
    <mergeCell ref="K173:L174"/>
    <mergeCell ref="I247:K247"/>
    <mergeCell ref="L247:N247"/>
    <mergeCell ref="O247:Q247"/>
    <mergeCell ref="R247:T247"/>
    <mergeCell ref="U247:W247"/>
    <mergeCell ref="A236:N236"/>
    <mergeCell ref="A253:Z256"/>
    <mergeCell ref="I175:L176"/>
    <mergeCell ref="M175:N175"/>
    <mergeCell ref="M168:N168"/>
    <mergeCell ref="O168:Z168"/>
    <mergeCell ref="C169:H169"/>
    <mergeCell ref="B243:N243"/>
    <mergeCell ref="O243:Q243"/>
    <mergeCell ref="A263:A264"/>
    <mergeCell ref="B263:H264"/>
    <mergeCell ref="I263:J264"/>
    <mergeCell ref="K263:L263"/>
    <mergeCell ref="M263:N264"/>
    <mergeCell ref="O263:R263"/>
    <mergeCell ref="S263:T263"/>
    <mergeCell ref="U263:X263"/>
    <mergeCell ref="Y263:Z263"/>
    <mergeCell ref="K264:L264"/>
    <mergeCell ref="O264:R264"/>
    <mergeCell ref="S264:T264"/>
    <mergeCell ref="U264:X264"/>
    <mergeCell ref="Y264:Z264"/>
    <mergeCell ref="A261:A262"/>
    <mergeCell ref="B261:H262"/>
    <mergeCell ref="I261:J262"/>
    <mergeCell ref="K261:L261"/>
    <mergeCell ref="M261:N262"/>
    <mergeCell ref="O261:R261"/>
    <mergeCell ref="S261:T261"/>
    <mergeCell ref="U261:X261"/>
    <mergeCell ref="Y261:Z261"/>
    <mergeCell ref="K262:L262"/>
    <mergeCell ref="O262:R262"/>
    <mergeCell ref="S262:T262"/>
    <mergeCell ref="U262:X262"/>
    <mergeCell ref="Y262:Z262"/>
    <mergeCell ref="A268:A270"/>
    <mergeCell ref="I268:J268"/>
    <mergeCell ref="K268:L268"/>
    <mergeCell ref="M268:Z268"/>
    <mergeCell ref="I269:J270"/>
    <mergeCell ref="K269:L269"/>
    <mergeCell ref="M269:N270"/>
    <mergeCell ref="O269:R269"/>
    <mergeCell ref="S269:T269"/>
    <mergeCell ref="U269:X269"/>
    <mergeCell ref="Y269:Z269"/>
    <mergeCell ref="K270:L270"/>
    <mergeCell ref="O270:R270"/>
    <mergeCell ref="S270:T270"/>
    <mergeCell ref="U270:X270"/>
    <mergeCell ref="Y270:Z270"/>
    <mergeCell ref="I271:J272"/>
    <mergeCell ref="K271:L271"/>
    <mergeCell ref="M271:N271"/>
    <mergeCell ref="O271:Z278"/>
    <mergeCell ref="K272:L272"/>
    <mergeCell ref="M272:N272"/>
    <mergeCell ref="I273:J274"/>
    <mergeCell ref="K273:L273"/>
    <mergeCell ref="M273:N273"/>
    <mergeCell ref="K274:L274"/>
    <mergeCell ref="M278:N278"/>
    <mergeCell ref="O281:Z288"/>
    <mergeCell ref="K282:L282"/>
    <mergeCell ref="M282:N282"/>
    <mergeCell ref="I283:J284"/>
    <mergeCell ref="K283:L283"/>
    <mergeCell ref="M283:N283"/>
    <mergeCell ref="K284:L284"/>
    <mergeCell ref="M284:N284"/>
    <mergeCell ref="I285:J286"/>
    <mergeCell ref="K285:L285"/>
    <mergeCell ref="M274:N274"/>
    <mergeCell ref="I275:J276"/>
    <mergeCell ref="K275:L275"/>
    <mergeCell ref="M275:N275"/>
    <mergeCell ref="K276:L276"/>
    <mergeCell ref="M276:N276"/>
    <mergeCell ref="O279:R279"/>
    <mergeCell ref="S279:T279"/>
    <mergeCell ref="U279:X279"/>
    <mergeCell ref="Y279:Z279"/>
    <mergeCell ref="K280:L280"/>
    <mergeCell ref="O280:R280"/>
    <mergeCell ref="S280:T280"/>
    <mergeCell ref="U280:X280"/>
    <mergeCell ref="Y280:Z280"/>
    <mergeCell ref="I277:J278"/>
    <mergeCell ref="K277:L277"/>
    <mergeCell ref="M277:N277"/>
    <mergeCell ref="K278:L278"/>
    <mergeCell ref="A279:A280"/>
    <mergeCell ref="I279:J280"/>
    <mergeCell ref="K279:L279"/>
    <mergeCell ref="M279:N280"/>
    <mergeCell ref="M285:N285"/>
    <mergeCell ref="K286:L286"/>
    <mergeCell ref="M286:N286"/>
    <mergeCell ref="I287:J288"/>
    <mergeCell ref="K287:L287"/>
    <mergeCell ref="M287:N287"/>
    <mergeCell ref="K288:L288"/>
    <mergeCell ref="M288:N288"/>
    <mergeCell ref="A292:A293"/>
    <mergeCell ref="B292:H293"/>
    <mergeCell ref="I292:J293"/>
    <mergeCell ref="K292:L293"/>
    <mergeCell ref="M292:N293"/>
    <mergeCell ref="I281:J282"/>
    <mergeCell ref="K281:L281"/>
    <mergeCell ref="M281:N281"/>
    <mergeCell ref="O292:Z293"/>
    <mergeCell ref="B294:B295"/>
    <mergeCell ref="C294:H294"/>
    <mergeCell ref="I294:L295"/>
    <mergeCell ref="M294:N294"/>
    <mergeCell ref="O294:Z294"/>
    <mergeCell ref="C295:H295"/>
    <mergeCell ref="M295:N295"/>
    <mergeCell ref="O295:Z295"/>
    <mergeCell ref="B289:H289"/>
    <mergeCell ref="I289:L289"/>
    <mergeCell ref="M289:N289"/>
    <mergeCell ref="O289:R291"/>
    <mergeCell ref="S289:T289"/>
    <mergeCell ref="U289:Z291"/>
    <mergeCell ref="B290:B291"/>
    <mergeCell ref="C290:H290"/>
    <mergeCell ref="I290:L291"/>
    <mergeCell ref="M290:N290"/>
    <mergeCell ref="S290:T290"/>
    <mergeCell ref="C291:H291"/>
    <mergeCell ref="M291:N291"/>
    <mergeCell ref="S291:T291"/>
    <mergeCell ref="B298:B300"/>
    <mergeCell ref="C298:H299"/>
    <mergeCell ref="I298:J300"/>
    <mergeCell ref="K298:L298"/>
    <mergeCell ref="M298:N298"/>
    <mergeCell ref="O298:T298"/>
    <mergeCell ref="U298:Z298"/>
    <mergeCell ref="K299:L299"/>
    <mergeCell ref="M299:N299"/>
    <mergeCell ref="O299:T299"/>
    <mergeCell ref="U299:Z299"/>
    <mergeCell ref="C300:H300"/>
    <mergeCell ref="K300:L300"/>
    <mergeCell ref="M300:N300"/>
    <mergeCell ref="O300:Z300"/>
    <mergeCell ref="A296:A297"/>
    <mergeCell ref="B296:H297"/>
    <mergeCell ref="I296:J297"/>
    <mergeCell ref="K296:L296"/>
    <mergeCell ref="M296:N296"/>
    <mergeCell ref="O296:T296"/>
    <mergeCell ref="U296:Z296"/>
    <mergeCell ref="K297:L297"/>
    <mergeCell ref="M297:N297"/>
    <mergeCell ref="O297:T297"/>
    <mergeCell ref="U297:Z297"/>
    <mergeCell ref="K304:L304"/>
    <mergeCell ref="A305:A306"/>
    <mergeCell ref="B305:H306"/>
    <mergeCell ref="I305:J306"/>
    <mergeCell ref="K305:L305"/>
    <mergeCell ref="M305:N306"/>
    <mergeCell ref="O305:Z306"/>
    <mergeCell ref="K306:L306"/>
    <mergeCell ref="B301:H301"/>
    <mergeCell ref="I301:J301"/>
    <mergeCell ref="K301:L301"/>
    <mergeCell ref="M301:N301"/>
    <mergeCell ref="B302:B303"/>
    <mergeCell ref="C302:H302"/>
    <mergeCell ref="I302:L303"/>
    <mergeCell ref="M302:N302"/>
    <mergeCell ref="C303:H303"/>
    <mergeCell ref="M303:N303"/>
    <mergeCell ref="B323:B326"/>
    <mergeCell ref="C323:H324"/>
    <mergeCell ref="I323:J326"/>
    <mergeCell ref="K323:L323"/>
    <mergeCell ref="O323:R323"/>
    <mergeCell ref="S323:T323"/>
    <mergeCell ref="U323:X323"/>
    <mergeCell ref="Y323:Z323"/>
    <mergeCell ref="K324:L324"/>
    <mergeCell ref="O324:R324"/>
    <mergeCell ref="S324:T324"/>
    <mergeCell ref="U324:X324"/>
    <mergeCell ref="Y324:Z324"/>
    <mergeCell ref="C325:H326"/>
    <mergeCell ref="K325:L325"/>
    <mergeCell ref="O325:R325"/>
    <mergeCell ref="S325:T325"/>
    <mergeCell ref="U325:X325"/>
    <mergeCell ref="Y325:Z325"/>
    <mergeCell ref="K326:L326"/>
    <mergeCell ref="O326:R326"/>
    <mergeCell ref="S326:T326"/>
    <mergeCell ref="U326:X326"/>
    <mergeCell ref="Y326:Z326"/>
    <mergeCell ref="A321:A322"/>
    <mergeCell ref="B321:H322"/>
    <mergeCell ref="I321:J321"/>
    <mergeCell ref="K321:L321"/>
    <mergeCell ref="M321:N321"/>
    <mergeCell ref="O321:R321"/>
    <mergeCell ref="S321:T321"/>
    <mergeCell ref="U321:X321"/>
    <mergeCell ref="Y321:Z321"/>
    <mergeCell ref="I322:J322"/>
    <mergeCell ref="K322:L322"/>
    <mergeCell ref="M322:N326"/>
    <mergeCell ref="O322:R322"/>
    <mergeCell ref="S322:T322"/>
    <mergeCell ref="U322:X322"/>
    <mergeCell ref="Y322:Z322"/>
    <mergeCell ref="A327:A328"/>
    <mergeCell ref="B327:H328"/>
    <mergeCell ref="I327:J332"/>
    <mergeCell ref="K327:L327"/>
    <mergeCell ref="M327:N332"/>
    <mergeCell ref="O327:R327"/>
    <mergeCell ref="S327:T327"/>
    <mergeCell ref="U327:X327"/>
    <mergeCell ref="Y327:Z327"/>
    <mergeCell ref="K328:L328"/>
    <mergeCell ref="O328:R328"/>
    <mergeCell ref="S328:T328"/>
    <mergeCell ref="U328:X328"/>
    <mergeCell ref="Y328:Z328"/>
    <mergeCell ref="B329:B332"/>
    <mergeCell ref="C329:H330"/>
    <mergeCell ref="K329:L329"/>
    <mergeCell ref="O329:R329"/>
    <mergeCell ref="S329:T329"/>
    <mergeCell ref="U329:X329"/>
    <mergeCell ref="Y329:Z329"/>
    <mergeCell ref="K330:L330"/>
    <mergeCell ref="O330:R330"/>
    <mergeCell ref="S330:T330"/>
    <mergeCell ref="U330:X330"/>
    <mergeCell ref="Y330:Z330"/>
    <mergeCell ref="C331:H332"/>
    <mergeCell ref="K331:L331"/>
    <mergeCell ref="O331:R331"/>
    <mergeCell ref="S331:T331"/>
    <mergeCell ref="U331:X331"/>
    <mergeCell ref="Y331:Z331"/>
    <mergeCell ref="K332:L332"/>
    <mergeCell ref="O332:R332"/>
    <mergeCell ref="B335:B336"/>
    <mergeCell ref="C335:H335"/>
    <mergeCell ref="I335:L336"/>
    <mergeCell ref="S332:T332"/>
    <mergeCell ref="U332:X332"/>
    <mergeCell ref="Y332:Z332"/>
    <mergeCell ref="M335:N335"/>
    <mergeCell ref="O335:Z335"/>
    <mergeCell ref="C336:H336"/>
    <mergeCell ref="M336:N336"/>
    <mergeCell ref="O336:Z336"/>
    <mergeCell ref="K348:L348"/>
    <mergeCell ref="O348:R348"/>
    <mergeCell ref="S348:T348"/>
    <mergeCell ref="U348:X348"/>
    <mergeCell ref="Y348:Z348"/>
    <mergeCell ref="B337:H337"/>
    <mergeCell ref="I337:J337"/>
    <mergeCell ref="K337:L337"/>
    <mergeCell ref="B338:B339"/>
    <mergeCell ref="C338:H338"/>
    <mergeCell ref="I338:L339"/>
    <mergeCell ref="M338:N338"/>
    <mergeCell ref="O338:Z338"/>
    <mergeCell ref="C339:H339"/>
    <mergeCell ref="M339:N339"/>
    <mergeCell ref="O339:Z339"/>
    <mergeCell ref="M337:N337"/>
    <mergeCell ref="O337:Z337"/>
    <mergeCell ref="C349:H350"/>
    <mergeCell ref="K349:L349"/>
    <mergeCell ref="O349:R349"/>
    <mergeCell ref="S349:T349"/>
    <mergeCell ref="U349:X349"/>
    <mergeCell ref="Y349:Z349"/>
    <mergeCell ref="K350:L350"/>
    <mergeCell ref="O350:R350"/>
    <mergeCell ref="S350:T350"/>
    <mergeCell ref="U350:X350"/>
    <mergeCell ref="Y350:Z350"/>
    <mergeCell ref="B344:H346"/>
    <mergeCell ref="I344:L344"/>
    <mergeCell ref="M344:N344"/>
    <mergeCell ref="O344:Z344"/>
    <mergeCell ref="I345:J350"/>
    <mergeCell ref="K345:L345"/>
    <mergeCell ref="M345:N350"/>
    <mergeCell ref="O345:R345"/>
    <mergeCell ref="Y346:Z346"/>
    <mergeCell ref="B347:B350"/>
    <mergeCell ref="C347:H348"/>
    <mergeCell ref="K347:L347"/>
    <mergeCell ref="O347:R347"/>
    <mergeCell ref="S347:T347"/>
    <mergeCell ref="U347:X347"/>
    <mergeCell ref="Y347:Z347"/>
    <mergeCell ref="B367:H367"/>
    <mergeCell ref="B353:B356"/>
    <mergeCell ref="C353:H354"/>
    <mergeCell ref="I351:J356"/>
    <mergeCell ref="M351:N356"/>
    <mergeCell ref="K351:L351"/>
    <mergeCell ref="S351:T351"/>
    <mergeCell ref="U351:X351"/>
    <mergeCell ref="Y351:Z351"/>
    <mergeCell ref="K352:L352"/>
    <mergeCell ref="I361:L362"/>
    <mergeCell ref="A363:A364"/>
    <mergeCell ref="B363:H364"/>
    <mergeCell ref="I363:J363"/>
    <mergeCell ref="K363:L363"/>
    <mergeCell ref="M363:N363"/>
    <mergeCell ref="O363:Z363"/>
    <mergeCell ref="I364:J364"/>
    <mergeCell ref="K364:L364"/>
    <mergeCell ref="M364:N364"/>
    <mergeCell ref="O364:Z364"/>
    <mergeCell ref="A359:H359"/>
    <mergeCell ref="I359:L359"/>
    <mergeCell ref="M359:N359"/>
    <mergeCell ref="O359:P359"/>
    <mergeCell ref="Q359:R359"/>
    <mergeCell ref="S359:T359"/>
    <mergeCell ref="U359:V359"/>
    <mergeCell ref="W359:X359"/>
    <mergeCell ref="Y359:Z359"/>
    <mergeCell ref="B360:H360"/>
    <mergeCell ref="O361:Z361"/>
    <mergeCell ref="A102:E102"/>
    <mergeCell ref="F102:H102"/>
    <mergeCell ref="I102:J102"/>
    <mergeCell ref="K102:L102"/>
    <mergeCell ref="M102:N102"/>
    <mergeCell ref="O102:P102"/>
    <mergeCell ref="B304:H304"/>
    <mergeCell ref="I304:J304"/>
    <mergeCell ref="M304:N304"/>
    <mergeCell ref="O304:Z304"/>
    <mergeCell ref="I132:L132"/>
    <mergeCell ref="M132:N132"/>
    <mergeCell ref="O132:Q132"/>
    <mergeCell ref="R132:T132"/>
    <mergeCell ref="U132:W132"/>
    <mergeCell ref="X132:Z132"/>
    <mergeCell ref="I360:J360"/>
    <mergeCell ref="K360:L360"/>
    <mergeCell ref="M360:N360"/>
    <mergeCell ref="O360:Z360"/>
    <mergeCell ref="Y345:Z345"/>
    <mergeCell ref="K346:L346"/>
    <mergeCell ref="O346:R346"/>
    <mergeCell ref="S346:T346"/>
    <mergeCell ref="U346:X346"/>
    <mergeCell ref="O352:R352"/>
    <mergeCell ref="S352:T352"/>
    <mergeCell ref="U352:X352"/>
    <mergeCell ref="A107:K107"/>
    <mergeCell ref="Y354:Z354"/>
    <mergeCell ref="C355:H356"/>
    <mergeCell ref="K355:L355"/>
    <mergeCell ref="A371:A372"/>
    <mergeCell ref="B371:H372"/>
    <mergeCell ref="I371:L371"/>
    <mergeCell ref="M371:N372"/>
    <mergeCell ref="O371:Z372"/>
    <mergeCell ref="I372:L372"/>
    <mergeCell ref="B368:H368"/>
    <mergeCell ref="I368:J368"/>
    <mergeCell ref="K368:L368"/>
    <mergeCell ref="M368:N368"/>
    <mergeCell ref="O368:Z368"/>
    <mergeCell ref="B373:H373"/>
    <mergeCell ref="B369:H369"/>
    <mergeCell ref="I369:L369"/>
    <mergeCell ref="M369:N369"/>
    <mergeCell ref="O369:Z369"/>
    <mergeCell ref="B370:H370"/>
    <mergeCell ref="I370:L370"/>
    <mergeCell ref="M370:N370"/>
    <mergeCell ref="O370:Z370"/>
    <mergeCell ref="I373:J373"/>
    <mergeCell ref="K373:L373"/>
    <mergeCell ref="M373:N373"/>
    <mergeCell ref="O373:Z373"/>
    <mergeCell ref="B378:H378"/>
    <mergeCell ref="I378:L378"/>
    <mergeCell ref="M378:N378"/>
    <mergeCell ref="O378:Z378"/>
    <mergeCell ref="B375:H375"/>
    <mergeCell ref="I375:J375"/>
    <mergeCell ref="K375:L375"/>
    <mergeCell ref="M375:N375"/>
    <mergeCell ref="O375:Z375"/>
    <mergeCell ref="B307:H307"/>
    <mergeCell ref="I307:L307"/>
    <mergeCell ref="M307:N307"/>
    <mergeCell ref="C376:H376"/>
    <mergeCell ref="B374:H374"/>
    <mergeCell ref="I374:L374"/>
    <mergeCell ref="M374:N374"/>
    <mergeCell ref="O374:Z374"/>
    <mergeCell ref="B366:H366"/>
    <mergeCell ref="I376:L377"/>
    <mergeCell ref="M376:N376"/>
    <mergeCell ref="O376:Z376"/>
    <mergeCell ref="C377:H377"/>
    <mergeCell ref="M377:N377"/>
    <mergeCell ref="O377:Z377"/>
    <mergeCell ref="I367:J367"/>
    <mergeCell ref="K367:L367"/>
    <mergeCell ref="M367:N367"/>
    <mergeCell ref="O367:Z367"/>
    <mergeCell ref="O355:R355"/>
    <mergeCell ref="S355:T355"/>
    <mergeCell ref="U355:X355"/>
    <mergeCell ref="Y355:Z355"/>
    <mergeCell ref="A103:E103"/>
    <mergeCell ref="F103:P103"/>
    <mergeCell ref="A106:K106"/>
    <mergeCell ref="O307:Z307"/>
    <mergeCell ref="O301:T301"/>
    <mergeCell ref="O302:T302"/>
    <mergeCell ref="O303:T303"/>
    <mergeCell ref="U301:Z303"/>
    <mergeCell ref="O382:P382"/>
    <mergeCell ref="Q382:R382"/>
    <mergeCell ref="S382:T382"/>
    <mergeCell ref="U382:V382"/>
    <mergeCell ref="W382:X382"/>
    <mergeCell ref="Y382:Z382"/>
    <mergeCell ref="A382:N382"/>
    <mergeCell ref="A267:H267"/>
    <mergeCell ref="I267:L267"/>
    <mergeCell ref="M267:N267"/>
    <mergeCell ref="O267:P267"/>
    <mergeCell ref="Q267:R267"/>
    <mergeCell ref="S267:T267"/>
    <mergeCell ref="U267:V267"/>
    <mergeCell ref="W267:X267"/>
    <mergeCell ref="Y267:Z267"/>
    <mergeCell ref="A311:H311"/>
    <mergeCell ref="I311:L311"/>
    <mergeCell ref="M311:N311"/>
    <mergeCell ref="O311:P311"/>
    <mergeCell ref="Q311:R311"/>
    <mergeCell ref="A379:Z379"/>
    <mergeCell ref="A380:Z380"/>
    <mergeCell ref="X182:Z182"/>
    <mergeCell ref="I366:J366"/>
    <mergeCell ref="K366:L366"/>
    <mergeCell ref="M366:N366"/>
    <mergeCell ref="O366:Z366"/>
    <mergeCell ref="T114:W114"/>
    <mergeCell ref="T115:W115"/>
    <mergeCell ref="P114:S115"/>
    <mergeCell ref="P118:S119"/>
    <mergeCell ref="U311:V311"/>
    <mergeCell ref="W311:X311"/>
    <mergeCell ref="Y311:Z311"/>
    <mergeCell ref="M165:N165"/>
    <mergeCell ref="Y352:Z352"/>
    <mergeCell ref="O351:R351"/>
    <mergeCell ref="A125:V125"/>
    <mergeCell ref="A165:H165"/>
    <mergeCell ref="I165:L165"/>
    <mergeCell ref="A182:H182"/>
    <mergeCell ref="I182:L182"/>
    <mergeCell ref="M182:N182"/>
    <mergeCell ref="O182:Q182"/>
    <mergeCell ref="R182:T182"/>
    <mergeCell ref="U182:W182"/>
    <mergeCell ref="A351:A352"/>
    <mergeCell ref="B351:H352"/>
    <mergeCell ref="B268:H270"/>
    <mergeCell ref="B279:H280"/>
    <mergeCell ref="K356:L356"/>
    <mergeCell ref="O356:R356"/>
    <mergeCell ref="S356:T356"/>
    <mergeCell ref="U356:X356"/>
    <mergeCell ref="Y356:Z356"/>
    <mergeCell ref="L107:M107"/>
    <mergeCell ref="I197:J199"/>
    <mergeCell ref="K197:L199"/>
    <mergeCell ref="M197:N199"/>
    <mergeCell ref="A197:A199"/>
    <mergeCell ref="B197:H199"/>
    <mergeCell ref="T118:V118"/>
    <mergeCell ref="T119:V119"/>
    <mergeCell ref="W118:Z118"/>
    <mergeCell ref="W119:Z119"/>
    <mergeCell ref="B365:H365"/>
    <mergeCell ref="I365:J365"/>
    <mergeCell ref="K365:L365"/>
    <mergeCell ref="M365:N365"/>
    <mergeCell ref="O365:Z365"/>
    <mergeCell ref="O197:Z199"/>
    <mergeCell ref="S311:T311"/>
    <mergeCell ref="K353:L353"/>
    <mergeCell ref="O353:R353"/>
    <mergeCell ref="S353:T353"/>
    <mergeCell ref="U353:X353"/>
    <mergeCell ref="Y353:Z353"/>
    <mergeCell ref="O107:P107"/>
    <mergeCell ref="C362:H362"/>
    <mergeCell ref="M362:N362"/>
    <mergeCell ref="O362:Z362"/>
    <mergeCell ref="C361:H361"/>
    <mergeCell ref="M361:N361"/>
    <mergeCell ref="K354:L354"/>
    <mergeCell ref="O354:R354"/>
    <mergeCell ref="S354:T354"/>
    <mergeCell ref="U354:X354"/>
  </mergeCells>
  <phoneticPr fontId="1"/>
  <dataValidations count="41">
    <dataValidation type="list" allowBlank="1" showInputMessage="1" showErrorMessage="1" sqref="T1:U1 I4:J4">
      <formula1>$AA$1:$AJ$1</formula1>
    </dataValidation>
    <dataValidation type="list" allowBlank="1" showInputMessage="1" showErrorMessage="1" sqref="W1 M4 P4">
      <formula1>$AA$2:$AL$2</formula1>
    </dataValidation>
    <dataValidation type="list" allowBlank="1" showInputMessage="1" showErrorMessage="1" sqref="Y1">
      <formula1>$AA$3:$BE$3</formula1>
    </dataValidation>
    <dataValidation type="list" allowBlank="1" showInputMessage="1" showErrorMessage="1" sqref="A18:Z19">
      <formula1>$AA$18:$AF$18</formula1>
    </dataValidation>
    <dataValidation type="list" allowBlank="1" showInputMessage="1" showErrorMessage="1" sqref="H85:W85">
      <formula1>$AA$85:$AD$85</formula1>
    </dataValidation>
    <dataValidation type="list" allowBlank="1" showInputMessage="1" showErrorMessage="1" sqref="N88:P89">
      <formula1>$AA$88:$AC$88</formula1>
    </dataValidation>
    <dataValidation type="list" allowBlank="1" showInputMessage="1" showErrorMessage="1" sqref="F91:K91">
      <formula1>$AA$91:$AB$91</formula1>
    </dataValidation>
    <dataValidation type="list" allowBlank="1" showInputMessage="1" showErrorMessage="1" sqref="A3:Z3">
      <formula1>$AA$6:$AD$6</formula1>
    </dataValidation>
    <dataValidation type="list" allowBlank="1" showInputMessage="1" showErrorMessage="1" sqref="K158:L158">
      <formula1>$AA$158:$AF$158</formula1>
    </dataValidation>
    <dataValidation type="list" allowBlank="1" showInputMessage="1" showErrorMessage="1" sqref="O226:Z227 O234:Z235 O230:Z231 O238:Z239">
      <formula1>$AA$226:$AU$226</formula1>
    </dataValidation>
    <dataValidation type="list" allowBlank="1" showInputMessage="1" showErrorMessage="1" sqref="K200:L200">
      <formula1>$AA$200:$AE$200</formula1>
    </dataValidation>
    <dataValidation type="list" allowBlank="1" showInputMessage="1" showErrorMessage="1" sqref="K201:L201 K368:L368">
      <formula1>$AA$201:$AC$201</formula1>
    </dataValidation>
    <dataValidation type="list" allowBlank="1" showInputMessage="1" showErrorMessage="1" sqref="K195:L196">
      <formula1>$AA$195:$AU$195</formula1>
    </dataValidation>
    <dataValidation type="list" allowBlank="1" showInputMessage="1" showErrorMessage="1" sqref="K183">
      <formula1>$AA$183:$AC$183</formula1>
    </dataValidation>
    <dataValidation type="list" allowBlank="1" showInputMessage="1" showErrorMessage="1" sqref="K157">
      <formula1>$AA$157:$AC$157</formula1>
    </dataValidation>
    <dataValidation type="list" allowBlank="1" showInputMessage="1" showErrorMessage="1" sqref="K151 K301">
      <formula1>$AA$151:$AN$151</formula1>
    </dataValidation>
    <dataValidation type="list" allowBlank="1" showInputMessage="1" showErrorMessage="1" sqref="F103">
      <formula1>$AA$103:$AH$103</formula1>
    </dataValidation>
    <dataValidation type="list" allowBlank="1" showInputMessage="1" showErrorMessage="1" sqref="L106:M109 O106:P109">
      <formula1>$AA$106:$IU$106</formula1>
    </dataValidation>
    <dataValidation type="list" allowBlank="1" showInputMessage="1" showErrorMessage="1" sqref="I374:L374 I369:L370 I307:L308 I378:L378 I344:L344 I333:L334 I289:L289 I296:J297">
      <formula1>$AA$289:$AB$289</formula1>
    </dataValidation>
    <dataValidation type="list" allowBlank="1" showInputMessage="1" showErrorMessage="1" sqref="K363:L364">
      <formula1>$AA$363:$AU$363</formula1>
    </dataValidation>
    <dataValidation type="list" allowBlank="1" showInputMessage="1" showErrorMessage="1" sqref="I372:L372">
      <formula1>$AA$371:$AC$371</formula1>
    </dataValidation>
    <dataValidation type="list" allowBlank="1" showInputMessage="1" showErrorMessage="1" sqref="K367:L367">
      <formula1>$AA$367:$AE$367</formula1>
    </dataValidation>
    <dataValidation type="list" allowBlank="1" showInputMessage="1" showErrorMessage="1" sqref="K292:L293">
      <formula1>$AA$292:$AO$292</formula1>
    </dataValidation>
    <dataValidation type="list" allowBlank="1" showInputMessage="1" showErrorMessage="1" sqref="K304:L305">
      <formula1>$AA$304:$AC$304</formula1>
    </dataValidation>
    <dataValidation type="list" allowBlank="1" showInputMessage="1" showErrorMessage="1" sqref="K306:L306">
      <formula1>$AA$306:$AD$306</formula1>
    </dataValidation>
    <dataValidation type="list" allowBlank="1" showInputMessage="1" showErrorMessage="1" sqref="K375:L375">
      <formula1>$AA$375:$AD$375</formula1>
    </dataValidation>
    <dataValidation type="list" allowBlank="1" showInputMessage="1" showErrorMessage="1" sqref="I322:J322">
      <formula1>$AA$321:$AE$321</formula1>
    </dataValidation>
    <dataValidation type="list" allowBlank="1" showInputMessage="1" showErrorMessage="1" sqref="K360:L360">
      <formula1>$AA$360:$AC$360</formula1>
    </dataValidation>
    <dataValidation type="list" allowBlank="1" showInputMessage="1" showErrorMessage="1" sqref="U470:Z471 U444:Z445 U432:Z433 U482:Z483">
      <formula1>$AA$100:$AU$100</formula1>
    </dataValidation>
    <dataValidation type="list" allowBlank="1" showInputMessage="1" showErrorMessage="1" sqref="O424:Z427 O480:T483 O474:Z477 O468:T471 O462:Z465 O442:T445 O436:Z439 O430:T433">
      <formula1>$AA$424:$AZ$424</formula1>
    </dataValidation>
    <dataValidation type="list" allowBlank="1" showInputMessage="1" showErrorMessage="1" sqref="K133:L133">
      <formula1>$AA$133:$AR$133</formula1>
    </dataValidation>
    <dataValidation type="list" allowBlank="1" showInputMessage="1" showErrorMessage="1" sqref="I136:L136 I189:L189 I202:L203 I205:L206 I192:L192 I186:L186 I177:L177 I166:L167 I161:L161 I154:L154 I148:L148 I145:L145 I142:L142 I139:L139">
      <formula1>$AA$136:$AB$136</formula1>
    </dataValidation>
    <dataValidation type="list" allowBlank="1" showInputMessage="1" showErrorMessage="1" sqref="K268:L268">
      <formula1>$AA$268:$AR$268</formula1>
    </dataValidation>
    <dataValidation type="list" allowBlank="1" showInputMessage="1" showErrorMessage="1" sqref="B94:Z95">
      <formula1>$AA$94:$AF$94</formula1>
    </dataValidation>
    <dataValidation type="list" allowBlank="1" showInputMessage="1" showErrorMessage="1" sqref="K162:L162">
      <formula1>$AA$162:$AU$162</formula1>
    </dataValidation>
    <dataValidation type="list" allowBlank="1" showInputMessage="1" showErrorMessage="1" sqref="W88:X89">
      <formula1>$AA$89:$AB$89</formula1>
    </dataValidation>
    <dataValidation type="list" allowBlank="1" showInputMessage="1" showErrorMessage="1" sqref="K197">
      <formula1>$AA$197:$DW$197</formula1>
    </dataValidation>
    <dataValidation type="list" allowBlank="1" showInputMessage="1" showErrorMessage="1" sqref="K366:L366">
      <formula1>$AA$366:$DW$366</formula1>
    </dataValidation>
    <dataValidation type="list" allowBlank="1" showInputMessage="1" showErrorMessage="1" sqref="K365:L365">
      <formula1>$AA$365:$DW$365</formula1>
    </dataValidation>
    <dataValidation type="list" allowBlank="1" showInputMessage="1" showErrorMessage="1" sqref="A125:V125">
      <formula1>$AA$125:$AD$125</formula1>
    </dataValidation>
    <dataValidation type="list" allowBlank="1" showInputMessage="1" showErrorMessage="1" sqref="W125:Z125">
      <formula1>$AA$110:$AC$110</formula1>
    </dataValidation>
  </dataValidations>
  <pageMargins left="0.70866141732283472" right="0.70866141732283472" top="0.74803149606299213" bottom="0.74803149606299213" header="0.31496062992125984" footer="0.31496062992125984"/>
  <pageSetup paperSize="9" scale="76" fitToWidth="0" orientation="portrait" r:id="rId1"/>
  <headerFooter>
    <oddFooter>&amp;P ページ</oddFooter>
  </headerFooter>
  <rowBreaks count="4" manualBreakCount="4">
    <brk id="124" max="25" man="1"/>
    <brk id="180" max="25" man="1"/>
    <brk id="258" max="25" man="1"/>
    <brk id="35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BH197"/>
  <sheetViews>
    <sheetView view="pageBreakPreview" zoomScale="85" zoomScaleNormal="100" zoomScaleSheetLayoutView="85" workbookViewId="0">
      <selection activeCell="F29" sqref="F29:H29"/>
    </sheetView>
  </sheetViews>
  <sheetFormatPr defaultRowHeight="13.5"/>
  <cols>
    <col min="1" max="26" width="3.625" style="462" customWidth="1"/>
    <col min="27" max="28" width="9" style="462" customWidth="1"/>
    <col min="29" max="53" width="9" style="463" customWidth="1"/>
    <col min="54" max="62" width="9" style="462" customWidth="1"/>
    <col min="63" max="16384" width="9" style="462"/>
  </cols>
  <sheetData>
    <row r="1" spans="1:60" ht="13.5" customHeight="1">
      <c r="A1" s="462" t="s">
        <v>606</v>
      </c>
      <c r="Q1" s="463">
        <f>'請求書（認定こども園）'!M4</f>
        <v>4</v>
      </c>
      <c r="R1" s="462" t="s">
        <v>19</v>
      </c>
      <c r="S1" s="464" t="s">
        <v>54</v>
      </c>
      <c r="T1" s="465">
        <f>'請求書（認定こども園）'!P4</f>
        <v>4</v>
      </c>
      <c r="U1" s="462" t="s">
        <v>561</v>
      </c>
    </row>
    <row r="2" spans="1:60" ht="13.5" customHeight="1">
      <c r="A2" s="1249" t="s">
        <v>44</v>
      </c>
      <c r="B2" s="1249"/>
      <c r="C2" s="1249"/>
      <c r="D2" s="1249"/>
      <c r="E2" s="1249"/>
      <c r="F2" s="1250" t="str">
        <f>'請求書（認定こども園）'!O14</f>
        <v>○〇認定こども園</v>
      </c>
      <c r="G2" s="1251"/>
      <c r="H2" s="1251"/>
      <c r="I2" s="1251"/>
      <c r="J2" s="1251"/>
      <c r="K2" s="1251"/>
      <c r="L2" s="1251"/>
      <c r="M2" s="1252"/>
    </row>
    <row r="3" spans="1:60" ht="13.5" customHeight="1">
      <c r="A3" s="381"/>
      <c r="B3" s="381"/>
      <c r="C3" s="381"/>
      <c r="D3" s="381"/>
      <c r="E3" s="381"/>
      <c r="F3" s="464"/>
      <c r="G3" s="464"/>
      <c r="H3" s="464"/>
      <c r="I3" s="464"/>
      <c r="J3" s="464"/>
      <c r="K3" s="464"/>
      <c r="L3" s="464"/>
      <c r="M3" s="464"/>
    </row>
    <row r="4" spans="1:60" ht="13.5" customHeight="1">
      <c r="A4" s="360" t="s">
        <v>753</v>
      </c>
      <c r="B4" s="382"/>
      <c r="C4" s="382"/>
      <c r="D4" s="382"/>
      <c r="E4" s="382"/>
      <c r="F4" s="382"/>
      <c r="G4" s="382"/>
      <c r="H4" s="382"/>
      <c r="I4" s="382"/>
      <c r="J4" s="382"/>
      <c r="K4" s="382"/>
      <c r="L4" s="382"/>
      <c r="M4" s="382"/>
      <c r="N4" s="382"/>
      <c r="O4" s="382"/>
      <c r="P4" s="382"/>
      <c r="Q4" s="382"/>
      <c r="R4" s="382"/>
      <c r="S4" s="382"/>
      <c r="T4" s="382"/>
      <c r="U4" s="382"/>
      <c r="V4" s="382"/>
      <c r="W4" s="382"/>
      <c r="X4" s="382"/>
      <c r="Y4" s="382"/>
      <c r="Z4" s="382"/>
    </row>
    <row r="5" spans="1:60" ht="13.5" customHeight="1">
      <c r="A5" s="462" t="s">
        <v>562</v>
      </c>
    </row>
    <row r="6" spans="1:60" ht="13.5" customHeight="1">
      <c r="A6" s="462" t="s">
        <v>563</v>
      </c>
    </row>
    <row r="7" spans="1:60" ht="13.5" customHeight="1">
      <c r="A7" s="1217" t="s">
        <v>564</v>
      </c>
      <c r="B7" s="1217"/>
      <c r="C7" s="1241" t="s">
        <v>621</v>
      </c>
      <c r="D7" s="1245"/>
      <c r="E7" s="1242"/>
      <c r="F7" s="1217" t="s">
        <v>622</v>
      </c>
      <c r="G7" s="1217"/>
      <c r="H7" s="1217"/>
      <c r="I7" s="1241" t="s">
        <v>565</v>
      </c>
      <c r="J7" s="1242"/>
      <c r="K7" s="1247" t="s">
        <v>567</v>
      </c>
      <c r="L7" s="1248"/>
      <c r="M7" s="1248"/>
      <c r="N7" s="1248"/>
      <c r="O7" s="1248"/>
      <c r="P7" s="1248"/>
      <c r="Q7" s="1217" t="s">
        <v>720</v>
      </c>
      <c r="R7" s="1217"/>
      <c r="S7" s="1217"/>
      <c r="T7" s="1217"/>
      <c r="U7" s="504"/>
      <c r="V7" s="504"/>
      <c r="W7" s="504"/>
      <c r="X7" s="504"/>
      <c r="Y7" s="504"/>
      <c r="Z7" s="504"/>
      <c r="AA7" s="1221" t="s">
        <v>568</v>
      </c>
      <c r="AB7" s="1222"/>
      <c r="AC7" s="1222"/>
      <c r="AD7" s="1223"/>
      <c r="AE7" s="1224" t="s">
        <v>569</v>
      </c>
      <c r="AF7" s="1225" t="s">
        <v>570</v>
      </c>
      <c r="AG7" s="1225"/>
      <c r="AH7" s="1225"/>
      <c r="AI7" s="1225"/>
      <c r="AJ7" s="1225" t="s">
        <v>571</v>
      </c>
      <c r="AK7" s="1225"/>
      <c r="AL7" s="1225"/>
      <c r="AM7" s="1225"/>
    </row>
    <row r="8" spans="1:60" ht="13.5" customHeight="1">
      <c r="A8" s="1217"/>
      <c r="B8" s="1217"/>
      <c r="C8" s="1243"/>
      <c r="D8" s="1246"/>
      <c r="E8" s="1244"/>
      <c r="F8" s="1217"/>
      <c r="G8" s="1217"/>
      <c r="H8" s="1217"/>
      <c r="I8" s="1243"/>
      <c r="J8" s="1244"/>
      <c r="K8" s="1241" t="s">
        <v>572</v>
      </c>
      <c r="L8" s="1242"/>
      <c r="M8" s="1241" t="s">
        <v>573</v>
      </c>
      <c r="N8" s="1242"/>
      <c r="O8" s="1241" t="s">
        <v>574</v>
      </c>
      <c r="P8" s="1242"/>
      <c r="Q8" s="1217"/>
      <c r="R8" s="1217"/>
      <c r="S8" s="1217"/>
      <c r="T8" s="1217"/>
      <c r="U8" s="504"/>
      <c r="V8" s="504"/>
      <c r="W8" s="504"/>
      <c r="X8" s="504"/>
      <c r="Y8" s="504"/>
      <c r="Z8" s="504"/>
      <c r="AA8" s="1238" t="s">
        <v>120</v>
      </c>
      <c r="AB8" s="1238" t="s">
        <v>121</v>
      </c>
      <c r="AC8" s="1214" t="s">
        <v>132</v>
      </c>
      <c r="AD8" s="1214" t="s">
        <v>575</v>
      </c>
      <c r="AE8" s="1224"/>
      <c r="AF8" s="1225"/>
      <c r="AG8" s="1225"/>
      <c r="AH8" s="1225"/>
      <c r="AI8" s="1225"/>
      <c r="AJ8" s="1225"/>
      <c r="AK8" s="1225"/>
      <c r="AL8" s="1225"/>
      <c r="AM8" s="1225"/>
    </row>
    <row r="9" spans="1:60" ht="13.5" customHeight="1">
      <c r="A9" s="1217"/>
      <c r="B9" s="1217"/>
      <c r="C9" s="1243"/>
      <c r="D9" s="1246"/>
      <c r="E9" s="1244"/>
      <c r="F9" s="1217"/>
      <c r="G9" s="1217"/>
      <c r="H9" s="1217"/>
      <c r="I9" s="1243"/>
      <c r="J9" s="1244"/>
      <c r="K9" s="1243"/>
      <c r="L9" s="1244"/>
      <c r="M9" s="1243"/>
      <c r="N9" s="1244"/>
      <c r="O9" s="1243"/>
      <c r="P9" s="1244"/>
      <c r="Q9" s="1217" t="s">
        <v>576</v>
      </c>
      <c r="R9" s="1217"/>
      <c r="S9" s="1217" t="s">
        <v>80</v>
      </c>
      <c r="T9" s="1217"/>
      <c r="U9" s="504"/>
      <c r="V9" s="504"/>
      <c r="W9" s="504"/>
      <c r="X9" s="504"/>
      <c r="Y9" s="504"/>
      <c r="Z9" s="504"/>
      <c r="AA9" s="1239"/>
      <c r="AB9" s="1239"/>
      <c r="AC9" s="1215"/>
      <c r="AD9" s="1215"/>
      <c r="AE9" s="1224"/>
      <c r="AF9" s="1219" t="s">
        <v>577</v>
      </c>
      <c r="AG9" s="1219" t="s">
        <v>578</v>
      </c>
      <c r="AH9" s="1219" t="s">
        <v>579</v>
      </c>
      <c r="AI9" s="1219" t="s">
        <v>580</v>
      </c>
      <c r="AJ9" s="1219" t="s">
        <v>577</v>
      </c>
      <c r="AK9" s="1219" t="s">
        <v>578</v>
      </c>
      <c r="AL9" s="1219" t="s">
        <v>579</v>
      </c>
      <c r="AM9" s="1219" t="s">
        <v>580</v>
      </c>
    </row>
    <row r="10" spans="1:60" ht="13.5" customHeight="1">
      <c r="A10" s="1218"/>
      <c r="B10" s="1218"/>
      <c r="C10" s="1243"/>
      <c r="D10" s="1246"/>
      <c r="E10" s="1244"/>
      <c r="F10" s="1218"/>
      <c r="G10" s="1218"/>
      <c r="H10" s="1218"/>
      <c r="I10" s="1243"/>
      <c r="J10" s="1244"/>
      <c r="K10" s="1243"/>
      <c r="L10" s="1244"/>
      <c r="M10" s="1243"/>
      <c r="N10" s="1244"/>
      <c r="O10" s="1243"/>
      <c r="P10" s="1244"/>
      <c r="Q10" s="1218"/>
      <c r="R10" s="1218"/>
      <c r="S10" s="1218"/>
      <c r="T10" s="1218"/>
      <c r="U10" s="504"/>
      <c r="V10" s="504"/>
      <c r="W10" s="504"/>
      <c r="X10" s="504"/>
      <c r="Y10" s="504"/>
      <c r="Z10" s="504"/>
      <c r="AA10" s="1240"/>
      <c r="AB10" s="1240"/>
      <c r="AC10" s="1216"/>
      <c r="AD10" s="1216"/>
      <c r="AE10" s="1224"/>
      <c r="AF10" s="1220"/>
      <c r="AG10" s="1220"/>
      <c r="AH10" s="1220"/>
      <c r="AI10" s="1220"/>
      <c r="AJ10" s="1220"/>
      <c r="AK10" s="1220"/>
      <c r="AL10" s="1220"/>
      <c r="AM10" s="1220"/>
    </row>
    <row r="11" spans="1:60" ht="13.5" customHeight="1">
      <c r="A11" s="1232">
        <v>1</v>
      </c>
      <c r="B11" s="1233"/>
      <c r="C11" s="1230" t="s">
        <v>64</v>
      </c>
      <c r="D11" s="1234"/>
      <c r="E11" s="1231"/>
      <c r="F11" s="1235" t="s">
        <v>581</v>
      </c>
      <c r="G11" s="1236"/>
      <c r="H11" s="1237"/>
      <c r="I11" s="1230"/>
      <c r="J11" s="1231"/>
      <c r="K11" s="1230"/>
      <c r="L11" s="1231"/>
      <c r="M11" s="1230"/>
      <c r="N11" s="1231"/>
      <c r="O11" s="1228"/>
      <c r="P11" s="1229"/>
      <c r="Q11" s="1230"/>
      <c r="R11" s="1231"/>
      <c r="S11" s="1226"/>
      <c r="T11" s="1227"/>
      <c r="U11" s="1212" t="str">
        <f>IF(M11="","",IF(M11="○","※下表に記載必要箇所あり"))</f>
        <v/>
      </c>
      <c r="V11" s="1213"/>
      <c r="W11" s="1213"/>
      <c r="X11" s="1213"/>
      <c r="Y11" s="1213"/>
      <c r="Z11" s="1213"/>
      <c r="AA11" s="466" t="str">
        <f t="shared" ref="AA11:AA30" si="0">IF(AND(K11="○",Q11=""),"A","")</f>
        <v/>
      </c>
      <c r="AB11" s="466" t="str">
        <f>IF(AND(K11="○",Q11="○"),"B","")</f>
        <v/>
      </c>
      <c r="AC11" s="467" t="str">
        <f>IF(AND(K11="",M11="○",Q11=""),"C","")</f>
        <v/>
      </c>
      <c r="AD11" s="467" t="str">
        <f>IF(AND(K11="",M11="○",Q11="○"),"D","")</f>
        <v/>
      </c>
      <c r="AE11" s="468" t="str">
        <f t="shared" ref="AE11:AE30" si="1">IF(O11&gt;0,"","○")</f>
        <v>○</v>
      </c>
      <c r="AF11" s="468" t="str">
        <f t="shared" ref="AF11:AF74" si="2">IF(AND(I11="５歳",AE11="○",Q11=""),"○","")</f>
        <v/>
      </c>
      <c r="AG11" s="468" t="str">
        <f>IF(AND(I11="４歳",AE11="○",Q11=""),"○","")</f>
        <v/>
      </c>
      <c r="AH11" s="468" t="str">
        <f>IF(AND(I11="３歳",AE11="○",Q11=""),"○","")</f>
        <v/>
      </c>
      <c r="AI11" s="468" t="str">
        <f>IF(AND(I11="満３歳",AE11="○",Q11=""),"○","")</f>
        <v/>
      </c>
      <c r="AJ11" s="468" t="str">
        <f>IF(AND(I11="５歳",AE11="○",Q11="○"),"○","")</f>
        <v/>
      </c>
      <c r="AK11" s="468" t="str">
        <f>IF(AND(I11="４歳",AE11="○",Q11="○"),"○","")</f>
        <v/>
      </c>
      <c r="AL11" s="468" t="str">
        <f>IF(AND(I11="３歳",AE11="○",Q11="○"),"○","")</f>
        <v/>
      </c>
      <c r="AM11" s="468" t="str">
        <f>IF(AND(I11="満３歳",AE11="○",Q11="○"),"○","")</f>
        <v/>
      </c>
      <c r="AN11" s="469" t="s">
        <v>580</v>
      </c>
      <c r="AO11" s="470" t="s">
        <v>579</v>
      </c>
      <c r="AP11" s="470" t="s">
        <v>578</v>
      </c>
      <c r="AQ11" s="470" t="s">
        <v>577</v>
      </c>
    </row>
    <row r="12" spans="1:60" ht="13.5" customHeight="1">
      <c r="A12" s="1232">
        <v>2</v>
      </c>
      <c r="B12" s="1233"/>
      <c r="C12" s="1230"/>
      <c r="D12" s="1234"/>
      <c r="E12" s="1231"/>
      <c r="F12" s="1230"/>
      <c r="G12" s="1234"/>
      <c r="H12" s="1231"/>
      <c r="I12" s="1230"/>
      <c r="J12" s="1231"/>
      <c r="K12" s="1230"/>
      <c r="L12" s="1231"/>
      <c r="M12" s="1230"/>
      <c r="N12" s="1231"/>
      <c r="O12" s="1228"/>
      <c r="P12" s="1229"/>
      <c r="Q12" s="1230"/>
      <c r="R12" s="1231"/>
      <c r="S12" s="1226"/>
      <c r="T12" s="1227"/>
      <c r="U12" s="1212" t="str">
        <f t="shared" ref="U12:U75" si="3">IF(M12="","",IF(M12="○","※下表に記載必要箇所あり"))</f>
        <v/>
      </c>
      <c r="V12" s="1213"/>
      <c r="W12" s="1213"/>
      <c r="X12" s="1213"/>
      <c r="Y12" s="1213"/>
      <c r="Z12" s="1213"/>
      <c r="AA12" s="466" t="str">
        <f t="shared" si="0"/>
        <v/>
      </c>
      <c r="AB12" s="466" t="str">
        <f t="shared" ref="AB12:AB30" si="4">IF(AND(K12="○",Q12="○"),"B","")</f>
        <v/>
      </c>
      <c r="AC12" s="467" t="str">
        <f t="shared" ref="AC12:AC30" si="5">IF(AND(K12="",M12="○",Q12=""),"C","")</f>
        <v/>
      </c>
      <c r="AD12" s="467" t="str">
        <f t="shared" ref="AD12:AD30" si="6">IF(AND(K12="",M12="○",Q12="○"),"D","")</f>
        <v/>
      </c>
      <c r="AE12" s="468" t="str">
        <f t="shared" si="1"/>
        <v>○</v>
      </c>
      <c r="AF12" s="468" t="str">
        <f t="shared" si="2"/>
        <v/>
      </c>
      <c r="AG12" s="468" t="str">
        <f t="shared" ref="AG12:AG75" si="7">IF(AND(I12="４歳",AE12="○",Q12=""),"○","")</f>
        <v/>
      </c>
      <c r="AH12" s="468" t="str">
        <f t="shared" ref="AH12:AH75" si="8">IF(AND(I12="３歳",AE12="○",Q12=""),"○","")</f>
        <v/>
      </c>
      <c r="AI12" s="468" t="str">
        <f t="shared" ref="AI12:AI75" si="9">IF(AND(I12="満３歳",AE12="○",Q12=""),"○","")</f>
        <v/>
      </c>
      <c r="AJ12" s="468" t="str">
        <f t="shared" ref="AJ12:AJ75" si="10">IF(AND(I12="５歳",AE12="○",Q12="○"),"○","")</f>
        <v/>
      </c>
      <c r="AK12" s="468" t="str">
        <f t="shared" ref="AK12:AK75" si="11">IF(AND(I12="４歳",AE12="○",Q12="○"),"○","")</f>
        <v/>
      </c>
      <c r="AL12" s="468" t="str">
        <f t="shared" ref="AL12:AL75" si="12">IF(AND(I12="３歳",AE12="○",Q12="○"),"○","")</f>
        <v/>
      </c>
      <c r="AM12" s="468" t="str">
        <f t="shared" ref="AM12:AM75" si="13">IF(AND(I12="満３歳",AE12="○",Q12="○"),"○","")</f>
        <v/>
      </c>
      <c r="AN12" s="470" t="s">
        <v>402</v>
      </c>
      <c r="BA12" s="462"/>
    </row>
    <row r="13" spans="1:60" ht="13.5" customHeight="1">
      <c r="A13" s="1232">
        <v>3</v>
      </c>
      <c r="B13" s="1233"/>
      <c r="C13" s="1230"/>
      <c r="D13" s="1234"/>
      <c r="E13" s="1231"/>
      <c r="F13" s="1230"/>
      <c r="G13" s="1234"/>
      <c r="H13" s="1231"/>
      <c r="I13" s="1230"/>
      <c r="J13" s="1231"/>
      <c r="K13" s="1230"/>
      <c r="L13" s="1231"/>
      <c r="M13" s="1230"/>
      <c r="N13" s="1231"/>
      <c r="O13" s="1228"/>
      <c r="P13" s="1229"/>
      <c r="Q13" s="1230"/>
      <c r="R13" s="1231"/>
      <c r="S13" s="1226"/>
      <c r="T13" s="1227"/>
      <c r="U13" s="1212" t="str">
        <f t="shared" si="3"/>
        <v/>
      </c>
      <c r="V13" s="1213"/>
      <c r="W13" s="1213"/>
      <c r="X13" s="1213"/>
      <c r="Y13" s="1213"/>
      <c r="Z13" s="1213"/>
      <c r="AA13" s="466" t="str">
        <f t="shared" si="0"/>
        <v/>
      </c>
      <c r="AB13" s="466" t="str">
        <f t="shared" si="4"/>
        <v/>
      </c>
      <c r="AC13" s="467" t="str">
        <f t="shared" si="5"/>
        <v/>
      </c>
      <c r="AD13" s="467" t="str">
        <f t="shared" si="6"/>
        <v/>
      </c>
      <c r="AE13" s="468" t="str">
        <f t="shared" si="1"/>
        <v>○</v>
      </c>
      <c r="AF13" s="468" t="str">
        <f t="shared" si="2"/>
        <v/>
      </c>
      <c r="AG13" s="468" t="str">
        <f t="shared" si="7"/>
        <v/>
      </c>
      <c r="AH13" s="468" t="str">
        <f t="shared" si="8"/>
        <v/>
      </c>
      <c r="AI13" s="468" t="str">
        <f t="shared" si="9"/>
        <v/>
      </c>
      <c r="AJ13" s="468" t="str">
        <f t="shared" si="10"/>
        <v/>
      </c>
      <c r="AK13" s="468" t="str">
        <f t="shared" si="11"/>
        <v/>
      </c>
      <c r="AL13" s="468" t="str">
        <f t="shared" si="12"/>
        <v/>
      </c>
      <c r="AM13" s="468" t="str">
        <f t="shared" si="13"/>
        <v/>
      </c>
      <c r="AN13" s="469"/>
      <c r="AO13" s="470" t="s">
        <v>37</v>
      </c>
    </row>
    <row r="14" spans="1:60" ht="13.5" customHeight="1">
      <c r="A14" s="1232">
        <v>4</v>
      </c>
      <c r="B14" s="1233"/>
      <c r="C14" s="1230"/>
      <c r="D14" s="1234"/>
      <c r="E14" s="1231"/>
      <c r="F14" s="1230"/>
      <c r="G14" s="1234"/>
      <c r="H14" s="1231"/>
      <c r="I14" s="1230"/>
      <c r="J14" s="1231"/>
      <c r="K14" s="1230"/>
      <c r="L14" s="1231"/>
      <c r="M14" s="1230"/>
      <c r="N14" s="1231"/>
      <c r="O14" s="1228"/>
      <c r="P14" s="1229"/>
      <c r="Q14" s="1230"/>
      <c r="R14" s="1231"/>
      <c r="S14" s="1226"/>
      <c r="T14" s="1227"/>
      <c r="U14" s="1212" t="str">
        <f t="shared" si="3"/>
        <v/>
      </c>
      <c r="V14" s="1213"/>
      <c r="W14" s="1213"/>
      <c r="X14" s="1213"/>
      <c r="Y14" s="1213"/>
      <c r="Z14" s="1213"/>
      <c r="AA14" s="466" t="str">
        <f t="shared" si="0"/>
        <v/>
      </c>
      <c r="AB14" s="466" t="str">
        <f t="shared" si="4"/>
        <v/>
      </c>
      <c r="AC14" s="467" t="str">
        <f t="shared" si="5"/>
        <v/>
      </c>
      <c r="AD14" s="467" t="str">
        <f t="shared" si="6"/>
        <v/>
      </c>
      <c r="AE14" s="468" t="str">
        <f t="shared" si="1"/>
        <v>○</v>
      </c>
      <c r="AF14" s="468" t="str">
        <f t="shared" si="2"/>
        <v/>
      </c>
      <c r="AG14" s="468" t="str">
        <f t="shared" si="7"/>
        <v/>
      </c>
      <c r="AH14" s="468" t="str">
        <f t="shared" si="8"/>
        <v/>
      </c>
      <c r="AI14" s="468" t="str">
        <f t="shared" si="9"/>
        <v/>
      </c>
      <c r="AJ14" s="468" t="str">
        <f t="shared" si="10"/>
        <v/>
      </c>
      <c r="AK14" s="468" t="str">
        <f t="shared" si="11"/>
        <v/>
      </c>
      <c r="AL14" s="468" t="str">
        <f t="shared" si="12"/>
        <v/>
      </c>
      <c r="AM14" s="468" t="str">
        <f t="shared" si="13"/>
        <v/>
      </c>
      <c r="AN14" s="469"/>
      <c r="AO14" s="470">
        <v>1</v>
      </c>
      <c r="AP14" s="470">
        <v>2</v>
      </c>
      <c r="AQ14" s="470">
        <v>3</v>
      </c>
      <c r="AR14" s="470">
        <v>4</v>
      </c>
      <c r="AS14" s="470">
        <v>5</v>
      </c>
      <c r="AT14" s="470">
        <v>6</v>
      </c>
      <c r="AU14" s="470">
        <v>7</v>
      </c>
      <c r="AV14" s="470">
        <v>8</v>
      </c>
      <c r="AW14" s="470">
        <v>9</v>
      </c>
      <c r="AX14" s="470">
        <v>10</v>
      </c>
      <c r="AY14" s="470">
        <v>11</v>
      </c>
      <c r="AZ14" s="470">
        <v>12</v>
      </c>
      <c r="BA14" s="470">
        <v>13</v>
      </c>
      <c r="BB14" s="471">
        <v>14</v>
      </c>
      <c r="BC14" s="471">
        <v>15</v>
      </c>
      <c r="BD14" s="471">
        <v>16</v>
      </c>
      <c r="BE14" s="471">
        <v>17</v>
      </c>
      <c r="BF14" s="471">
        <v>18</v>
      </c>
      <c r="BG14" s="471">
        <v>19</v>
      </c>
      <c r="BH14" s="471">
        <v>20</v>
      </c>
    </row>
    <row r="15" spans="1:60" ht="13.5" customHeight="1">
      <c r="A15" s="1232">
        <v>5</v>
      </c>
      <c r="B15" s="1233"/>
      <c r="C15" s="1230"/>
      <c r="D15" s="1234"/>
      <c r="E15" s="1231"/>
      <c r="F15" s="1230"/>
      <c r="G15" s="1234"/>
      <c r="H15" s="1231"/>
      <c r="I15" s="1230"/>
      <c r="J15" s="1231"/>
      <c r="K15" s="1230"/>
      <c r="L15" s="1231"/>
      <c r="M15" s="1230"/>
      <c r="N15" s="1231"/>
      <c r="O15" s="1228"/>
      <c r="P15" s="1229"/>
      <c r="Q15" s="1230"/>
      <c r="R15" s="1231"/>
      <c r="S15" s="1226"/>
      <c r="T15" s="1227"/>
      <c r="U15" s="1212" t="str">
        <f t="shared" si="3"/>
        <v/>
      </c>
      <c r="V15" s="1213"/>
      <c r="W15" s="1213"/>
      <c r="X15" s="1213"/>
      <c r="Y15" s="1213"/>
      <c r="Z15" s="1213"/>
      <c r="AA15" s="466" t="str">
        <f t="shared" si="0"/>
        <v/>
      </c>
      <c r="AB15" s="466" t="str">
        <f t="shared" si="4"/>
        <v/>
      </c>
      <c r="AC15" s="467" t="str">
        <f t="shared" si="5"/>
        <v/>
      </c>
      <c r="AD15" s="467" t="str">
        <f t="shared" si="6"/>
        <v/>
      </c>
      <c r="AE15" s="468" t="str">
        <f t="shared" si="1"/>
        <v>○</v>
      </c>
      <c r="AF15" s="468" t="str">
        <f t="shared" si="2"/>
        <v/>
      </c>
      <c r="AG15" s="468" t="str">
        <f t="shared" si="7"/>
        <v/>
      </c>
      <c r="AH15" s="468" t="str">
        <f t="shared" si="8"/>
        <v/>
      </c>
      <c r="AI15" s="468" t="str">
        <f t="shared" si="9"/>
        <v/>
      </c>
      <c r="AJ15" s="468" t="str">
        <f t="shared" si="10"/>
        <v/>
      </c>
      <c r="AK15" s="468" t="str">
        <f t="shared" si="11"/>
        <v/>
      </c>
      <c r="AL15" s="468" t="str">
        <f t="shared" si="12"/>
        <v/>
      </c>
      <c r="AM15" s="468" t="str">
        <f t="shared" si="13"/>
        <v/>
      </c>
      <c r="AN15" s="472"/>
    </row>
    <row r="16" spans="1:60" ht="13.5" customHeight="1">
      <c r="A16" s="1232">
        <v>6</v>
      </c>
      <c r="B16" s="1233"/>
      <c r="C16" s="1230"/>
      <c r="D16" s="1234"/>
      <c r="E16" s="1231"/>
      <c r="F16" s="1230"/>
      <c r="G16" s="1234"/>
      <c r="H16" s="1231"/>
      <c r="I16" s="1230"/>
      <c r="J16" s="1231"/>
      <c r="K16" s="1230"/>
      <c r="L16" s="1231"/>
      <c r="M16" s="1230"/>
      <c r="N16" s="1231"/>
      <c r="O16" s="1228"/>
      <c r="P16" s="1229"/>
      <c r="Q16" s="1230"/>
      <c r="R16" s="1231"/>
      <c r="S16" s="1226"/>
      <c r="T16" s="1227"/>
      <c r="U16" s="1212" t="str">
        <f t="shared" si="3"/>
        <v/>
      </c>
      <c r="V16" s="1213"/>
      <c r="W16" s="1213"/>
      <c r="X16" s="1213"/>
      <c r="Y16" s="1213"/>
      <c r="Z16" s="1213"/>
      <c r="AA16" s="466" t="str">
        <f t="shared" si="0"/>
        <v/>
      </c>
      <c r="AB16" s="466" t="str">
        <f t="shared" si="4"/>
        <v/>
      </c>
      <c r="AC16" s="467" t="str">
        <f t="shared" si="5"/>
        <v/>
      </c>
      <c r="AD16" s="467" t="str">
        <f t="shared" si="6"/>
        <v/>
      </c>
      <c r="AE16" s="468" t="str">
        <f t="shared" si="1"/>
        <v>○</v>
      </c>
      <c r="AF16" s="468" t="str">
        <f t="shared" si="2"/>
        <v/>
      </c>
      <c r="AG16" s="468" t="str">
        <f t="shared" si="7"/>
        <v/>
      </c>
      <c r="AH16" s="468" t="str">
        <f t="shared" si="8"/>
        <v/>
      </c>
      <c r="AI16" s="468" t="str">
        <f t="shared" si="9"/>
        <v/>
      </c>
      <c r="AJ16" s="468" t="str">
        <f t="shared" si="10"/>
        <v/>
      </c>
      <c r="AK16" s="468" t="str">
        <f t="shared" si="11"/>
        <v/>
      </c>
      <c r="AL16" s="468" t="str">
        <f t="shared" si="12"/>
        <v/>
      </c>
      <c r="AM16" s="468" t="str">
        <f t="shared" si="13"/>
        <v/>
      </c>
    </row>
    <row r="17" spans="1:53" ht="13.5" customHeight="1">
      <c r="A17" s="1232">
        <v>7</v>
      </c>
      <c r="B17" s="1233"/>
      <c r="C17" s="1230"/>
      <c r="D17" s="1234"/>
      <c r="E17" s="1231"/>
      <c r="F17" s="1230"/>
      <c r="G17" s="1234"/>
      <c r="H17" s="1231"/>
      <c r="I17" s="1230"/>
      <c r="J17" s="1231"/>
      <c r="K17" s="1230"/>
      <c r="L17" s="1231"/>
      <c r="M17" s="1230"/>
      <c r="N17" s="1231"/>
      <c r="O17" s="1228"/>
      <c r="P17" s="1229"/>
      <c r="Q17" s="1230"/>
      <c r="R17" s="1231"/>
      <c r="S17" s="1226"/>
      <c r="T17" s="1227"/>
      <c r="U17" s="1212" t="str">
        <f t="shared" si="3"/>
        <v/>
      </c>
      <c r="V17" s="1213"/>
      <c r="W17" s="1213"/>
      <c r="X17" s="1213"/>
      <c r="Y17" s="1213"/>
      <c r="Z17" s="1213"/>
      <c r="AA17" s="466" t="str">
        <f t="shared" si="0"/>
        <v/>
      </c>
      <c r="AB17" s="466" t="str">
        <f t="shared" si="4"/>
        <v/>
      </c>
      <c r="AC17" s="467" t="str">
        <f t="shared" si="5"/>
        <v/>
      </c>
      <c r="AD17" s="467" t="str">
        <f t="shared" si="6"/>
        <v/>
      </c>
      <c r="AE17" s="468" t="str">
        <f t="shared" si="1"/>
        <v>○</v>
      </c>
      <c r="AF17" s="468" t="str">
        <f t="shared" si="2"/>
        <v/>
      </c>
      <c r="AG17" s="468" t="str">
        <f t="shared" si="7"/>
        <v/>
      </c>
      <c r="AH17" s="468" t="str">
        <f t="shared" si="8"/>
        <v/>
      </c>
      <c r="AI17" s="468" t="str">
        <f t="shared" si="9"/>
        <v/>
      </c>
      <c r="AJ17" s="468" t="str">
        <f t="shared" si="10"/>
        <v/>
      </c>
      <c r="AK17" s="468" t="str">
        <f t="shared" si="11"/>
        <v/>
      </c>
      <c r="AL17" s="468" t="str">
        <f t="shared" si="12"/>
        <v/>
      </c>
      <c r="AM17" s="468" t="str">
        <f t="shared" si="13"/>
        <v/>
      </c>
    </row>
    <row r="18" spans="1:53" ht="13.5" customHeight="1">
      <c r="A18" s="1232">
        <v>8</v>
      </c>
      <c r="B18" s="1233"/>
      <c r="C18" s="1230"/>
      <c r="D18" s="1234"/>
      <c r="E18" s="1231"/>
      <c r="F18" s="1230"/>
      <c r="G18" s="1234"/>
      <c r="H18" s="1231"/>
      <c r="I18" s="1230"/>
      <c r="J18" s="1231"/>
      <c r="K18" s="1230"/>
      <c r="L18" s="1231"/>
      <c r="M18" s="1230"/>
      <c r="N18" s="1231"/>
      <c r="O18" s="1228"/>
      <c r="P18" s="1229"/>
      <c r="Q18" s="1230"/>
      <c r="R18" s="1231"/>
      <c r="S18" s="1226"/>
      <c r="T18" s="1227"/>
      <c r="U18" s="1212" t="str">
        <f t="shared" si="3"/>
        <v/>
      </c>
      <c r="V18" s="1213"/>
      <c r="W18" s="1213"/>
      <c r="X18" s="1213"/>
      <c r="Y18" s="1213"/>
      <c r="Z18" s="1213"/>
      <c r="AA18" s="466" t="str">
        <f t="shared" si="0"/>
        <v/>
      </c>
      <c r="AB18" s="466" t="str">
        <f t="shared" si="4"/>
        <v/>
      </c>
      <c r="AC18" s="467" t="str">
        <f t="shared" si="5"/>
        <v/>
      </c>
      <c r="AD18" s="467" t="str">
        <f t="shared" si="6"/>
        <v/>
      </c>
      <c r="AE18" s="468" t="str">
        <f t="shared" si="1"/>
        <v>○</v>
      </c>
      <c r="AF18" s="468" t="str">
        <f t="shared" si="2"/>
        <v/>
      </c>
      <c r="AG18" s="468" t="str">
        <f t="shared" si="7"/>
        <v/>
      </c>
      <c r="AH18" s="468" t="str">
        <f t="shared" si="8"/>
        <v/>
      </c>
      <c r="AI18" s="468" t="str">
        <f t="shared" si="9"/>
        <v/>
      </c>
      <c r="AJ18" s="468" t="str">
        <f t="shared" si="10"/>
        <v/>
      </c>
      <c r="AK18" s="468" t="str">
        <f t="shared" si="11"/>
        <v/>
      </c>
      <c r="AL18" s="468" t="str">
        <f t="shared" si="12"/>
        <v/>
      </c>
      <c r="AM18" s="468" t="str">
        <f t="shared" si="13"/>
        <v/>
      </c>
    </row>
    <row r="19" spans="1:53" ht="13.5" customHeight="1">
      <c r="A19" s="1232">
        <v>9</v>
      </c>
      <c r="B19" s="1233"/>
      <c r="C19" s="1230"/>
      <c r="D19" s="1234"/>
      <c r="E19" s="1231"/>
      <c r="F19" s="1230"/>
      <c r="G19" s="1234"/>
      <c r="H19" s="1231"/>
      <c r="I19" s="1230"/>
      <c r="J19" s="1231"/>
      <c r="K19" s="1230"/>
      <c r="L19" s="1231"/>
      <c r="M19" s="1230"/>
      <c r="N19" s="1231"/>
      <c r="O19" s="1228"/>
      <c r="P19" s="1229"/>
      <c r="Q19" s="1230"/>
      <c r="R19" s="1231"/>
      <c r="S19" s="1226"/>
      <c r="T19" s="1227"/>
      <c r="U19" s="1212" t="str">
        <f t="shared" si="3"/>
        <v/>
      </c>
      <c r="V19" s="1213"/>
      <c r="W19" s="1213"/>
      <c r="X19" s="1213"/>
      <c r="Y19" s="1213"/>
      <c r="Z19" s="1213"/>
      <c r="AA19" s="466" t="str">
        <f t="shared" si="0"/>
        <v/>
      </c>
      <c r="AB19" s="466" t="str">
        <f t="shared" si="4"/>
        <v/>
      </c>
      <c r="AC19" s="467" t="str">
        <f t="shared" si="5"/>
        <v/>
      </c>
      <c r="AD19" s="467" t="str">
        <f t="shared" si="6"/>
        <v/>
      </c>
      <c r="AE19" s="468" t="str">
        <f t="shared" si="1"/>
        <v>○</v>
      </c>
      <c r="AF19" s="468" t="str">
        <f t="shared" si="2"/>
        <v/>
      </c>
      <c r="AG19" s="468" t="str">
        <f t="shared" si="7"/>
        <v/>
      </c>
      <c r="AH19" s="468" t="str">
        <f t="shared" si="8"/>
        <v/>
      </c>
      <c r="AI19" s="468" t="str">
        <f t="shared" si="9"/>
        <v/>
      </c>
      <c r="AJ19" s="468" t="str">
        <f t="shared" si="10"/>
        <v/>
      </c>
      <c r="AK19" s="468" t="str">
        <f t="shared" si="11"/>
        <v/>
      </c>
      <c r="AL19" s="468" t="str">
        <f t="shared" si="12"/>
        <v/>
      </c>
      <c r="AM19" s="468" t="str">
        <f t="shared" si="13"/>
        <v/>
      </c>
    </row>
    <row r="20" spans="1:53" ht="13.5" customHeight="1">
      <c r="A20" s="1232">
        <v>10</v>
      </c>
      <c r="B20" s="1233"/>
      <c r="C20" s="1230"/>
      <c r="D20" s="1234"/>
      <c r="E20" s="1231"/>
      <c r="F20" s="1230"/>
      <c r="G20" s="1234"/>
      <c r="H20" s="1231"/>
      <c r="I20" s="1230"/>
      <c r="J20" s="1231"/>
      <c r="K20" s="1230"/>
      <c r="L20" s="1231"/>
      <c r="M20" s="1230"/>
      <c r="N20" s="1231"/>
      <c r="O20" s="1228"/>
      <c r="P20" s="1229"/>
      <c r="Q20" s="1230"/>
      <c r="R20" s="1231"/>
      <c r="S20" s="1226"/>
      <c r="T20" s="1227"/>
      <c r="U20" s="1212" t="str">
        <f t="shared" si="3"/>
        <v/>
      </c>
      <c r="V20" s="1213"/>
      <c r="W20" s="1213"/>
      <c r="X20" s="1213"/>
      <c r="Y20" s="1213"/>
      <c r="Z20" s="1213"/>
      <c r="AA20" s="466" t="str">
        <f t="shared" si="0"/>
        <v/>
      </c>
      <c r="AB20" s="466" t="str">
        <f t="shared" si="4"/>
        <v/>
      </c>
      <c r="AC20" s="467" t="str">
        <f t="shared" si="5"/>
        <v/>
      </c>
      <c r="AD20" s="467" t="str">
        <f t="shared" si="6"/>
        <v/>
      </c>
      <c r="AE20" s="468" t="str">
        <f t="shared" si="1"/>
        <v>○</v>
      </c>
      <c r="AF20" s="468" t="str">
        <f t="shared" si="2"/>
        <v/>
      </c>
      <c r="AG20" s="468" t="str">
        <f t="shared" si="7"/>
        <v/>
      </c>
      <c r="AH20" s="468" t="str">
        <f t="shared" si="8"/>
        <v/>
      </c>
      <c r="AI20" s="468" t="str">
        <f t="shared" si="9"/>
        <v/>
      </c>
      <c r="AJ20" s="468" t="str">
        <f t="shared" si="10"/>
        <v/>
      </c>
      <c r="AK20" s="468" t="str">
        <f t="shared" si="11"/>
        <v/>
      </c>
      <c r="AL20" s="468" t="str">
        <f t="shared" si="12"/>
        <v/>
      </c>
      <c r="AM20" s="468" t="str">
        <f t="shared" si="13"/>
        <v/>
      </c>
    </row>
    <row r="21" spans="1:53" ht="13.5" customHeight="1">
      <c r="A21" s="1232">
        <v>11</v>
      </c>
      <c r="B21" s="1233"/>
      <c r="C21" s="1230"/>
      <c r="D21" s="1234"/>
      <c r="E21" s="1231"/>
      <c r="F21" s="1230"/>
      <c r="G21" s="1234"/>
      <c r="H21" s="1231"/>
      <c r="I21" s="1230"/>
      <c r="J21" s="1231"/>
      <c r="K21" s="1230"/>
      <c r="L21" s="1231"/>
      <c r="M21" s="1230"/>
      <c r="N21" s="1231"/>
      <c r="O21" s="1228"/>
      <c r="P21" s="1229"/>
      <c r="Q21" s="1230"/>
      <c r="R21" s="1231"/>
      <c r="S21" s="1226"/>
      <c r="T21" s="1227"/>
      <c r="U21" s="1212" t="str">
        <f t="shared" si="3"/>
        <v/>
      </c>
      <c r="V21" s="1213"/>
      <c r="W21" s="1213"/>
      <c r="X21" s="1213"/>
      <c r="Y21" s="1213"/>
      <c r="Z21" s="1213"/>
      <c r="AA21" s="466" t="str">
        <f t="shared" si="0"/>
        <v/>
      </c>
      <c r="AB21" s="466" t="str">
        <f t="shared" si="4"/>
        <v/>
      </c>
      <c r="AC21" s="467" t="str">
        <f t="shared" si="5"/>
        <v/>
      </c>
      <c r="AD21" s="467" t="str">
        <f t="shared" si="6"/>
        <v/>
      </c>
      <c r="AE21" s="468" t="str">
        <f t="shared" si="1"/>
        <v>○</v>
      </c>
      <c r="AF21" s="468" t="str">
        <f t="shared" si="2"/>
        <v/>
      </c>
      <c r="AG21" s="468" t="str">
        <f t="shared" si="7"/>
        <v/>
      </c>
      <c r="AH21" s="468" t="str">
        <f t="shared" si="8"/>
        <v/>
      </c>
      <c r="AI21" s="468" t="str">
        <f t="shared" si="9"/>
        <v/>
      </c>
      <c r="AJ21" s="468" t="str">
        <f t="shared" si="10"/>
        <v/>
      </c>
      <c r="AK21" s="468" t="str">
        <f t="shared" si="11"/>
        <v/>
      </c>
      <c r="AL21" s="468" t="str">
        <f t="shared" si="12"/>
        <v/>
      </c>
      <c r="AM21" s="468" t="str">
        <f t="shared" si="13"/>
        <v/>
      </c>
    </row>
    <row r="22" spans="1:53" ht="13.5" customHeight="1">
      <c r="A22" s="1232">
        <v>12</v>
      </c>
      <c r="B22" s="1233"/>
      <c r="C22" s="1230"/>
      <c r="D22" s="1234"/>
      <c r="E22" s="1231"/>
      <c r="F22" s="1230"/>
      <c r="G22" s="1234"/>
      <c r="H22" s="1231"/>
      <c r="I22" s="1230"/>
      <c r="J22" s="1231"/>
      <c r="K22" s="1230"/>
      <c r="L22" s="1231"/>
      <c r="M22" s="1230"/>
      <c r="N22" s="1231"/>
      <c r="O22" s="1228"/>
      <c r="P22" s="1229"/>
      <c r="Q22" s="1230"/>
      <c r="R22" s="1231"/>
      <c r="S22" s="1226"/>
      <c r="T22" s="1227"/>
      <c r="U22" s="1212" t="str">
        <f t="shared" si="3"/>
        <v/>
      </c>
      <c r="V22" s="1213"/>
      <c r="W22" s="1213"/>
      <c r="X22" s="1213"/>
      <c r="Y22" s="1213"/>
      <c r="Z22" s="1213"/>
      <c r="AA22" s="466" t="str">
        <f t="shared" si="0"/>
        <v/>
      </c>
      <c r="AB22" s="466" t="str">
        <f t="shared" si="4"/>
        <v/>
      </c>
      <c r="AC22" s="467" t="str">
        <f t="shared" si="5"/>
        <v/>
      </c>
      <c r="AD22" s="467" t="str">
        <f t="shared" si="6"/>
        <v/>
      </c>
      <c r="AE22" s="468" t="str">
        <f t="shared" si="1"/>
        <v>○</v>
      </c>
      <c r="AF22" s="468" t="str">
        <f t="shared" si="2"/>
        <v/>
      </c>
      <c r="AG22" s="468" t="str">
        <f t="shared" si="7"/>
        <v/>
      </c>
      <c r="AH22" s="468" t="str">
        <f t="shared" si="8"/>
        <v/>
      </c>
      <c r="AI22" s="468" t="str">
        <f t="shared" si="9"/>
        <v/>
      </c>
      <c r="AJ22" s="468" t="str">
        <f t="shared" si="10"/>
        <v/>
      </c>
      <c r="AK22" s="468" t="str">
        <f t="shared" si="11"/>
        <v/>
      </c>
      <c r="AL22" s="468" t="str">
        <f t="shared" si="12"/>
        <v/>
      </c>
      <c r="AM22" s="468" t="str">
        <f t="shared" si="13"/>
        <v/>
      </c>
    </row>
    <row r="23" spans="1:53" ht="13.5" customHeight="1">
      <c r="A23" s="1232">
        <v>13</v>
      </c>
      <c r="B23" s="1233"/>
      <c r="C23" s="1230"/>
      <c r="D23" s="1234"/>
      <c r="E23" s="1231"/>
      <c r="F23" s="1230"/>
      <c r="G23" s="1234"/>
      <c r="H23" s="1231"/>
      <c r="I23" s="1230"/>
      <c r="J23" s="1231"/>
      <c r="K23" s="1230"/>
      <c r="L23" s="1231"/>
      <c r="M23" s="1230"/>
      <c r="N23" s="1231"/>
      <c r="O23" s="1228"/>
      <c r="P23" s="1229"/>
      <c r="Q23" s="1230"/>
      <c r="R23" s="1231"/>
      <c r="S23" s="1226"/>
      <c r="T23" s="1227"/>
      <c r="U23" s="1212" t="str">
        <f t="shared" si="3"/>
        <v/>
      </c>
      <c r="V23" s="1213"/>
      <c r="W23" s="1213"/>
      <c r="X23" s="1213"/>
      <c r="Y23" s="1213"/>
      <c r="Z23" s="1213"/>
      <c r="AA23" s="466" t="str">
        <f t="shared" si="0"/>
        <v/>
      </c>
      <c r="AB23" s="466" t="str">
        <f t="shared" si="4"/>
        <v/>
      </c>
      <c r="AC23" s="467" t="str">
        <f t="shared" si="5"/>
        <v/>
      </c>
      <c r="AD23" s="467" t="str">
        <f t="shared" si="6"/>
        <v/>
      </c>
      <c r="AE23" s="468" t="str">
        <f t="shared" si="1"/>
        <v>○</v>
      </c>
      <c r="AF23" s="468" t="str">
        <f t="shared" si="2"/>
        <v/>
      </c>
      <c r="AG23" s="468" t="str">
        <f t="shared" si="7"/>
        <v/>
      </c>
      <c r="AH23" s="468" t="str">
        <f t="shared" si="8"/>
        <v/>
      </c>
      <c r="AI23" s="468" t="str">
        <f t="shared" si="9"/>
        <v/>
      </c>
      <c r="AJ23" s="468" t="str">
        <f t="shared" si="10"/>
        <v/>
      </c>
      <c r="AK23" s="468" t="str">
        <f t="shared" si="11"/>
        <v/>
      </c>
      <c r="AL23" s="468" t="str">
        <f t="shared" si="12"/>
        <v/>
      </c>
      <c r="AM23" s="468" t="str">
        <f t="shared" si="13"/>
        <v/>
      </c>
    </row>
    <row r="24" spans="1:53" ht="13.5" customHeight="1">
      <c r="A24" s="1232">
        <v>14</v>
      </c>
      <c r="B24" s="1233"/>
      <c r="C24" s="1230"/>
      <c r="D24" s="1234"/>
      <c r="E24" s="1231"/>
      <c r="F24" s="1230"/>
      <c r="G24" s="1234"/>
      <c r="H24" s="1231"/>
      <c r="I24" s="1230"/>
      <c r="J24" s="1231"/>
      <c r="K24" s="1230"/>
      <c r="L24" s="1231"/>
      <c r="M24" s="1230"/>
      <c r="N24" s="1231"/>
      <c r="O24" s="1228"/>
      <c r="P24" s="1229"/>
      <c r="Q24" s="1230"/>
      <c r="R24" s="1231"/>
      <c r="S24" s="1226"/>
      <c r="T24" s="1227"/>
      <c r="U24" s="1212" t="str">
        <f t="shared" si="3"/>
        <v/>
      </c>
      <c r="V24" s="1213"/>
      <c r="W24" s="1213"/>
      <c r="X24" s="1213"/>
      <c r="Y24" s="1213"/>
      <c r="Z24" s="1213"/>
      <c r="AA24" s="466" t="str">
        <f t="shared" si="0"/>
        <v/>
      </c>
      <c r="AB24" s="466" t="str">
        <f t="shared" si="4"/>
        <v/>
      </c>
      <c r="AC24" s="467" t="str">
        <f t="shared" si="5"/>
        <v/>
      </c>
      <c r="AD24" s="467" t="str">
        <f t="shared" si="6"/>
        <v/>
      </c>
      <c r="AE24" s="468" t="str">
        <f t="shared" si="1"/>
        <v>○</v>
      </c>
      <c r="AF24" s="468" t="str">
        <f t="shared" si="2"/>
        <v/>
      </c>
      <c r="AG24" s="468" t="str">
        <f t="shared" si="7"/>
        <v/>
      </c>
      <c r="AH24" s="468" t="str">
        <f t="shared" si="8"/>
        <v/>
      </c>
      <c r="AI24" s="468" t="str">
        <f t="shared" si="9"/>
        <v/>
      </c>
      <c r="AJ24" s="468" t="str">
        <f t="shared" si="10"/>
        <v/>
      </c>
      <c r="AK24" s="468" t="str">
        <f t="shared" si="11"/>
        <v/>
      </c>
      <c r="AL24" s="468" t="str">
        <f t="shared" si="12"/>
        <v/>
      </c>
      <c r="AM24" s="468" t="str">
        <f t="shared" si="13"/>
        <v/>
      </c>
    </row>
    <row r="25" spans="1:53" ht="13.5" customHeight="1">
      <c r="A25" s="1232">
        <v>15</v>
      </c>
      <c r="B25" s="1233"/>
      <c r="C25" s="1230"/>
      <c r="D25" s="1234"/>
      <c r="E25" s="1231"/>
      <c r="F25" s="1230"/>
      <c r="G25" s="1234"/>
      <c r="H25" s="1231"/>
      <c r="I25" s="1230"/>
      <c r="J25" s="1231"/>
      <c r="K25" s="1230"/>
      <c r="L25" s="1231"/>
      <c r="M25" s="1230"/>
      <c r="N25" s="1231"/>
      <c r="O25" s="1228"/>
      <c r="P25" s="1229"/>
      <c r="Q25" s="1230"/>
      <c r="R25" s="1231"/>
      <c r="S25" s="1226"/>
      <c r="T25" s="1227"/>
      <c r="U25" s="1212" t="str">
        <f t="shared" si="3"/>
        <v/>
      </c>
      <c r="V25" s="1213"/>
      <c r="W25" s="1213"/>
      <c r="X25" s="1213"/>
      <c r="Y25" s="1213"/>
      <c r="Z25" s="1213"/>
      <c r="AA25" s="466" t="str">
        <f t="shared" si="0"/>
        <v/>
      </c>
      <c r="AB25" s="466" t="str">
        <f t="shared" si="4"/>
        <v/>
      </c>
      <c r="AC25" s="467" t="str">
        <f t="shared" si="5"/>
        <v/>
      </c>
      <c r="AD25" s="467" t="str">
        <f t="shared" si="6"/>
        <v/>
      </c>
      <c r="AE25" s="468" t="str">
        <f t="shared" si="1"/>
        <v>○</v>
      </c>
      <c r="AF25" s="468" t="str">
        <f t="shared" si="2"/>
        <v/>
      </c>
      <c r="AG25" s="468" t="str">
        <f t="shared" si="7"/>
        <v/>
      </c>
      <c r="AH25" s="468" t="str">
        <f t="shared" si="8"/>
        <v/>
      </c>
      <c r="AI25" s="468" t="str">
        <f t="shared" si="9"/>
        <v/>
      </c>
      <c r="AJ25" s="468" t="str">
        <f t="shared" si="10"/>
        <v/>
      </c>
      <c r="AK25" s="468" t="str">
        <f t="shared" si="11"/>
        <v/>
      </c>
      <c r="AL25" s="468" t="str">
        <f t="shared" si="12"/>
        <v/>
      </c>
      <c r="AM25" s="468" t="str">
        <f t="shared" si="13"/>
        <v/>
      </c>
    </row>
    <row r="26" spans="1:53" ht="13.5" customHeight="1">
      <c r="A26" s="1232">
        <v>16</v>
      </c>
      <c r="B26" s="1233"/>
      <c r="C26" s="1230"/>
      <c r="D26" s="1234"/>
      <c r="E26" s="1231"/>
      <c r="F26" s="1230"/>
      <c r="G26" s="1234"/>
      <c r="H26" s="1231"/>
      <c r="I26" s="1230"/>
      <c r="J26" s="1231"/>
      <c r="K26" s="1230"/>
      <c r="L26" s="1231"/>
      <c r="M26" s="1230"/>
      <c r="N26" s="1231"/>
      <c r="O26" s="1228"/>
      <c r="P26" s="1229"/>
      <c r="Q26" s="1230"/>
      <c r="R26" s="1231"/>
      <c r="S26" s="1226"/>
      <c r="T26" s="1227"/>
      <c r="U26" s="1212" t="str">
        <f t="shared" si="3"/>
        <v/>
      </c>
      <c r="V26" s="1213"/>
      <c r="W26" s="1213"/>
      <c r="X26" s="1213"/>
      <c r="Y26" s="1213"/>
      <c r="Z26" s="1213"/>
      <c r="AA26" s="466" t="str">
        <f t="shared" si="0"/>
        <v/>
      </c>
      <c r="AB26" s="466" t="str">
        <f t="shared" si="4"/>
        <v/>
      </c>
      <c r="AC26" s="467" t="str">
        <f t="shared" si="5"/>
        <v/>
      </c>
      <c r="AD26" s="467" t="str">
        <f t="shared" si="6"/>
        <v/>
      </c>
      <c r="AE26" s="468" t="str">
        <f t="shared" si="1"/>
        <v>○</v>
      </c>
      <c r="AF26" s="468" t="str">
        <f t="shared" si="2"/>
        <v/>
      </c>
      <c r="AG26" s="468" t="str">
        <f t="shared" si="7"/>
        <v/>
      </c>
      <c r="AH26" s="468" t="str">
        <f t="shared" si="8"/>
        <v/>
      </c>
      <c r="AI26" s="468" t="str">
        <f t="shared" si="9"/>
        <v/>
      </c>
      <c r="AJ26" s="468" t="str">
        <f t="shared" si="10"/>
        <v/>
      </c>
      <c r="AK26" s="468" t="str">
        <f t="shared" si="11"/>
        <v/>
      </c>
      <c r="AL26" s="468" t="str">
        <f t="shared" si="12"/>
        <v/>
      </c>
      <c r="AM26" s="468" t="str">
        <f t="shared" si="13"/>
        <v/>
      </c>
    </row>
    <row r="27" spans="1:53" ht="13.5" customHeight="1">
      <c r="A27" s="1232">
        <v>17</v>
      </c>
      <c r="B27" s="1233"/>
      <c r="C27" s="1230"/>
      <c r="D27" s="1234"/>
      <c r="E27" s="1231"/>
      <c r="F27" s="1230"/>
      <c r="G27" s="1234"/>
      <c r="H27" s="1231"/>
      <c r="I27" s="1230"/>
      <c r="J27" s="1231"/>
      <c r="K27" s="1230"/>
      <c r="L27" s="1231"/>
      <c r="M27" s="1230"/>
      <c r="N27" s="1231"/>
      <c r="O27" s="1228"/>
      <c r="P27" s="1229"/>
      <c r="Q27" s="1230"/>
      <c r="R27" s="1231"/>
      <c r="S27" s="1226"/>
      <c r="T27" s="1227"/>
      <c r="U27" s="1212" t="str">
        <f t="shared" si="3"/>
        <v/>
      </c>
      <c r="V27" s="1213"/>
      <c r="W27" s="1213"/>
      <c r="X27" s="1213"/>
      <c r="Y27" s="1213"/>
      <c r="Z27" s="1213"/>
      <c r="AA27" s="466" t="str">
        <f t="shared" si="0"/>
        <v/>
      </c>
      <c r="AB27" s="466" t="str">
        <f t="shared" si="4"/>
        <v/>
      </c>
      <c r="AC27" s="467" t="str">
        <f t="shared" si="5"/>
        <v/>
      </c>
      <c r="AD27" s="467" t="str">
        <f t="shared" si="6"/>
        <v/>
      </c>
      <c r="AE27" s="468" t="str">
        <f t="shared" si="1"/>
        <v>○</v>
      </c>
      <c r="AF27" s="468" t="str">
        <f t="shared" si="2"/>
        <v/>
      </c>
      <c r="AG27" s="468" t="str">
        <f t="shared" si="7"/>
        <v/>
      </c>
      <c r="AH27" s="468" t="str">
        <f t="shared" si="8"/>
        <v/>
      </c>
      <c r="AI27" s="468" t="str">
        <f t="shared" si="9"/>
        <v/>
      </c>
      <c r="AJ27" s="468" t="str">
        <f t="shared" si="10"/>
        <v/>
      </c>
      <c r="AK27" s="468" t="str">
        <f t="shared" si="11"/>
        <v/>
      </c>
      <c r="AL27" s="468" t="str">
        <f t="shared" si="12"/>
        <v/>
      </c>
      <c r="AM27" s="468" t="str">
        <f t="shared" si="13"/>
        <v/>
      </c>
    </row>
    <row r="28" spans="1:53" ht="13.5" customHeight="1">
      <c r="A28" s="1232">
        <v>18</v>
      </c>
      <c r="B28" s="1233"/>
      <c r="C28" s="1230"/>
      <c r="D28" s="1234"/>
      <c r="E28" s="1231"/>
      <c r="F28" s="1230"/>
      <c r="G28" s="1234"/>
      <c r="H28" s="1231"/>
      <c r="I28" s="1230"/>
      <c r="J28" s="1231"/>
      <c r="K28" s="1230"/>
      <c r="L28" s="1231"/>
      <c r="M28" s="1230"/>
      <c r="N28" s="1231"/>
      <c r="O28" s="1228"/>
      <c r="P28" s="1229"/>
      <c r="Q28" s="1230"/>
      <c r="R28" s="1231"/>
      <c r="S28" s="1226"/>
      <c r="T28" s="1227"/>
      <c r="U28" s="1212" t="str">
        <f t="shared" si="3"/>
        <v/>
      </c>
      <c r="V28" s="1213"/>
      <c r="W28" s="1213"/>
      <c r="X28" s="1213"/>
      <c r="Y28" s="1213"/>
      <c r="Z28" s="1213"/>
      <c r="AA28" s="466" t="str">
        <f t="shared" si="0"/>
        <v/>
      </c>
      <c r="AB28" s="466" t="str">
        <f t="shared" si="4"/>
        <v/>
      </c>
      <c r="AC28" s="467" t="str">
        <f t="shared" si="5"/>
        <v/>
      </c>
      <c r="AD28" s="467" t="str">
        <f t="shared" si="6"/>
        <v/>
      </c>
      <c r="AE28" s="468" t="str">
        <f t="shared" si="1"/>
        <v>○</v>
      </c>
      <c r="AF28" s="468" t="str">
        <f t="shared" si="2"/>
        <v/>
      </c>
      <c r="AG28" s="468" t="str">
        <f t="shared" si="7"/>
        <v/>
      </c>
      <c r="AH28" s="468" t="str">
        <f t="shared" si="8"/>
        <v/>
      </c>
      <c r="AI28" s="468" t="str">
        <f t="shared" si="9"/>
        <v/>
      </c>
      <c r="AJ28" s="468" t="str">
        <f t="shared" si="10"/>
        <v/>
      </c>
      <c r="AK28" s="468" t="str">
        <f t="shared" si="11"/>
        <v/>
      </c>
      <c r="AL28" s="468" t="str">
        <f t="shared" si="12"/>
        <v/>
      </c>
      <c r="AM28" s="468" t="str">
        <f t="shared" si="13"/>
        <v/>
      </c>
    </row>
    <row r="29" spans="1:53" ht="13.5" customHeight="1">
      <c r="A29" s="1232">
        <v>19</v>
      </c>
      <c r="B29" s="1233"/>
      <c r="C29" s="1230"/>
      <c r="D29" s="1234"/>
      <c r="E29" s="1231"/>
      <c r="F29" s="1230"/>
      <c r="G29" s="1234"/>
      <c r="H29" s="1231"/>
      <c r="I29" s="1230"/>
      <c r="J29" s="1231"/>
      <c r="K29" s="1230"/>
      <c r="L29" s="1231"/>
      <c r="M29" s="1230"/>
      <c r="N29" s="1231"/>
      <c r="O29" s="1228"/>
      <c r="P29" s="1229"/>
      <c r="Q29" s="1230"/>
      <c r="R29" s="1231"/>
      <c r="S29" s="1226"/>
      <c r="T29" s="1227"/>
      <c r="U29" s="1212" t="str">
        <f t="shared" si="3"/>
        <v/>
      </c>
      <c r="V29" s="1213"/>
      <c r="W29" s="1213"/>
      <c r="X29" s="1213"/>
      <c r="Y29" s="1213"/>
      <c r="Z29" s="1213"/>
      <c r="AA29" s="466" t="str">
        <f t="shared" si="0"/>
        <v/>
      </c>
      <c r="AB29" s="466" t="str">
        <f t="shared" si="4"/>
        <v/>
      </c>
      <c r="AC29" s="467" t="str">
        <f t="shared" si="5"/>
        <v/>
      </c>
      <c r="AD29" s="467" t="str">
        <f t="shared" si="6"/>
        <v/>
      </c>
      <c r="AE29" s="468" t="str">
        <f t="shared" si="1"/>
        <v>○</v>
      </c>
      <c r="AF29" s="468" t="str">
        <f t="shared" si="2"/>
        <v/>
      </c>
      <c r="AG29" s="468" t="str">
        <f t="shared" si="7"/>
        <v/>
      </c>
      <c r="AH29" s="468" t="str">
        <f t="shared" si="8"/>
        <v/>
      </c>
      <c r="AI29" s="468" t="str">
        <f t="shared" si="9"/>
        <v/>
      </c>
      <c r="AJ29" s="468" t="str">
        <f t="shared" si="10"/>
        <v/>
      </c>
      <c r="AK29" s="468" t="str">
        <f t="shared" si="11"/>
        <v/>
      </c>
      <c r="AL29" s="468" t="str">
        <f t="shared" si="12"/>
        <v/>
      </c>
      <c r="AM29" s="468" t="str">
        <f t="shared" si="13"/>
        <v/>
      </c>
    </row>
    <row r="30" spans="1:53" ht="13.5" customHeight="1">
      <c r="A30" s="1232">
        <v>20</v>
      </c>
      <c r="B30" s="1233"/>
      <c r="C30" s="1230"/>
      <c r="D30" s="1234"/>
      <c r="E30" s="1231"/>
      <c r="F30" s="1230"/>
      <c r="G30" s="1234"/>
      <c r="H30" s="1231"/>
      <c r="I30" s="1230"/>
      <c r="J30" s="1231"/>
      <c r="K30" s="1230"/>
      <c r="L30" s="1231"/>
      <c r="M30" s="1230"/>
      <c r="N30" s="1231"/>
      <c r="O30" s="1228"/>
      <c r="P30" s="1229"/>
      <c r="Q30" s="1230"/>
      <c r="R30" s="1231"/>
      <c r="S30" s="1226"/>
      <c r="T30" s="1227"/>
      <c r="U30" s="1212" t="str">
        <f t="shared" si="3"/>
        <v/>
      </c>
      <c r="V30" s="1213"/>
      <c r="W30" s="1213"/>
      <c r="X30" s="1213"/>
      <c r="Y30" s="1213"/>
      <c r="Z30" s="1213"/>
      <c r="AA30" s="466" t="str">
        <f t="shared" si="0"/>
        <v/>
      </c>
      <c r="AB30" s="466" t="str">
        <f t="shared" si="4"/>
        <v/>
      </c>
      <c r="AC30" s="467" t="str">
        <f t="shared" si="5"/>
        <v/>
      </c>
      <c r="AD30" s="467" t="str">
        <f t="shared" si="6"/>
        <v/>
      </c>
      <c r="AE30" s="468" t="str">
        <f t="shared" si="1"/>
        <v>○</v>
      </c>
      <c r="AF30" s="468" t="str">
        <f t="shared" si="2"/>
        <v/>
      </c>
      <c r="AG30" s="468" t="str">
        <f t="shared" si="7"/>
        <v/>
      </c>
      <c r="AH30" s="468" t="str">
        <f t="shared" si="8"/>
        <v/>
      </c>
      <c r="AI30" s="468" t="str">
        <f t="shared" si="9"/>
        <v/>
      </c>
      <c r="AJ30" s="468" t="str">
        <f t="shared" si="10"/>
        <v/>
      </c>
      <c r="AK30" s="468" t="str">
        <f t="shared" si="11"/>
        <v/>
      </c>
      <c r="AL30" s="468" t="str">
        <f t="shared" si="12"/>
        <v/>
      </c>
      <c r="AM30" s="468" t="str">
        <f t="shared" si="13"/>
        <v/>
      </c>
    </row>
    <row r="31" spans="1:53" ht="13.5" customHeight="1">
      <c r="A31" s="1232">
        <v>21</v>
      </c>
      <c r="B31" s="1233"/>
      <c r="C31" s="1230"/>
      <c r="D31" s="1234"/>
      <c r="E31" s="1231"/>
      <c r="F31" s="1230"/>
      <c r="G31" s="1234"/>
      <c r="H31" s="1231"/>
      <c r="I31" s="1230"/>
      <c r="J31" s="1231"/>
      <c r="K31" s="1230"/>
      <c r="L31" s="1231"/>
      <c r="M31" s="1230"/>
      <c r="N31" s="1231"/>
      <c r="O31" s="1228"/>
      <c r="P31" s="1229"/>
      <c r="Q31" s="1230"/>
      <c r="R31" s="1231"/>
      <c r="S31" s="1230"/>
      <c r="T31" s="1231"/>
      <c r="U31" s="1212" t="str">
        <f t="shared" si="3"/>
        <v/>
      </c>
      <c r="V31" s="1213"/>
      <c r="W31" s="1213"/>
      <c r="X31" s="1213"/>
      <c r="Y31" s="1213"/>
      <c r="Z31" s="1213"/>
      <c r="AA31" s="467" t="str">
        <f t="shared" ref="AA31:AA94" si="14">IF(AND(K31="○",S31=""),"A","")</f>
        <v/>
      </c>
      <c r="AB31" s="467" t="str">
        <f t="shared" ref="AB31:AB94" si="15">IF(AND(K31="○",S31="○"),"B","")</f>
        <v/>
      </c>
      <c r="AC31" s="467" t="str">
        <f t="shared" ref="AC31:AC94" si="16">IF(AND(K31="",M31="○",S31=""),"C","")</f>
        <v/>
      </c>
      <c r="AD31" s="467" t="str">
        <f t="shared" ref="AD31:AD94" si="17">IF(AND(K31="",M31="○",S31="○"),"D","")</f>
        <v/>
      </c>
      <c r="AE31" s="468" t="str">
        <f t="shared" ref="AE31:AE74" si="18">IF(O31&gt;0,"","○")</f>
        <v>○</v>
      </c>
      <c r="AF31" s="468" t="str">
        <f t="shared" si="2"/>
        <v/>
      </c>
      <c r="AG31" s="468" t="str">
        <f t="shared" si="7"/>
        <v/>
      </c>
      <c r="AH31" s="468" t="str">
        <f t="shared" si="8"/>
        <v/>
      </c>
      <c r="AI31" s="468" t="str">
        <f t="shared" si="9"/>
        <v/>
      </c>
      <c r="AJ31" s="468" t="str">
        <f t="shared" si="10"/>
        <v/>
      </c>
      <c r="AK31" s="468" t="str">
        <f t="shared" si="11"/>
        <v/>
      </c>
      <c r="AL31" s="468" t="str">
        <f t="shared" si="12"/>
        <v/>
      </c>
      <c r="AM31" s="468" t="str">
        <f t="shared" si="13"/>
        <v/>
      </c>
      <c r="AZ31" s="462"/>
      <c r="BA31" s="462"/>
    </row>
    <row r="32" spans="1:53" ht="13.5" customHeight="1">
      <c r="A32" s="1232">
        <v>22</v>
      </c>
      <c r="B32" s="1233"/>
      <c r="C32" s="1230"/>
      <c r="D32" s="1234"/>
      <c r="E32" s="1231"/>
      <c r="F32" s="1230"/>
      <c r="G32" s="1234"/>
      <c r="H32" s="1231"/>
      <c r="I32" s="1230"/>
      <c r="J32" s="1231"/>
      <c r="K32" s="1230"/>
      <c r="L32" s="1231"/>
      <c r="M32" s="1230"/>
      <c r="N32" s="1231"/>
      <c r="O32" s="1228"/>
      <c r="P32" s="1229"/>
      <c r="Q32" s="1230"/>
      <c r="R32" s="1231"/>
      <c r="S32" s="1230"/>
      <c r="T32" s="1231"/>
      <c r="U32" s="1212" t="str">
        <f t="shared" si="3"/>
        <v/>
      </c>
      <c r="V32" s="1213"/>
      <c r="W32" s="1213"/>
      <c r="X32" s="1213"/>
      <c r="Y32" s="1213"/>
      <c r="Z32" s="1213"/>
      <c r="AA32" s="467" t="str">
        <f t="shared" si="14"/>
        <v/>
      </c>
      <c r="AB32" s="467" t="str">
        <f t="shared" si="15"/>
        <v/>
      </c>
      <c r="AC32" s="467" t="str">
        <f t="shared" si="16"/>
        <v/>
      </c>
      <c r="AD32" s="467" t="str">
        <f t="shared" si="17"/>
        <v/>
      </c>
      <c r="AE32" s="468" t="str">
        <f t="shared" si="18"/>
        <v>○</v>
      </c>
      <c r="AF32" s="468" t="str">
        <f t="shared" si="2"/>
        <v/>
      </c>
      <c r="AG32" s="468" t="str">
        <f t="shared" si="7"/>
        <v/>
      </c>
      <c r="AH32" s="468" t="str">
        <f t="shared" si="8"/>
        <v/>
      </c>
      <c r="AI32" s="468" t="str">
        <f t="shared" si="9"/>
        <v/>
      </c>
      <c r="AJ32" s="468" t="str">
        <f t="shared" si="10"/>
        <v/>
      </c>
      <c r="AK32" s="468" t="str">
        <f t="shared" si="11"/>
        <v/>
      </c>
      <c r="AL32" s="468" t="str">
        <f t="shared" si="12"/>
        <v/>
      </c>
      <c r="AM32" s="468" t="str">
        <f t="shared" si="13"/>
        <v/>
      </c>
      <c r="AZ32" s="462"/>
      <c r="BA32" s="462"/>
    </row>
    <row r="33" spans="1:53" ht="13.5" customHeight="1">
      <c r="A33" s="1232">
        <v>23</v>
      </c>
      <c r="B33" s="1233"/>
      <c r="C33" s="1230"/>
      <c r="D33" s="1234"/>
      <c r="E33" s="1231"/>
      <c r="F33" s="1230"/>
      <c r="G33" s="1234"/>
      <c r="H33" s="1231"/>
      <c r="I33" s="1230"/>
      <c r="J33" s="1231"/>
      <c r="K33" s="1230"/>
      <c r="L33" s="1231"/>
      <c r="M33" s="1230"/>
      <c r="N33" s="1231"/>
      <c r="O33" s="1228"/>
      <c r="P33" s="1229"/>
      <c r="Q33" s="1230"/>
      <c r="R33" s="1231"/>
      <c r="S33" s="1230"/>
      <c r="T33" s="1231"/>
      <c r="U33" s="1212" t="str">
        <f t="shared" si="3"/>
        <v/>
      </c>
      <c r="V33" s="1213"/>
      <c r="W33" s="1213"/>
      <c r="X33" s="1213"/>
      <c r="Y33" s="1213"/>
      <c r="Z33" s="1213"/>
      <c r="AA33" s="467" t="str">
        <f t="shared" si="14"/>
        <v/>
      </c>
      <c r="AB33" s="467" t="str">
        <f t="shared" si="15"/>
        <v/>
      </c>
      <c r="AC33" s="467" t="str">
        <f t="shared" si="16"/>
        <v/>
      </c>
      <c r="AD33" s="467" t="str">
        <f t="shared" si="17"/>
        <v/>
      </c>
      <c r="AE33" s="468" t="str">
        <f t="shared" si="18"/>
        <v>○</v>
      </c>
      <c r="AF33" s="468" t="str">
        <f t="shared" si="2"/>
        <v/>
      </c>
      <c r="AG33" s="468" t="str">
        <f t="shared" si="7"/>
        <v/>
      </c>
      <c r="AH33" s="468" t="str">
        <f t="shared" si="8"/>
        <v/>
      </c>
      <c r="AI33" s="468" t="str">
        <f t="shared" si="9"/>
        <v/>
      </c>
      <c r="AJ33" s="468" t="str">
        <f t="shared" si="10"/>
        <v/>
      </c>
      <c r="AK33" s="468" t="str">
        <f t="shared" si="11"/>
        <v/>
      </c>
      <c r="AL33" s="468" t="str">
        <f t="shared" si="12"/>
        <v/>
      </c>
      <c r="AM33" s="468" t="str">
        <f t="shared" si="13"/>
        <v/>
      </c>
      <c r="AZ33" s="462"/>
      <c r="BA33" s="462"/>
    </row>
    <row r="34" spans="1:53" ht="13.5" customHeight="1">
      <c r="A34" s="1232">
        <v>24</v>
      </c>
      <c r="B34" s="1233"/>
      <c r="C34" s="1230"/>
      <c r="D34" s="1234"/>
      <c r="E34" s="1231"/>
      <c r="F34" s="1230"/>
      <c r="G34" s="1234"/>
      <c r="H34" s="1231"/>
      <c r="I34" s="1230"/>
      <c r="J34" s="1231"/>
      <c r="K34" s="1230"/>
      <c r="L34" s="1231"/>
      <c r="M34" s="1230"/>
      <c r="N34" s="1231"/>
      <c r="O34" s="1228"/>
      <c r="P34" s="1229"/>
      <c r="Q34" s="1230"/>
      <c r="R34" s="1231"/>
      <c r="S34" s="1230"/>
      <c r="T34" s="1231"/>
      <c r="U34" s="1212" t="str">
        <f t="shared" si="3"/>
        <v/>
      </c>
      <c r="V34" s="1213"/>
      <c r="W34" s="1213"/>
      <c r="X34" s="1213"/>
      <c r="Y34" s="1213"/>
      <c r="Z34" s="1213"/>
      <c r="AA34" s="467" t="str">
        <f t="shared" si="14"/>
        <v/>
      </c>
      <c r="AB34" s="467" t="str">
        <f t="shared" si="15"/>
        <v/>
      </c>
      <c r="AC34" s="467" t="str">
        <f t="shared" si="16"/>
        <v/>
      </c>
      <c r="AD34" s="467" t="str">
        <f t="shared" si="17"/>
        <v/>
      </c>
      <c r="AE34" s="468" t="str">
        <f t="shared" si="18"/>
        <v>○</v>
      </c>
      <c r="AF34" s="468" t="str">
        <f t="shared" si="2"/>
        <v/>
      </c>
      <c r="AG34" s="468" t="str">
        <f t="shared" si="7"/>
        <v/>
      </c>
      <c r="AH34" s="468" t="str">
        <f t="shared" si="8"/>
        <v/>
      </c>
      <c r="AI34" s="468" t="str">
        <f t="shared" si="9"/>
        <v/>
      </c>
      <c r="AJ34" s="468" t="str">
        <f t="shared" si="10"/>
        <v/>
      </c>
      <c r="AK34" s="468" t="str">
        <f t="shared" si="11"/>
        <v/>
      </c>
      <c r="AL34" s="468" t="str">
        <f t="shared" si="12"/>
        <v/>
      </c>
      <c r="AM34" s="468" t="str">
        <f t="shared" si="13"/>
        <v/>
      </c>
      <c r="AZ34" s="462"/>
      <c r="BA34" s="462"/>
    </row>
    <row r="35" spans="1:53" ht="13.5" customHeight="1">
      <c r="A35" s="1232">
        <v>25</v>
      </c>
      <c r="B35" s="1233"/>
      <c r="C35" s="1230"/>
      <c r="D35" s="1234"/>
      <c r="E35" s="1231"/>
      <c r="F35" s="1230"/>
      <c r="G35" s="1234"/>
      <c r="H35" s="1231"/>
      <c r="I35" s="1230"/>
      <c r="J35" s="1231"/>
      <c r="K35" s="1230"/>
      <c r="L35" s="1231"/>
      <c r="M35" s="1230"/>
      <c r="N35" s="1231"/>
      <c r="O35" s="1228"/>
      <c r="P35" s="1229"/>
      <c r="Q35" s="1230"/>
      <c r="R35" s="1231"/>
      <c r="S35" s="1230"/>
      <c r="T35" s="1231"/>
      <c r="U35" s="1212" t="str">
        <f t="shared" si="3"/>
        <v/>
      </c>
      <c r="V35" s="1213"/>
      <c r="W35" s="1213"/>
      <c r="X35" s="1213"/>
      <c r="Y35" s="1213"/>
      <c r="Z35" s="1213"/>
      <c r="AA35" s="467" t="str">
        <f t="shared" si="14"/>
        <v/>
      </c>
      <c r="AB35" s="467" t="str">
        <f t="shared" si="15"/>
        <v/>
      </c>
      <c r="AC35" s="467" t="str">
        <f t="shared" si="16"/>
        <v/>
      </c>
      <c r="AD35" s="467" t="str">
        <f t="shared" si="17"/>
        <v/>
      </c>
      <c r="AE35" s="468" t="str">
        <f t="shared" si="18"/>
        <v>○</v>
      </c>
      <c r="AF35" s="468" t="str">
        <f t="shared" si="2"/>
        <v/>
      </c>
      <c r="AG35" s="468" t="str">
        <f t="shared" si="7"/>
        <v/>
      </c>
      <c r="AH35" s="468" t="str">
        <f t="shared" si="8"/>
        <v/>
      </c>
      <c r="AI35" s="468" t="str">
        <f t="shared" si="9"/>
        <v/>
      </c>
      <c r="AJ35" s="468" t="str">
        <f t="shared" si="10"/>
        <v/>
      </c>
      <c r="AK35" s="468" t="str">
        <f t="shared" si="11"/>
        <v/>
      </c>
      <c r="AL35" s="468" t="str">
        <f t="shared" si="12"/>
        <v/>
      </c>
      <c r="AM35" s="468" t="str">
        <f t="shared" si="13"/>
        <v/>
      </c>
      <c r="AZ35" s="462"/>
      <c r="BA35" s="462"/>
    </row>
    <row r="36" spans="1:53" ht="13.5" customHeight="1">
      <c r="A36" s="1232">
        <v>26</v>
      </c>
      <c r="B36" s="1233"/>
      <c r="C36" s="1230"/>
      <c r="D36" s="1234"/>
      <c r="E36" s="1231"/>
      <c r="F36" s="1230"/>
      <c r="G36" s="1234"/>
      <c r="H36" s="1231"/>
      <c r="I36" s="1230"/>
      <c r="J36" s="1231"/>
      <c r="K36" s="1230"/>
      <c r="L36" s="1231"/>
      <c r="M36" s="1230"/>
      <c r="N36" s="1231"/>
      <c r="O36" s="1228"/>
      <c r="P36" s="1229"/>
      <c r="Q36" s="1230"/>
      <c r="R36" s="1231"/>
      <c r="S36" s="1230"/>
      <c r="T36" s="1231"/>
      <c r="U36" s="1212" t="str">
        <f t="shared" si="3"/>
        <v/>
      </c>
      <c r="V36" s="1213"/>
      <c r="W36" s="1213"/>
      <c r="X36" s="1213"/>
      <c r="Y36" s="1213"/>
      <c r="Z36" s="1213"/>
      <c r="AA36" s="467" t="str">
        <f t="shared" si="14"/>
        <v/>
      </c>
      <c r="AB36" s="467" t="str">
        <f t="shared" si="15"/>
        <v/>
      </c>
      <c r="AC36" s="467" t="str">
        <f t="shared" si="16"/>
        <v/>
      </c>
      <c r="AD36" s="467" t="str">
        <f t="shared" si="17"/>
        <v/>
      </c>
      <c r="AE36" s="468" t="str">
        <f t="shared" si="18"/>
        <v>○</v>
      </c>
      <c r="AF36" s="468" t="str">
        <f t="shared" si="2"/>
        <v/>
      </c>
      <c r="AG36" s="468" t="str">
        <f t="shared" si="7"/>
        <v/>
      </c>
      <c r="AH36" s="468" t="str">
        <f t="shared" si="8"/>
        <v/>
      </c>
      <c r="AI36" s="468" t="str">
        <f t="shared" si="9"/>
        <v/>
      </c>
      <c r="AJ36" s="468" t="str">
        <f t="shared" si="10"/>
        <v/>
      </c>
      <c r="AK36" s="468" t="str">
        <f t="shared" si="11"/>
        <v/>
      </c>
      <c r="AL36" s="468" t="str">
        <f t="shared" si="12"/>
        <v/>
      </c>
      <c r="AM36" s="468" t="str">
        <f t="shared" si="13"/>
        <v/>
      </c>
      <c r="AZ36" s="462"/>
      <c r="BA36" s="462"/>
    </row>
    <row r="37" spans="1:53" ht="13.5" customHeight="1">
      <c r="A37" s="1232">
        <v>27</v>
      </c>
      <c r="B37" s="1233"/>
      <c r="C37" s="1230"/>
      <c r="D37" s="1234"/>
      <c r="E37" s="1231"/>
      <c r="F37" s="1230"/>
      <c r="G37" s="1234"/>
      <c r="H37" s="1231"/>
      <c r="I37" s="1230"/>
      <c r="J37" s="1231"/>
      <c r="K37" s="1230"/>
      <c r="L37" s="1231"/>
      <c r="M37" s="1230"/>
      <c r="N37" s="1231"/>
      <c r="O37" s="1228"/>
      <c r="P37" s="1229"/>
      <c r="Q37" s="1230"/>
      <c r="R37" s="1231"/>
      <c r="S37" s="1230"/>
      <c r="T37" s="1231"/>
      <c r="U37" s="1212" t="str">
        <f t="shared" si="3"/>
        <v/>
      </c>
      <c r="V37" s="1213"/>
      <c r="W37" s="1213"/>
      <c r="X37" s="1213"/>
      <c r="Y37" s="1213"/>
      <c r="Z37" s="1213"/>
      <c r="AA37" s="467" t="str">
        <f t="shared" si="14"/>
        <v/>
      </c>
      <c r="AB37" s="467" t="str">
        <f t="shared" si="15"/>
        <v/>
      </c>
      <c r="AC37" s="467" t="str">
        <f t="shared" si="16"/>
        <v/>
      </c>
      <c r="AD37" s="467" t="str">
        <f t="shared" si="17"/>
        <v/>
      </c>
      <c r="AE37" s="468" t="str">
        <f t="shared" si="18"/>
        <v>○</v>
      </c>
      <c r="AF37" s="468" t="str">
        <f t="shared" si="2"/>
        <v/>
      </c>
      <c r="AG37" s="468" t="str">
        <f t="shared" si="7"/>
        <v/>
      </c>
      <c r="AH37" s="468" t="str">
        <f t="shared" si="8"/>
        <v/>
      </c>
      <c r="AI37" s="468" t="str">
        <f t="shared" si="9"/>
        <v/>
      </c>
      <c r="AJ37" s="468" t="str">
        <f t="shared" si="10"/>
        <v/>
      </c>
      <c r="AK37" s="468" t="str">
        <f t="shared" si="11"/>
        <v/>
      </c>
      <c r="AL37" s="468" t="str">
        <f t="shared" si="12"/>
        <v/>
      </c>
      <c r="AM37" s="468" t="str">
        <f t="shared" si="13"/>
        <v/>
      </c>
      <c r="AZ37" s="462"/>
      <c r="BA37" s="462"/>
    </row>
    <row r="38" spans="1:53" ht="13.5" customHeight="1">
      <c r="A38" s="1232">
        <v>28</v>
      </c>
      <c r="B38" s="1233"/>
      <c r="C38" s="1230"/>
      <c r="D38" s="1234"/>
      <c r="E38" s="1231"/>
      <c r="F38" s="1230"/>
      <c r="G38" s="1234"/>
      <c r="H38" s="1231"/>
      <c r="I38" s="1230"/>
      <c r="J38" s="1231"/>
      <c r="K38" s="1230"/>
      <c r="L38" s="1231"/>
      <c r="M38" s="1230"/>
      <c r="N38" s="1231"/>
      <c r="O38" s="1228"/>
      <c r="P38" s="1229"/>
      <c r="Q38" s="1230"/>
      <c r="R38" s="1231"/>
      <c r="S38" s="1230"/>
      <c r="T38" s="1231"/>
      <c r="U38" s="1212" t="str">
        <f t="shared" si="3"/>
        <v/>
      </c>
      <c r="V38" s="1213"/>
      <c r="W38" s="1213"/>
      <c r="X38" s="1213"/>
      <c r="Y38" s="1213"/>
      <c r="Z38" s="1213"/>
      <c r="AA38" s="467" t="str">
        <f t="shared" si="14"/>
        <v/>
      </c>
      <c r="AB38" s="467" t="str">
        <f t="shared" si="15"/>
        <v/>
      </c>
      <c r="AC38" s="467" t="str">
        <f t="shared" si="16"/>
        <v/>
      </c>
      <c r="AD38" s="467" t="str">
        <f t="shared" si="17"/>
        <v/>
      </c>
      <c r="AE38" s="468" t="str">
        <f t="shared" si="18"/>
        <v>○</v>
      </c>
      <c r="AF38" s="468" t="str">
        <f t="shared" si="2"/>
        <v/>
      </c>
      <c r="AG38" s="468" t="str">
        <f t="shared" si="7"/>
        <v/>
      </c>
      <c r="AH38" s="468" t="str">
        <f t="shared" si="8"/>
        <v/>
      </c>
      <c r="AI38" s="468" t="str">
        <f t="shared" si="9"/>
        <v/>
      </c>
      <c r="AJ38" s="468" t="str">
        <f t="shared" si="10"/>
        <v/>
      </c>
      <c r="AK38" s="468" t="str">
        <f t="shared" si="11"/>
        <v/>
      </c>
      <c r="AL38" s="468" t="str">
        <f t="shared" si="12"/>
        <v/>
      </c>
      <c r="AM38" s="468" t="str">
        <f t="shared" si="13"/>
        <v/>
      </c>
      <c r="AZ38" s="462"/>
      <c r="BA38" s="462"/>
    </row>
    <row r="39" spans="1:53" ht="13.5" customHeight="1">
      <c r="A39" s="1232">
        <v>29</v>
      </c>
      <c r="B39" s="1233"/>
      <c r="C39" s="1230"/>
      <c r="D39" s="1234"/>
      <c r="E39" s="1231"/>
      <c r="F39" s="1230"/>
      <c r="G39" s="1234"/>
      <c r="H39" s="1231"/>
      <c r="I39" s="1230"/>
      <c r="J39" s="1231"/>
      <c r="K39" s="1230"/>
      <c r="L39" s="1231"/>
      <c r="M39" s="1230"/>
      <c r="N39" s="1231"/>
      <c r="O39" s="1228"/>
      <c r="P39" s="1229"/>
      <c r="Q39" s="1230"/>
      <c r="R39" s="1231"/>
      <c r="S39" s="1230"/>
      <c r="T39" s="1231"/>
      <c r="U39" s="1212" t="str">
        <f t="shared" si="3"/>
        <v/>
      </c>
      <c r="V39" s="1213"/>
      <c r="W39" s="1213"/>
      <c r="X39" s="1213"/>
      <c r="Y39" s="1213"/>
      <c r="Z39" s="1213"/>
      <c r="AA39" s="467" t="str">
        <f t="shared" si="14"/>
        <v/>
      </c>
      <c r="AB39" s="467" t="str">
        <f t="shared" si="15"/>
        <v/>
      </c>
      <c r="AC39" s="467" t="str">
        <f t="shared" si="16"/>
        <v/>
      </c>
      <c r="AD39" s="467" t="str">
        <f t="shared" si="17"/>
        <v/>
      </c>
      <c r="AE39" s="468" t="str">
        <f t="shared" si="18"/>
        <v>○</v>
      </c>
      <c r="AF39" s="468" t="str">
        <f t="shared" si="2"/>
        <v/>
      </c>
      <c r="AG39" s="468" t="str">
        <f t="shared" si="7"/>
        <v/>
      </c>
      <c r="AH39" s="468" t="str">
        <f t="shared" si="8"/>
        <v/>
      </c>
      <c r="AI39" s="468" t="str">
        <f t="shared" si="9"/>
        <v/>
      </c>
      <c r="AJ39" s="468" t="str">
        <f t="shared" si="10"/>
        <v/>
      </c>
      <c r="AK39" s="468" t="str">
        <f t="shared" si="11"/>
        <v/>
      </c>
      <c r="AL39" s="468" t="str">
        <f t="shared" si="12"/>
        <v/>
      </c>
      <c r="AM39" s="468" t="str">
        <f t="shared" si="13"/>
        <v/>
      </c>
      <c r="AZ39" s="462"/>
      <c r="BA39" s="462"/>
    </row>
    <row r="40" spans="1:53" ht="13.5" customHeight="1">
      <c r="A40" s="1232">
        <v>30</v>
      </c>
      <c r="B40" s="1233"/>
      <c r="C40" s="1230"/>
      <c r="D40" s="1234"/>
      <c r="E40" s="1231"/>
      <c r="F40" s="1230"/>
      <c r="G40" s="1234"/>
      <c r="H40" s="1231"/>
      <c r="I40" s="1230"/>
      <c r="J40" s="1231"/>
      <c r="K40" s="1230"/>
      <c r="L40" s="1231"/>
      <c r="M40" s="1230"/>
      <c r="N40" s="1231"/>
      <c r="O40" s="1228"/>
      <c r="P40" s="1229"/>
      <c r="Q40" s="1230"/>
      <c r="R40" s="1231"/>
      <c r="S40" s="1230"/>
      <c r="T40" s="1231"/>
      <c r="U40" s="1212" t="str">
        <f t="shared" si="3"/>
        <v/>
      </c>
      <c r="V40" s="1213"/>
      <c r="W40" s="1213"/>
      <c r="X40" s="1213"/>
      <c r="Y40" s="1213"/>
      <c r="Z40" s="1213"/>
      <c r="AA40" s="467" t="str">
        <f t="shared" si="14"/>
        <v/>
      </c>
      <c r="AB40" s="467" t="str">
        <f t="shared" si="15"/>
        <v/>
      </c>
      <c r="AC40" s="467" t="str">
        <f t="shared" si="16"/>
        <v/>
      </c>
      <c r="AD40" s="467" t="str">
        <f t="shared" si="17"/>
        <v/>
      </c>
      <c r="AE40" s="468" t="str">
        <f t="shared" si="18"/>
        <v>○</v>
      </c>
      <c r="AF40" s="468" t="str">
        <f t="shared" si="2"/>
        <v/>
      </c>
      <c r="AG40" s="468" t="str">
        <f t="shared" si="7"/>
        <v/>
      </c>
      <c r="AH40" s="468" t="str">
        <f t="shared" si="8"/>
        <v/>
      </c>
      <c r="AI40" s="468" t="str">
        <f t="shared" si="9"/>
        <v/>
      </c>
      <c r="AJ40" s="468" t="str">
        <f t="shared" si="10"/>
        <v/>
      </c>
      <c r="AK40" s="468" t="str">
        <f t="shared" si="11"/>
        <v/>
      </c>
      <c r="AL40" s="468" t="str">
        <f t="shared" si="12"/>
        <v/>
      </c>
      <c r="AM40" s="468" t="str">
        <f t="shared" si="13"/>
        <v/>
      </c>
      <c r="AZ40" s="462"/>
      <c r="BA40" s="462"/>
    </row>
    <row r="41" spans="1:53" ht="13.5" customHeight="1">
      <c r="A41" s="1232">
        <v>31</v>
      </c>
      <c r="B41" s="1233"/>
      <c r="C41" s="1230"/>
      <c r="D41" s="1234"/>
      <c r="E41" s="1231"/>
      <c r="F41" s="1230"/>
      <c r="G41" s="1234"/>
      <c r="H41" s="1231"/>
      <c r="I41" s="1230"/>
      <c r="J41" s="1231"/>
      <c r="K41" s="1230"/>
      <c r="L41" s="1231"/>
      <c r="M41" s="1230"/>
      <c r="N41" s="1231"/>
      <c r="O41" s="1228"/>
      <c r="P41" s="1229"/>
      <c r="Q41" s="1230"/>
      <c r="R41" s="1231"/>
      <c r="S41" s="1230"/>
      <c r="T41" s="1231"/>
      <c r="U41" s="1212" t="str">
        <f t="shared" si="3"/>
        <v/>
      </c>
      <c r="V41" s="1213"/>
      <c r="W41" s="1213"/>
      <c r="X41" s="1213"/>
      <c r="Y41" s="1213"/>
      <c r="Z41" s="1213"/>
      <c r="AA41" s="467" t="str">
        <f t="shared" si="14"/>
        <v/>
      </c>
      <c r="AB41" s="467" t="str">
        <f t="shared" si="15"/>
        <v/>
      </c>
      <c r="AC41" s="467" t="str">
        <f t="shared" si="16"/>
        <v/>
      </c>
      <c r="AD41" s="467" t="str">
        <f t="shared" si="17"/>
        <v/>
      </c>
      <c r="AE41" s="468" t="str">
        <f t="shared" si="18"/>
        <v>○</v>
      </c>
      <c r="AF41" s="468" t="str">
        <f t="shared" si="2"/>
        <v/>
      </c>
      <c r="AG41" s="468" t="str">
        <f t="shared" si="7"/>
        <v/>
      </c>
      <c r="AH41" s="468" t="str">
        <f t="shared" si="8"/>
        <v/>
      </c>
      <c r="AI41" s="468" t="str">
        <f t="shared" si="9"/>
        <v/>
      </c>
      <c r="AJ41" s="468" t="str">
        <f t="shared" si="10"/>
        <v/>
      </c>
      <c r="AK41" s="468" t="str">
        <f t="shared" si="11"/>
        <v/>
      </c>
      <c r="AL41" s="468" t="str">
        <f t="shared" si="12"/>
        <v/>
      </c>
      <c r="AM41" s="468" t="str">
        <f t="shared" si="13"/>
        <v/>
      </c>
      <c r="AZ41" s="462"/>
      <c r="BA41" s="462"/>
    </row>
    <row r="42" spans="1:53" ht="13.5" customHeight="1">
      <c r="A42" s="1232">
        <v>32</v>
      </c>
      <c r="B42" s="1233"/>
      <c r="C42" s="1230"/>
      <c r="D42" s="1234"/>
      <c r="E42" s="1231"/>
      <c r="F42" s="1230"/>
      <c r="G42" s="1234"/>
      <c r="H42" s="1231"/>
      <c r="I42" s="1230"/>
      <c r="J42" s="1231"/>
      <c r="K42" s="1230"/>
      <c r="L42" s="1231"/>
      <c r="M42" s="1230"/>
      <c r="N42" s="1231"/>
      <c r="O42" s="1228"/>
      <c r="P42" s="1229"/>
      <c r="Q42" s="1230"/>
      <c r="R42" s="1231"/>
      <c r="S42" s="1230"/>
      <c r="T42" s="1231"/>
      <c r="U42" s="1212" t="str">
        <f t="shared" si="3"/>
        <v/>
      </c>
      <c r="V42" s="1213"/>
      <c r="W42" s="1213"/>
      <c r="X42" s="1213"/>
      <c r="Y42" s="1213"/>
      <c r="Z42" s="1213"/>
      <c r="AA42" s="467" t="str">
        <f t="shared" si="14"/>
        <v/>
      </c>
      <c r="AB42" s="467" t="str">
        <f t="shared" si="15"/>
        <v/>
      </c>
      <c r="AC42" s="467" t="str">
        <f t="shared" si="16"/>
        <v/>
      </c>
      <c r="AD42" s="467" t="str">
        <f t="shared" si="17"/>
        <v/>
      </c>
      <c r="AE42" s="468" t="str">
        <f t="shared" si="18"/>
        <v>○</v>
      </c>
      <c r="AF42" s="468" t="str">
        <f t="shared" si="2"/>
        <v/>
      </c>
      <c r="AG42" s="468" t="str">
        <f t="shared" si="7"/>
        <v/>
      </c>
      <c r="AH42" s="468" t="str">
        <f t="shared" si="8"/>
        <v/>
      </c>
      <c r="AI42" s="468" t="str">
        <f t="shared" si="9"/>
        <v/>
      </c>
      <c r="AJ42" s="468" t="str">
        <f t="shared" si="10"/>
        <v/>
      </c>
      <c r="AK42" s="468" t="str">
        <f t="shared" si="11"/>
        <v/>
      </c>
      <c r="AL42" s="468" t="str">
        <f t="shared" si="12"/>
        <v/>
      </c>
      <c r="AM42" s="468" t="str">
        <f t="shared" si="13"/>
        <v/>
      </c>
      <c r="AZ42" s="462"/>
      <c r="BA42" s="462"/>
    </row>
    <row r="43" spans="1:53" ht="13.5" customHeight="1">
      <c r="A43" s="1232">
        <v>33</v>
      </c>
      <c r="B43" s="1233"/>
      <c r="C43" s="1230"/>
      <c r="D43" s="1234"/>
      <c r="E43" s="1231"/>
      <c r="F43" s="1230"/>
      <c r="G43" s="1234"/>
      <c r="H43" s="1231"/>
      <c r="I43" s="1230"/>
      <c r="J43" s="1231"/>
      <c r="K43" s="1230"/>
      <c r="L43" s="1231"/>
      <c r="M43" s="1230"/>
      <c r="N43" s="1231"/>
      <c r="O43" s="1228"/>
      <c r="P43" s="1229"/>
      <c r="Q43" s="1230"/>
      <c r="R43" s="1231"/>
      <c r="S43" s="1230"/>
      <c r="T43" s="1231"/>
      <c r="U43" s="1212" t="str">
        <f t="shared" si="3"/>
        <v/>
      </c>
      <c r="V43" s="1213"/>
      <c r="W43" s="1213"/>
      <c r="X43" s="1213"/>
      <c r="Y43" s="1213"/>
      <c r="Z43" s="1213"/>
      <c r="AA43" s="467" t="str">
        <f t="shared" si="14"/>
        <v/>
      </c>
      <c r="AB43" s="467" t="str">
        <f t="shared" si="15"/>
        <v/>
      </c>
      <c r="AC43" s="467" t="str">
        <f t="shared" si="16"/>
        <v/>
      </c>
      <c r="AD43" s="467" t="str">
        <f t="shared" si="17"/>
        <v/>
      </c>
      <c r="AE43" s="468" t="str">
        <f t="shared" si="18"/>
        <v>○</v>
      </c>
      <c r="AF43" s="468" t="str">
        <f t="shared" si="2"/>
        <v/>
      </c>
      <c r="AG43" s="468" t="str">
        <f t="shared" si="7"/>
        <v/>
      </c>
      <c r="AH43" s="468" t="str">
        <f t="shared" si="8"/>
        <v/>
      </c>
      <c r="AI43" s="468" t="str">
        <f t="shared" si="9"/>
        <v/>
      </c>
      <c r="AJ43" s="468" t="str">
        <f t="shared" si="10"/>
        <v/>
      </c>
      <c r="AK43" s="468" t="str">
        <f t="shared" si="11"/>
        <v/>
      </c>
      <c r="AL43" s="468" t="str">
        <f t="shared" si="12"/>
        <v/>
      </c>
      <c r="AM43" s="468" t="str">
        <f t="shared" si="13"/>
        <v/>
      </c>
      <c r="AZ43" s="462"/>
      <c r="BA43" s="462"/>
    </row>
    <row r="44" spans="1:53" ht="13.5" customHeight="1">
      <c r="A44" s="1232">
        <v>34</v>
      </c>
      <c r="B44" s="1233"/>
      <c r="C44" s="1230"/>
      <c r="D44" s="1234"/>
      <c r="E44" s="1231"/>
      <c r="F44" s="1230"/>
      <c r="G44" s="1234"/>
      <c r="H44" s="1231"/>
      <c r="I44" s="1230"/>
      <c r="J44" s="1231"/>
      <c r="K44" s="1230"/>
      <c r="L44" s="1231"/>
      <c r="M44" s="1230"/>
      <c r="N44" s="1231"/>
      <c r="O44" s="1228"/>
      <c r="P44" s="1229"/>
      <c r="Q44" s="1230"/>
      <c r="R44" s="1231"/>
      <c r="S44" s="1230"/>
      <c r="T44" s="1231"/>
      <c r="U44" s="1212" t="str">
        <f t="shared" si="3"/>
        <v/>
      </c>
      <c r="V44" s="1213"/>
      <c r="W44" s="1213"/>
      <c r="X44" s="1213"/>
      <c r="Y44" s="1213"/>
      <c r="Z44" s="1213"/>
      <c r="AA44" s="467" t="str">
        <f t="shared" si="14"/>
        <v/>
      </c>
      <c r="AB44" s="467" t="str">
        <f t="shared" si="15"/>
        <v/>
      </c>
      <c r="AC44" s="467" t="str">
        <f t="shared" si="16"/>
        <v/>
      </c>
      <c r="AD44" s="467" t="str">
        <f t="shared" si="17"/>
        <v/>
      </c>
      <c r="AE44" s="468" t="str">
        <f t="shared" si="18"/>
        <v>○</v>
      </c>
      <c r="AF44" s="468" t="str">
        <f t="shared" si="2"/>
        <v/>
      </c>
      <c r="AG44" s="468" t="str">
        <f t="shared" si="7"/>
        <v/>
      </c>
      <c r="AH44" s="468" t="str">
        <f t="shared" si="8"/>
        <v/>
      </c>
      <c r="AI44" s="468" t="str">
        <f t="shared" si="9"/>
        <v/>
      </c>
      <c r="AJ44" s="468" t="str">
        <f t="shared" si="10"/>
        <v/>
      </c>
      <c r="AK44" s="468" t="str">
        <f t="shared" si="11"/>
        <v/>
      </c>
      <c r="AL44" s="468" t="str">
        <f t="shared" si="12"/>
        <v/>
      </c>
      <c r="AM44" s="468" t="str">
        <f t="shared" si="13"/>
        <v/>
      </c>
      <c r="AZ44" s="462"/>
      <c r="BA44" s="462"/>
    </row>
    <row r="45" spans="1:53" ht="13.5" customHeight="1">
      <c r="A45" s="1232">
        <v>35</v>
      </c>
      <c r="B45" s="1233"/>
      <c r="C45" s="1230"/>
      <c r="D45" s="1234"/>
      <c r="E45" s="1231"/>
      <c r="F45" s="1230"/>
      <c r="G45" s="1234"/>
      <c r="H45" s="1231"/>
      <c r="I45" s="1230"/>
      <c r="J45" s="1231"/>
      <c r="K45" s="1230"/>
      <c r="L45" s="1231"/>
      <c r="M45" s="1230"/>
      <c r="N45" s="1231"/>
      <c r="O45" s="1228"/>
      <c r="P45" s="1229"/>
      <c r="Q45" s="1230"/>
      <c r="R45" s="1231"/>
      <c r="S45" s="1230"/>
      <c r="T45" s="1231"/>
      <c r="U45" s="1212" t="str">
        <f t="shared" si="3"/>
        <v/>
      </c>
      <c r="V45" s="1213"/>
      <c r="W45" s="1213"/>
      <c r="X45" s="1213"/>
      <c r="Y45" s="1213"/>
      <c r="Z45" s="1213"/>
      <c r="AA45" s="467" t="str">
        <f t="shared" si="14"/>
        <v/>
      </c>
      <c r="AB45" s="467" t="str">
        <f t="shared" si="15"/>
        <v/>
      </c>
      <c r="AC45" s="467" t="str">
        <f t="shared" si="16"/>
        <v/>
      </c>
      <c r="AD45" s="467" t="str">
        <f t="shared" si="17"/>
        <v/>
      </c>
      <c r="AE45" s="468" t="str">
        <f t="shared" si="18"/>
        <v>○</v>
      </c>
      <c r="AF45" s="468" t="str">
        <f t="shared" si="2"/>
        <v/>
      </c>
      <c r="AG45" s="468" t="str">
        <f t="shared" si="7"/>
        <v/>
      </c>
      <c r="AH45" s="468" t="str">
        <f t="shared" si="8"/>
        <v/>
      </c>
      <c r="AI45" s="468" t="str">
        <f t="shared" si="9"/>
        <v/>
      </c>
      <c r="AJ45" s="468" t="str">
        <f t="shared" si="10"/>
        <v/>
      </c>
      <c r="AK45" s="468" t="str">
        <f t="shared" si="11"/>
        <v/>
      </c>
      <c r="AL45" s="468" t="str">
        <f t="shared" si="12"/>
        <v/>
      </c>
      <c r="AM45" s="468" t="str">
        <f t="shared" si="13"/>
        <v/>
      </c>
      <c r="AZ45" s="462"/>
      <c r="BA45" s="462"/>
    </row>
    <row r="46" spans="1:53" ht="13.5" customHeight="1">
      <c r="A46" s="1232">
        <v>36</v>
      </c>
      <c r="B46" s="1233"/>
      <c r="C46" s="1230"/>
      <c r="D46" s="1234"/>
      <c r="E46" s="1231"/>
      <c r="F46" s="1230"/>
      <c r="G46" s="1234"/>
      <c r="H46" s="1231"/>
      <c r="I46" s="1230"/>
      <c r="J46" s="1231"/>
      <c r="K46" s="1230"/>
      <c r="L46" s="1231"/>
      <c r="M46" s="1230"/>
      <c r="N46" s="1231"/>
      <c r="O46" s="1228"/>
      <c r="P46" s="1229"/>
      <c r="Q46" s="1230"/>
      <c r="R46" s="1231"/>
      <c r="S46" s="1230"/>
      <c r="T46" s="1231"/>
      <c r="U46" s="1212" t="str">
        <f t="shared" si="3"/>
        <v/>
      </c>
      <c r="V46" s="1213"/>
      <c r="W46" s="1213"/>
      <c r="X46" s="1213"/>
      <c r="Y46" s="1213"/>
      <c r="Z46" s="1213"/>
      <c r="AA46" s="467" t="str">
        <f t="shared" si="14"/>
        <v/>
      </c>
      <c r="AB46" s="467" t="str">
        <f t="shared" si="15"/>
        <v/>
      </c>
      <c r="AC46" s="467" t="str">
        <f t="shared" si="16"/>
        <v/>
      </c>
      <c r="AD46" s="467" t="str">
        <f t="shared" si="17"/>
        <v/>
      </c>
      <c r="AE46" s="468" t="str">
        <f t="shared" si="18"/>
        <v>○</v>
      </c>
      <c r="AF46" s="468" t="str">
        <f t="shared" si="2"/>
        <v/>
      </c>
      <c r="AG46" s="468" t="str">
        <f t="shared" si="7"/>
        <v/>
      </c>
      <c r="AH46" s="468" t="str">
        <f t="shared" si="8"/>
        <v/>
      </c>
      <c r="AI46" s="468" t="str">
        <f t="shared" si="9"/>
        <v/>
      </c>
      <c r="AJ46" s="468" t="str">
        <f t="shared" si="10"/>
        <v/>
      </c>
      <c r="AK46" s="468" t="str">
        <f t="shared" si="11"/>
        <v/>
      </c>
      <c r="AL46" s="468" t="str">
        <f t="shared" si="12"/>
        <v/>
      </c>
      <c r="AM46" s="468" t="str">
        <f t="shared" si="13"/>
        <v/>
      </c>
      <c r="AZ46" s="462"/>
      <c r="BA46" s="462"/>
    </row>
    <row r="47" spans="1:53" ht="13.5" customHeight="1">
      <c r="A47" s="1232">
        <v>37</v>
      </c>
      <c r="B47" s="1233"/>
      <c r="C47" s="1230"/>
      <c r="D47" s="1234"/>
      <c r="E47" s="1231"/>
      <c r="F47" s="1230"/>
      <c r="G47" s="1234"/>
      <c r="H47" s="1231"/>
      <c r="I47" s="1230"/>
      <c r="J47" s="1231"/>
      <c r="K47" s="1230"/>
      <c r="L47" s="1231"/>
      <c r="M47" s="1230"/>
      <c r="N47" s="1231"/>
      <c r="O47" s="1228"/>
      <c r="P47" s="1229"/>
      <c r="Q47" s="1230"/>
      <c r="R47" s="1231"/>
      <c r="S47" s="1230"/>
      <c r="T47" s="1231"/>
      <c r="U47" s="1212" t="str">
        <f t="shared" si="3"/>
        <v/>
      </c>
      <c r="V47" s="1213"/>
      <c r="W47" s="1213"/>
      <c r="X47" s="1213"/>
      <c r="Y47" s="1213"/>
      <c r="Z47" s="1213"/>
      <c r="AA47" s="467" t="str">
        <f t="shared" si="14"/>
        <v/>
      </c>
      <c r="AB47" s="467" t="str">
        <f t="shared" si="15"/>
        <v/>
      </c>
      <c r="AC47" s="467" t="str">
        <f t="shared" si="16"/>
        <v/>
      </c>
      <c r="AD47" s="467" t="str">
        <f t="shared" si="17"/>
        <v/>
      </c>
      <c r="AE47" s="468" t="str">
        <f t="shared" si="18"/>
        <v>○</v>
      </c>
      <c r="AF47" s="468" t="str">
        <f t="shared" si="2"/>
        <v/>
      </c>
      <c r="AG47" s="468" t="str">
        <f t="shared" si="7"/>
        <v/>
      </c>
      <c r="AH47" s="468" t="str">
        <f t="shared" si="8"/>
        <v/>
      </c>
      <c r="AI47" s="468" t="str">
        <f t="shared" si="9"/>
        <v/>
      </c>
      <c r="AJ47" s="468" t="str">
        <f t="shared" si="10"/>
        <v/>
      </c>
      <c r="AK47" s="468" t="str">
        <f t="shared" si="11"/>
        <v/>
      </c>
      <c r="AL47" s="468" t="str">
        <f t="shared" si="12"/>
        <v/>
      </c>
      <c r="AM47" s="468" t="str">
        <f t="shared" si="13"/>
        <v/>
      </c>
      <c r="AZ47" s="462"/>
      <c r="BA47" s="462"/>
    </row>
    <row r="48" spans="1:53" ht="13.5" customHeight="1">
      <c r="A48" s="1232">
        <v>38</v>
      </c>
      <c r="B48" s="1233"/>
      <c r="C48" s="1230"/>
      <c r="D48" s="1234"/>
      <c r="E48" s="1231"/>
      <c r="F48" s="1230"/>
      <c r="G48" s="1234"/>
      <c r="H48" s="1231"/>
      <c r="I48" s="1230"/>
      <c r="J48" s="1231"/>
      <c r="K48" s="1230"/>
      <c r="L48" s="1231"/>
      <c r="M48" s="1230"/>
      <c r="N48" s="1231"/>
      <c r="O48" s="1228"/>
      <c r="P48" s="1229"/>
      <c r="Q48" s="1230"/>
      <c r="R48" s="1231"/>
      <c r="S48" s="1230"/>
      <c r="T48" s="1231"/>
      <c r="U48" s="1212" t="str">
        <f t="shared" si="3"/>
        <v/>
      </c>
      <c r="V48" s="1213"/>
      <c r="W48" s="1213"/>
      <c r="X48" s="1213"/>
      <c r="Y48" s="1213"/>
      <c r="Z48" s="1213"/>
      <c r="AA48" s="467" t="str">
        <f t="shared" si="14"/>
        <v/>
      </c>
      <c r="AB48" s="467" t="str">
        <f t="shared" si="15"/>
        <v/>
      </c>
      <c r="AC48" s="467" t="str">
        <f t="shared" si="16"/>
        <v/>
      </c>
      <c r="AD48" s="467" t="str">
        <f t="shared" si="17"/>
        <v/>
      </c>
      <c r="AE48" s="468" t="str">
        <f t="shared" si="18"/>
        <v>○</v>
      </c>
      <c r="AF48" s="468" t="str">
        <f t="shared" si="2"/>
        <v/>
      </c>
      <c r="AG48" s="468" t="str">
        <f t="shared" si="7"/>
        <v/>
      </c>
      <c r="AH48" s="468" t="str">
        <f t="shared" si="8"/>
        <v/>
      </c>
      <c r="AI48" s="468" t="str">
        <f t="shared" si="9"/>
        <v/>
      </c>
      <c r="AJ48" s="468" t="str">
        <f t="shared" si="10"/>
        <v/>
      </c>
      <c r="AK48" s="468" t="str">
        <f t="shared" si="11"/>
        <v/>
      </c>
      <c r="AL48" s="468" t="str">
        <f t="shared" si="12"/>
        <v/>
      </c>
      <c r="AM48" s="468" t="str">
        <f t="shared" si="13"/>
        <v/>
      </c>
      <c r="AZ48" s="462"/>
      <c r="BA48" s="462"/>
    </row>
    <row r="49" spans="1:53" ht="13.5" customHeight="1">
      <c r="A49" s="1232">
        <v>39</v>
      </c>
      <c r="B49" s="1233"/>
      <c r="C49" s="1230"/>
      <c r="D49" s="1234"/>
      <c r="E49" s="1231"/>
      <c r="F49" s="1230"/>
      <c r="G49" s="1234"/>
      <c r="H49" s="1231"/>
      <c r="I49" s="1230"/>
      <c r="J49" s="1231"/>
      <c r="K49" s="1230"/>
      <c r="L49" s="1231"/>
      <c r="M49" s="1230"/>
      <c r="N49" s="1231"/>
      <c r="O49" s="1228"/>
      <c r="P49" s="1229"/>
      <c r="Q49" s="1230"/>
      <c r="R49" s="1231"/>
      <c r="S49" s="1230"/>
      <c r="T49" s="1231"/>
      <c r="U49" s="1212" t="str">
        <f t="shared" si="3"/>
        <v/>
      </c>
      <c r="V49" s="1213"/>
      <c r="W49" s="1213"/>
      <c r="X49" s="1213"/>
      <c r="Y49" s="1213"/>
      <c r="Z49" s="1213"/>
      <c r="AA49" s="467" t="str">
        <f t="shared" si="14"/>
        <v/>
      </c>
      <c r="AB49" s="467" t="str">
        <f t="shared" si="15"/>
        <v/>
      </c>
      <c r="AC49" s="467" t="str">
        <f t="shared" si="16"/>
        <v/>
      </c>
      <c r="AD49" s="467" t="str">
        <f t="shared" si="17"/>
        <v/>
      </c>
      <c r="AE49" s="468" t="str">
        <f t="shared" si="18"/>
        <v>○</v>
      </c>
      <c r="AF49" s="468" t="str">
        <f t="shared" si="2"/>
        <v/>
      </c>
      <c r="AG49" s="468" t="str">
        <f t="shared" si="7"/>
        <v/>
      </c>
      <c r="AH49" s="468" t="str">
        <f t="shared" si="8"/>
        <v/>
      </c>
      <c r="AI49" s="468" t="str">
        <f t="shared" si="9"/>
        <v/>
      </c>
      <c r="AJ49" s="468" t="str">
        <f t="shared" si="10"/>
        <v/>
      </c>
      <c r="AK49" s="468" t="str">
        <f t="shared" si="11"/>
        <v/>
      </c>
      <c r="AL49" s="468" t="str">
        <f t="shared" si="12"/>
        <v/>
      </c>
      <c r="AM49" s="468" t="str">
        <f t="shared" si="13"/>
        <v/>
      </c>
      <c r="AZ49" s="462"/>
      <c r="BA49" s="462"/>
    </row>
    <row r="50" spans="1:53" ht="13.5" customHeight="1">
      <c r="A50" s="1232">
        <v>40</v>
      </c>
      <c r="B50" s="1233"/>
      <c r="C50" s="1230"/>
      <c r="D50" s="1234"/>
      <c r="E50" s="1231"/>
      <c r="F50" s="1230"/>
      <c r="G50" s="1234"/>
      <c r="H50" s="1231"/>
      <c r="I50" s="1230"/>
      <c r="J50" s="1231"/>
      <c r="K50" s="1230"/>
      <c r="L50" s="1231"/>
      <c r="M50" s="1230"/>
      <c r="N50" s="1231"/>
      <c r="O50" s="1228"/>
      <c r="P50" s="1229"/>
      <c r="Q50" s="1230"/>
      <c r="R50" s="1231"/>
      <c r="S50" s="1230"/>
      <c r="T50" s="1231"/>
      <c r="U50" s="1212" t="str">
        <f t="shared" si="3"/>
        <v/>
      </c>
      <c r="V50" s="1213"/>
      <c r="W50" s="1213"/>
      <c r="X50" s="1213"/>
      <c r="Y50" s="1213"/>
      <c r="Z50" s="1213"/>
      <c r="AA50" s="467" t="str">
        <f t="shared" si="14"/>
        <v/>
      </c>
      <c r="AB50" s="467" t="str">
        <f t="shared" si="15"/>
        <v/>
      </c>
      <c r="AC50" s="467" t="str">
        <f t="shared" si="16"/>
        <v/>
      </c>
      <c r="AD50" s="467" t="str">
        <f t="shared" si="17"/>
        <v/>
      </c>
      <c r="AE50" s="468" t="str">
        <f t="shared" si="18"/>
        <v>○</v>
      </c>
      <c r="AF50" s="468" t="str">
        <f t="shared" si="2"/>
        <v/>
      </c>
      <c r="AG50" s="468" t="str">
        <f t="shared" si="7"/>
        <v/>
      </c>
      <c r="AH50" s="468" t="str">
        <f t="shared" si="8"/>
        <v/>
      </c>
      <c r="AI50" s="468" t="str">
        <f t="shared" si="9"/>
        <v/>
      </c>
      <c r="AJ50" s="468" t="str">
        <f t="shared" si="10"/>
        <v/>
      </c>
      <c r="AK50" s="468" t="str">
        <f t="shared" si="11"/>
        <v/>
      </c>
      <c r="AL50" s="468" t="str">
        <f t="shared" si="12"/>
        <v/>
      </c>
      <c r="AM50" s="468" t="str">
        <f t="shared" si="13"/>
        <v/>
      </c>
      <c r="AZ50" s="462"/>
      <c r="BA50" s="462"/>
    </row>
    <row r="51" spans="1:53" ht="13.5" customHeight="1">
      <c r="A51" s="1232">
        <v>41</v>
      </c>
      <c r="B51" s="1233"/>
      <c r="C51" s="1230"/>
      <c r="D51" s="1234"/>
      <c r="E51" s="1231"/>
      <c r="F51" s="1230"/>
      <c r="G51" s="1234"/>
      <c r="H51" s="1231"/>
      <c r="I51" s="1230"/>
      <c r="J51" s="1231"/>
      <c r="K51" s="1230"/>
      <c r="L51" s="1231"/>
      <c r="M51" s="1230"/>
      <c r="N51" s="1231"/>
      <c r="O51" s="1228"/>
      <c r="P51" s="1229"/>
      <c r="Q51" s="1230"/>
      <c r="R51" s="1231"/>
      <c r="S51" s="1230"/>
      <c r="T51" s="1231"/>
      <c r="U51" s="1212" t="str">
        <f t="shared" si="3"/>
        <v/>
      </c>
      <c r="V51" s="1213"/>
      <c r="W51" s="1213"/>
      <c r="X51" s="1213"/>
      <c r="Y51" s="1213"/>
      <c r="Z51" s="1213"/>
      <c r="AA51" s="467" t="str">
        <f t="shared" si="14"/>
        <v/>
      </c>
      <c r="AB51" s="467" t="str">
        <f t="shared" si="15"/>
        <v/>
      </c>
      <c r="AC51" s="467" t="str">
        <f t="shared" si="16"/>
        <v/>
      </c>
      <c r="AD51" s="467" t="str">
        <f t="shared" si="17"/>
        <v/>
      </c>
      <c r="AE51" s="468" t="str">
        <f t="shared" si="18"/>
        <v>○</v>
      </c>
      <c r="AF51" s="468" t="str">
        <f t="shared" si="2"/>
        <v/>
      </c>
      <c r="AG51" s="468" t="str">
        <f t="shared" si="7"/>
        <v/>
      </c>
      <c r="AH51" s="468" t="str">
        <f t="shared" si="8"/>
        <v/>
      </c>
      <c r="AI51" s="468" t="str">
        <f t="shared" si="9"/>
        <v/>
      </c>
      <c r="AJ51" s="468" t="str">
        <f t="shared" si="10"/>
        <v/>
      </c>
      <c r="AK51" s="468" t="str">
        <f t="shared" si="11"/>
        <v/>
      </c>
      <c r="AL51" s="468" t="str">
        <f t="shared" si="12"/>
        <v/>
      </c>
      <c r="AM51" s="468" t="str">
        <f t="shared" si="13"/>
        <v/>
      </c>
      <c r="AZ51" s="462"/>
      <c r="BA51" s="462"/>
    </row>
    <row r="52" spans="1:53" ht="13.5" customHeight="1">
      <c r="A52" s="1232">
        <v>42</v>
      </c>
      <c r="B52" s="1233"/>
      <c r="C52" s="1230"/>
      <c r="D52" s="1234"/>
      <c r="E52" s="1231"/>
      <c r="F52" s="1230"/>
      <c r="G52" s="1234"/>
      <c r="H52" s="1231"/>
      <c r="I52" s="1230"/>
      <c r="J52" s="1231"/>
      <c r="K52" s="1230"/>
      <c r="L52" s="1231"/>
      <c r="M52" s="1230"/>
      <c r="N52" s="1231"/>
      <c r="O52" s="1228"/>
      <c r="P52" s="1229"/>
      <c r="Q52" s="1230"/>
      <c r="R52" s="1231"/>
      <c r="S52" s="1230"/>
      <c r="T52" s="1231"/>
      <c r="U52" s="1212" t="str">
        <f t="shared" si="3"/>
        <v/>
      </c>
      <c r="V52" s="1213"/>
      <c r="W52" s="1213"/>
      <c r="X52" s="1213"/>
      <c r="Y52" s="1213"/>
      <c r="Z52" s="1213"/>
      <c r="AA52" s="467" t="str">
        <f t="shared" si="14"/>
        <v/>
      </c>
      <c r="AB52" s="467" t="str">
        <f t="shared" si="15"/>
        <v/>
      </c>
      <c r="AC52" s="467" t="str">
        <f t="shared" si="16"/>
        <v/>
      </c>
      <c r="AD52" s="467" t="str">
        <f t="shared" si="17"/>
        <v/>
      </c>
      <c r="AE52" s="468" t="str">
        <f t="shared" si="18"/>
        <v>○</v>
      </c>
      <c r="AF52" s="468" t="str">
        <f t="shared" si="2"/>
        <v/>
      </c>
      <c r="AG52" s="468" t="str">
        <f t="shared" si="7"/>
        <v/>
      </c>
      <c r="AH52" s="468" t="str">
        <f t="shared" si="8"/>
        <v/>
      </c>
      <c r="AI52" s="468" t="str">
        <f t="shared" si="9"/>
        <v/>
      </c>
      <c r="AJ52" s="468" t="str">
        <f t="shared" si="10"/>
        <v/>
      </c>
      <c r="AK52" s="468" t="str">
        <f t="shared" si="11"/>
        <v/>
      </c>
      <c r="AL52" s="468" t="str">
        <f t="shared" si="12"/>
        <v/>
      </c>
      <c r="AM52" s="468" t="str">
        <f t="shared" si="13"/>
        <v/>
      </c>
      <c r="AZ52" s="462"/>
      <c r="BA52" s="462"/>
    </row>
    <row r="53" spans="1:53" ht="13.5" customHeight="1">
      <c r="A53" s="1232">
        <v>43</v>
      </c>
      <c r="B53" s="1233"/>
      <c r="C53" s="1230"/>
      <c r="D53" s="1234"/>
      <c r="E53" s="1231"/>
      <c r="F53" s="1230"/>
      <c r="G53" s="1234"/>
      <c r="H53" s="1231"/>
      <c r="I53" s="1230"/>
      <c r="J53" s="1231"/>
      <c r="K53" s="1230"/>
      <c r="L53" s="1231"/>
      <c r="M53" s="1230"/>
      <c r="N53" s="1231"/>
      <c r="O53" s="1228"/>
      <c r="P53" s="1229"/>
      <c r="Q53" s="1230"/>
      <c r="R53" s="1231"/>
      <c r="S53" s="1230"/>
      <c r="T53" s="1231"/>
      <c r="U53" s="1212" t="str">
        <f t="shared" si="3"/>
        <v/>
      </c>
      <c r="V53" s="1213"/>
      <c r="W53" s="1213"/>
      <c r="X53" s="1213"/>
      <c r="Y53" s="1213"/>
      <c r="Z53" s="1213"/>
      <c r="AA53" s="467" t="str">
        <f t="shared" si="14"/>
        <v/>
      </c>
      <c r="AB53" s="467" t="str">
        <f t="shared" si="15"/>
        <v/>
      </c>
      <c r="AC53" s="467" t="str">
        <f t="shared" si="16"/>
        <v/>
      </c>
      <c r="AD53" s="467" t="str">
        <f t="shared" si="17"/>
        <v/>
      </c>
      <c r="AE53" s="468" t="str">
        <f t="shared" si="18"/>
        <v>○</v>
      </c>
      <c r="AF53" s="468" t="str">
        <f t="shared" si="2"/>
        <v/>
      </c>
      <c r="AG53" s="468" t="str">
        <f t="shared" si="7"/>
        <v/>
      </c>
      <c r="AH53" s="468" t="str">
        <f t="shared" si="8"/>
        <v/>
      </c>
      <c r="AI53" s="468" t="str">
        <f t="shared" si="9"/>
        <v/>
      </c>
      <c r="AJ53" s="468" t="str">
        <f t="shared" si="10"/>
        <v/>
      </c>
      <c r="AK53" s="468" t="str">
        <f t="shared" si="11"/>
        <v/>
      </c>
      <c r="AL53" s="468" t="str">
        <f t="shared" si="12"/>
        <v/>
      </c>
      <c r="AM53" s="468" t="str">
        <f t="shared" si="13"/>
        <v/>
      </c>
      <c r="AZ53" s="462"/>
      <c r="BA53" s="462"/>
    </row>
    <row r="54" spans="1:53" ht="13.5" customHeight="1">
      <c r="A54" s="1232">
        <v>44</v>
      </c>
      <c r="B54" s="1233"/>
      <c r="C54" s="1230"/>
      <c r="D54" s="1234"/>
      <c r="E54" s="1231"/>
      <c r="F54" s="1230"/>
      <c r="G54" s="1234"/>
      <c r="H54" s="1231"/>
      <c r="I54" s="1230"/>
      <c r="J54" s="1231"/>
      <c r="K54" s="1230"/>
      <c r="L54" s="1231"/>
      <c r="M54" s="1230"/>
      <c r="N54" s="1231"/>
      <c r="O54" s="1228"/>
      <c r="P54" s="1229"/>
      <c r="Q54" s="1230"/>
      <c r="R54" s="1231"/>
      <c r="S54" s="1230"/>
      <c r="T54" s="1231"/>
      <c r="U54" s="1212" t="str">
        <f t="shared" si="3"/>
        <v/>
      </c>
      <c r="V54" s="1213"/>
      <c r="W54" s="1213"/>
      <c r="X54" s="1213"/>
      <c r="Y54" s="1213"/>
      <c r="Z54" s="1213"/>
      <c r="AA54" s="467" t="str">
        <f t="shared" si="14"/>
        <v/>
      </c>
      <c r="AB54" s="467" t="str">
        <f t="shared" si="15"/>
        <v/>
      </c>
      <c r="AC54" s="467" t="str">
        <f t="shared" si="16"/>
        <v/>
      </c>
      <c r="AD54" s="467" t="str">
        <f t="shared" si="17"/>
        <v/>
      </c>
      <c r="AE54" s="468" t="str">
        <f t="shared" si="18"/>
        <v>○</v>
      </c>
      <c r="AF54" s="468" t="str">
        <f t="shared" si="2"/>
        <v/>
      </c>
      <c r="AG54" s="468" t="str">
        <f t="shared" si="7"/>
        <v/>
      </c>
      <c r="AH54" s="468" t="str">
        <f t="shared" si="8"/>
        <v/>
      </c>
      <c r="AI54" s="468" t="str">
        <f t="shared" si="9"/>
        <v/>
      </c>
      <c r="AJ54" s="468" t="str">
        <f t="shared" si="10"/>
        <v/>
      </c>
      <c r="AK54" s="468" t="str">
        <f t="shared" si="11"/>
        <v/>
      </c>
      <c r="AL54" s="468" t="str">
        <f t="shared" si="12"/>
        <v/>
      </c>
      <c r="AM54" s="468" t="str">
        <f t="shared" si="13"/>
        <v/>
      </c>
      <c r="AZ54" s="462"/>
      <c r="BA54" s="462"/>
    </row>
    <row r="55" spans="1:53" ht="13.5" customHeight="1">
      <c r="A55" s="1232">
        <v>45</v>
      </c>
      <c r="B55" s="1233"/>
      <c r="C55" s="1230"/>
      <c r="D55" s="1234"/>
      <c r="E55" s="1231"/>
      <c r="F55" s="1230"/>
      <c r="G55" s="1234"/>
      <c r="H55" s="1231"/>
      <c r="I55" s="1230"/>
      <c r="J55" s="1231"/>
      <c r="K55" s="1230"/>
      <c r="L55" s="1231"/>
      <c r="M55" s="1230"/>
      <c r="N55" s="1231"/>
      <c r="O55" s="1228"/>
      <c r="P55" s="1229"/>
      <c r="Q55" s="1230"/>
      <c r="R55" s="1231"/>
      <c r="S55" s="1230"/>
      <c r="T55" s="1231"/>
      <c r="U55" s="1212" t="str">
        <f t="shared" si="3"/>
        <v/>
      </c>
      <c r="V55" s="1213"/>
      <c r="W55" s="1213"/>
      <c r="X55" s="1213"/>
      <c r="Y55" s="1213"/>
      <c r="Z55" s="1213"/>
      <c r="AA55" s="467" t="str">
        <f t="shared" si="14"/>
        <v/>
      </c>
      <c r="AB55" s="467" t="str">
        <f t="shared" si="15"/>
        <v/>
      </c>
      <c r="AC55" s="467" t="str">
        <f t="shared" si="16"/>
        <v/>
      </c>
      <c r="AD55" s="467" t="str">
        <f t="shared" si="17"/>
        <v/>
      </c>
      <c r="AE55" s="468" t="str">
        <f t="shared" si="18"/>
        <v>○</v>
      </c>
      <c r="AF55" s="468" t="str">
        <f t="shared" si="2"/>
        <v/>
      </c>
      <c r="AG55" s="468" t="str">
        <f t="shared" si="7"/>
        <v/>
      </c>
      <c r="AH55" s="468" t="str">
        <f t="shared" si="8"/>
        <v/>
      </c>
      <c r="AI55" s="468" t="str">
        <f t="shared" si="9"/>
        <v/>
      </c>
      <c r="AJ55" s="468" t="str">
        <f t="shared" si="10"/>
        <v/>
      </c>
      <c r="AK55" s="468" t="str">
        <f t="shared" si="11"/>
        <v/>
      </c>
      <c r="AL55" s="468" t="str">
        <f t="shared" si="12"/>
        <v/>
      </c>
      <c r="AM55" s="468" t="str">
        <f t="shared" si="13"/>
        <v/>
      </c>
      <c r="AZ55" s="462"/>
      <c r="BA55" s="462"/>
    </row>
    <row r="56" spans="1:53" ht="13.5" customHeight="1">
      <c r="A56" s="1232">
        <v>46</v>
      </c>
      <c r="B56" s="1233"/>
      <c r="C56" s="1230"/>
      <c r="D56" s="1234"/>
      <c r="E56" s="1231"/>
      <c r="F56" s="1230"/>
      <c r="G56" s="1234"/>
      <c r="H56" s="1231"/>
      <c r="I56" s="1230"/>
      <c r="J56" s="1231"/>
      <c r="K56" s="1230"/>
      <c r="L56" s="1231"/>
      <c r="M56" s="1230"/>
      <c r="N56" s="1231"/>
      <c r="O56" s="1228"/>
      <c r="P56" s="1229"/>
      <c r="Q56" s="1230"/>
      <c r="R56" s="1231"/>
      <c r="S56" s="1230"/>
      <c r="T56" s="1231"/>
      <c r="U56" s="1212" t="str">
        <f t="shared" si="3"/>
        <v/>
      </c>
      <c r="V56" s="1213"/>
      <c r="W56" s="1213"/>
      <c r="X56" s="1213"/>
      <c r="Y56" s="1213"/>
      <c r="Z56" s="1213"/>
      <c r="AA56" s="467" t="str">
        <f t="shared" si="14"/>
        <v/>
      </c>
      <c r="AB56" s="467" t="str">
        <f t="shared" si="15"/>
        <v/>
      </c>
      <c r="AC56" s="467" t="str">
        <f t="shared" si="16"/>
        <v/>
      </c>
      <c r="AD56" s="467" t="str">
        <f t="shared" si="17"/>
        <v/>
      </c>
      <c r="AE56" s="468" t="str">
        <f t="shared" si="18"/>
        <v>○</v>
      </c>
      <c r="AF56" s="468" t="str">
        <f t="shared" si="2"/>
        <v/>
      </c>
      <c r="AG56" s="468" t="str">
        <f t="shared" si="7"/>
        <v/>
      </c>
      <c r="AH56" s="468" t="str">
        <f t="shared" si="8"/>
        <v/>
      </c>
      <c r="AI56" s="468" t="str">
        <f t="shared" si="9"/>
        <v/>
      </c>
      <c r="AJ56" s="468" t="str">
        <f t="shared" si="10"/>
        <v/>
      </c>
      <c r="AK56" s="468" t="str">
        <f t="shared" si="11"/>
        <v/>
      </c>
      <c r="AL56" s="468" t="str">
        <f t="shared" si="12"/>
        <v/>
      </c>
      <c r="AM56" s="468" t="str">
        <f t="shared" si="13"/>
        <v/>
      </c>
      <c r="AZ56" s="462"/>
      <c r="BA56" s="462"/>
    </row>
    <row r="57" spans="1:53" ht="13.5" customHeight="1">
      <c r="A57" s="1232">
        <v>47</v>
      </c>
      <c r="B57" s="1233"/>
      <c r="C57" s="1230"/>
      <c r="D57" s="1234"/>
      <c r="E57" s="1231"/>
      <c r="F57" s="1230"/>
      <c r="G57" s="1234"/>
      <c r="H57" s="1231"/>
      <c r="I57" s="1230"/>
      <c r="J57" s="1231"/>
      <c r="K57" s="1230"/>
      <c r="L57" s="1231"/>
      <c r="M57" s="1230"/>
      <c r="N57" s="1231"/>
      <c r="O57" s="1228"/>
      <c r="P57" s="1229"/>
      <c r="Q57" s="1230"/>
      <c r="R57" s="1231"/>
      <c r="S57" s="1230"/>
      <c r="T57" s="1231"/>
      <c r="U57" s="1212" t="str">
        <f t="shared" si="3"/>
        <v/>
      </c>
      <c r="V57" s="1213"/>
      <c r="W57" s="1213"/>
      <c r="X57" s="1213"/>
      <c r="Y57" s="1213"/>
      <c r="Z57" s="1213"/>
      <c r="AA57" s="467" t="str">
        <f t="shared" si="14"/>
        <v/>
      </c>
      <c r="AB57" s="467" t="str">
        <f t="shared" si="15"/>
        <v/>
      </c>
      <c r="AC57" s="467" t="str">
        <f t="shared" si="16"/>
        <v/>
      </c>
      <c r="AD57" s="467" t="str">
        <f t="shared" si="17"/>
        <v/>
      </c>
      <c r="AE57" s="468" t="str">
        <f t="shared" si="18"/>
        <v>○</v>
      </c>
      <c r="AF57" s="468" t="str">
        <f t="shared" si="2"/>
        <v/>
      </c>
      <c r="AG57" s="468" t="str">
        <f t="shared" si="7"/>
        <v/>
      </c>
      <c r="AH57" s="468" t="str">
        <f t="shared" si="8"/>
        <v/>
      </c>
      <c r="AI57" s="468" t="str">
        <f t="shared" si="9"/>
        <v/>
      </c>
      <c r="AJ57" s="468" t="str">
        <f t="shared" si="10"/>
        <v/>
      </c>
      <c r="AK57" s="468" t="str">
        <f t="shared" si="11"/>
        <v/>
      </c>
      <c r="AL57" s="468" t="str">
        <f t="shared" si="12"/>
        <v/>
      </c>
      <c r="AM57" s="468" t="str">
        <f t="shared" si="13"/>
        <v/>
      </c>
      <c r="AZ57" s="462"/>
      <c r="BA57" s="462"/>
    </row>
    <row r="58" spans="1:53" ht="13.5" customHeight="1">
      <c r="A58" s="1232">
        <v>48</v>
      </c>
      <c r="B58" s="1233"/>
      <c r="C58" s="1230"/>
      <c r="D58" s="1234"/>
      <c r="E58" s="1231"/>
      <c r="F58" s="1230"/>
      <c r="G58" s="1234"/>
      <c r="H58" s="1231"/>
      <c r="I58" s="1230"/>
      <c r="J58" s="1231"/>
      <c r="K58" s="1230"/>
      <c r="L58" s="1231"/>
      <c r="M58" s="1230"/>
      <c r="N58" s="1231"/>
      <c r="O58" s="1228"/>
      <c r="P58" s="1229"/>
      <c r="Q58" s="1230"/>
      <c r="R58" s="1231"/>
      <c r="S58" s="1230"/>
      <c r="T58" s="1231"/>
      <c r="U58" s="1212" t="str">
        <f t="shared" si="3"/>
        <v/>
      </c>
      <c r="V58" s="1213"/>
      <c r="W58" s="1213"/>
      <c r="X58" s="1213"/>
      <c r="Y58" s="1213"/>
      <c r="Z58" s="1213"/>
      <c r="AA58" s="467" t="str">
        <f t="shared" si="14"/>
        <v/>
      </c>
      <c r="AB58" s="467" t="str">
        <f t="shared" si="15"/>
        <v/>
      </c>
      <c r="AC58" s="467" t="str">
        <f t="shared" si="16"/>
        <v/>
      </c>
      <c r="AD58" s="467" t="str">
        <f t="shared" si="17"/>
        <v/>
      </c>
      <c r="AE58" s="468" t="str">
        <f t="shared" si="18"/>
        <v>○</v>
      </c>
      <c r="AF58" s="468" t="str">
        <f t="shared" si="2"/>
        <v/>
      </c>
      <c r="AG58" s="468" t="str">
        <f t="shared" si="7"/>
        <v/>
      </c>
      <c r="AH58" s="468" t="str">
        <f t="shared" si="8"/>
        <v/>
      </c>
      <c r="AI58" s="468" t="str">
        <f t="shared" si="9"/>
        <v/>
      </c>
      <c r="AJ58" s="468" t="str">
        <f t="shared" si="10"/>
        <v/>
      </c>
      <c r="AK58" s="468" t="str">
        <f t="shared" si="11"/>
        <v/>
      </c>
      <c r="AL58" s="468" t="str">
        <f t="shared" si="12"/>
        <v/>
      </c>
      <c r="AM58" s="468" t="str">
        <f t="shared" si="13"/>
        <v/>
      </c>
      <c r="AZ58" s="462"/>
      <c r="BA58" s="462"/>
    </row>
    <row r="59" spans="1:53" ht="13.5" customHeight="1">
      <c r="A59" s="1232">
        <v>49</v>
      </c>
      <c r="B59" s="1233"/>
      <c r="C59" s="1230"/>
      <c r="D59" s="1234"/>
      <c r="E59" s="1231"/>
      <c r="F59" s="1230"/>
      <c r="G59" s="1234"/>
      <c r="H59" s="1231"/>
      <c r="I59" s="1230"/>
      <c r="J59" s="1231"/>
      <c r="K59" s="1230"/>
      <c r="L59" s="1231"/>
      <c r="M59" s="1230"/>
      <c r="N59" s="1231"/>
      <c r="O59" s="1228"/>
      <c r="P59" s="1229"/>
      <c r="Q59" s="1230"/>
      <c r="R59" s="1231"/>
      <c r="S59" s="1230"/>
      <c r="T59" s="1231"/>
      <c r="U59" s="1212" t="str">
        <f t="shared" si="3"/>
        <v/>
      </c>
      <c r="V59" s="1213"/>
      <c r="W59" s="1213"/>
      <c r="X59" s="1213"/>
      <c r="Y59" s="1213"/>
      <c r="Z59" s="1213"/>
      <c r="AA59" s="467" t="str">
        <f t="shared" si="14"/>
        <v/>
      </c>
      <c r="AB59" s="467" t="str">
        <f t="shared" si="15"/>
        <v/>
      </c>
      <c r="AC59" s="467" t="str">
        <f t="shared" si="16"/>
        <v/>
      </c>
      <c r="AD59" s="467" t="str">
        <f t="shared" si="17"/>
        <v/>
      </c>
      <c r="AE59" s="468" t="str">
        <f t="shared" si="18"/>
        <v>○</v>
      </c>
      <c r="AF59" s="468" t="str">
        <f t="shared" si="2"/>
        <v/>
      </c>
      <c r="AG59" s="468" t="str">
        <f t="shared" si="7"/>
        <v/>
      </c>
      <c r="AH59" s="468" t="str">
        <f t="shared" si="8"/>
        <v/>
      </c>
      <c r="AI59" s="468" t="str">
        <f t="shared" si="9"/>
        <v/>
      </c>
      <c r="AJ59" s="468" t="str">
        <f t="shared" si="10"/>
        <v/>
      </c>
      <c r="AK59" s="468" t="str">
        <f t="shared" si="11"/>
        <v/>
      </c>
      <c r="AL59" s="468" t="str">
        <f t="shared" si="12"/>
        <v/>
      </c>
      <c r="AM59" s="468" t="str">
        <f t="shared" si="13"/>
        <v/>
      </c>
      <c r="AZ59" s="462"/>
      <c r="BA59" s="462"/>
    </row>
    <row r="60" spans="1:53" ht="13.5" customHeight="1">
      <c r="A60" s="1232">
        <v>50</v>
      </c>
      <c r="B60" s="1233"/>
      <c r="C60" s="1230"/>
      <c r="D60" s="1234"/>
      <c r="E60" s="1231"/>
      <c r="F60" s="1230"/>
      <c r="G60" s="1234"/>
      <c r="H60" s="1231"/>
      <c r="I60" s="1230"/>
      <c r="J60" s="1231"/>
      <c r="K60" s="1230"/>
      <c r="L60" s="1231"/>
      <c r="M60" s="1230"/>
      <c r="N60" s="1231"/>
      <c r="O60" s="1228"/>
      <c r="P60" s="1229"/>
      <c r="Q60" s="1230"/>
      <c r="R60" s="1231"/>
      <c r="S60" s="1230"/>
      <c r="T60" s="1231"/>
      <c r="U60" s="1212" t="str">
        <f t="shared" si="3"/>
        <v/>
      </c>
      <c r="V60" s="1213"/>
      <c r="W60" s="1213"/>
      <c r="X60" s="1213"/>
      <c r="Y60" s="1213"/>
      <c r="Z60" s="1213"/>
      <c r="AA60" s="467" t="str">
        <f t="shared" si="14"/>
        <v/>
      </c>
      <c r="AB60" s="467" t="str">
        <f t="shared" si="15"/>
        <v/>
      </c>
      <c r="AC60" s="467" t="str">
        <f t="shared" si="16"/>
        <v/>
      </c>
      <c r="AD60" s="467" t="str">
        <f t="shared" si="17"/>
        <v/>
      </c>
      <c r="AE60" s="468" t="str">
        <f t="shared" si="18"/>
        <v>○</v>
      </c>
      <c r="AF60" s="468" t="str">
        <f t="shared" si="2"/>
        <v/>
      </c>
      <c r="AG60" s="468" t="str">
        <f t="shared" si="7"/>
        <v/>
      </c>
      <c r="AH60" s="468" t="str">
        <f t="shared" si="8"/>
        <v/>
      </c>
      <c r="AI60" s="468" t="str">
        <f t="shared" si="9"/>
        <v/>
      </c>
      <c r="AJ60" s="468" t="str">
        <f t="shared" si="10"/>
        <v/>
      </c>
      <c r="AK60" s="468" t="str">
        <f t="shared" si="11"/>
        <v/>
      </c>
      <c r="AL60" s="468" t="str">
        <f t="shared" si="12"/>
        <v/>
      </c>
      <c r="AM60" s="468" t="str">
        <f t="shared" si="13"/>
        <v/>
      </c>
      <c r="AZ60" s="462"/>
      <c r="BA60" s="462"/>
    </row>
    <row r="61" spans="1:53" ht="13.5" hidden="1" customHeight="1">
      <c r="A61" s="1232">
        <v>51</v>
      </c>
      <c r="B61" s="1233"/>
      <c r="C61" s="1230"/>
      <c r="D61" s="1234"/>
      <c r="E61" s="1231"/>
      <c r="F61" s="1230"/>
      <c r="G61" s="1234"/>
      <c r="H61" s="1231"/>
      <c r="I61" s="1230"/>
      <c r="J61" s="1231"/>
      <c r="K61" s="1230"/>
      <c r="L61" s="1231"/>
      <c r="M61" s="1230"/>
      <c r="N61" s="1231"/>
      <c r="O61" s="1228"/>
      <c r="P61" s="1229"/>
      <c r="Q61" s="1230"/>
      <c r="R61" s="1231"/>
      <c r="S61" s="1230"/>
      <c r="T61" s="1231"/>
      <c r="U61" s="1212" t="str">
        <f t="shared" si="3"/>
        <v/>
      </c>
      <c r="V61" s="1213"/>
      <c r="W61" s="1213"/>
      <c r="X61" s="1213"/>
      <c r="Y61" s="1213"/>
      <c r="Z61" s="1213"/>
      <c r="AA61" s="467" t="str">
        <f t="shared" si="14"/>
        <v/>
      </c>
      <c r="AB61" s="467" t="str">
        <f t="shared" si="15"/>
        <v/>
      </c>
      <c r="AC61" s="467" t="str">
        <f t="shared" si="16"/>
        <v/>
      </c>
      <c r="AD61" s="467" t="str">
        <f t="shared" si="17"/>
        <v/>
      </c>
      <c r="AE61" s="468" t="str">
        <f t="shared" si="18"/>
        <v>○</v>
      </c>
      <c r="AF61" s="468" t="str">
        <f t="shared" si="2"/>
        <v/>
      </c>
      <c r="AG61" s="468" t="str">
        <f t="shared" si="7"/>
        <v/>
      </c>
      <c r="AH61" s="468" t="str">
        <f t="shared" si="8"/>
        <v/>
      </c>
      <c r="AI61" s="468" t="str">
        <f t="shared" si="9"/>
        <v/>
      </c>
      <c r="AJ61" s="468" t="str">
        <f t="shared" si="10"/>
        <v/>
      </c>
      <c r="AK61" s="468" t="str">
        <f t="shared" si="11"/>
        <v/>
      </c>
      <c r="AL61" s="468" t="str">
        <f t="shared" si="12"/>
        <v/>
      </c>
      <c r="AM61" s="468" t="str">
        <f t="shared" si="13"/>
        <v/>
      </c>
      <c r="AZ61" s="462"/>
      <c r="BA61" s="462"/>
    </row>
    <row r="62" spans="1:53" ht="13.5" hidden="1" customHeight="1">
      <c r="A62" s="1232">
        <v>52</v>
      </c>
      <c r="B62" s="1233"/>
      <c r="C62" s="1230"/>
      <c r="D62" s="1234"/>
      <c r="E62" s="1231"/>
      <c r="F62" s="1230"/>
      <c r="G62" s="1234"/>
      <c r="H62" s="1231"/>
      <c r="I62" s="1230"/>
      <c r="J62" s="1231"/>
      <c r="K62" s="1230"/>
      <c r="L62" s="1231"/>
      <c r="M62" s="1230"/>
      <c r="N62" s="1231"/>
      <c r="O62" s="1228"/>
      <c r="P62" s="1229"/>
      <c r="Q62" s="1230"/>
      <c r="R62" s="1231"/>
      <c r="S62" s="1230"/>
      <c r="T62" s="1231"/>
      <c r="U62" s="1212" t="str">
        <f t="shared" si="3"/>
        <v/>
      </c>
      <c r="V62" s="1213"/>
      <c r="W62" s="1213"/>
      <c r="X62" s="1213"/>
      <c r="Y62" s="1213"/>
      <c r="Z62" s="1213"/>
      <c r="AA62" s="467" t="str">
        <f t="shared" si="14"/>
        <v/>
      </c>
      <c r="AB62" s="467" t="str">
        <f t="shared" si="15"/>
        <v/>
      </c>
      <c r="AC62" s="467" t="str">
        <f t="shared" si="16"/>
        <v/>
      </c>
      <c r="AD62" s="467" t="str">
        <f t="shared" si="17"/>
        <v/>
      </c>
      <c r="AE62" s="468" t="str">
        <f t="shared" si="18"/>
        <v>○</v>
      </c>
      <c r="AF62" s="468" t="str">
        <f t="shared" si="2"/>
        <v/>
      </c>
      <c r="AG62" s="468" t="str">
        <f t="shared" si="7"/>
        <v/>
      </c>
      <c r="AH62" s="468" t="str">
        <f t="shared" si="8"/>
        <v/>
      </c>
      <c r="AI62" s="468" t="str">
        <f t="shared" si="9"/>
        <v/>
      </c>
      <c r="AJ62" s="468" t="str">
        <f t="shared" si="10"/>
        <v/>
      </c>
      <c r="AK62" s="468" t="str">
        <f t="shared" si="11"/>
        <v/>
      </c>
      <c r="AL62" s="468" t="str">
        <f t="shared" si="12"/>
        <v/>
      </c>
      <c r="AM62" s="468" t="str">
        <f t="shared" si="13"/>
        <v/>
      </c>
      <c r="AZ62" s="462"/>
      <c r="BA62" s="462"/>
    </row>
    <row r="63" spans="1:53" ht="13.5" hidden="1" customHeight="1">
      <c r="A63" s="1232">
        <v>53</v>
      </c>
      <c r="B63" s="1233"/>
      <c r="C63" s="1230"/>
      <c r="D63" s="1234"/>
      <c r="E63" s="1231"/>
      <c r="F63" s="1230"/>
      <c r="G63" s="1234"/>
      <c r="H63" s="1231"/>
      <c r="I63" s="1230"/>
      <c r="J63" s="1231"/>
      <c r="K63" s="1230"/>
      <c r="L63" s="1231"/>
      <c r="M63" s="1230"/>
      <c r="N63" s="1231"/>
      <c r="O63" s="1228"/>
      <c r="P63" s="1229"/>
      <c r="Q63" s="1230"/>
      <c r="R63" s="1231"/>
      <c r="S63" s="1230"/>
      <c r="T63" s="1231"/>
      <c r="U63" s="1212" t="str">
        <f t="shared" si="3"/>
        <v/>
      </c>
      <c r="V63" s="1213"/>
      <c r="W63" s="1213"/>
      <c r="X63" s="1213"/>
      <c r="Y63" s="1213"/>
      <c r="Z63" s="1213"/>
      <c r="AA63" s="467" t="str">
        <f t="shared" si="14"/>
        <v/>
      </c>
      <c r="AB63" s="467" t="str">
        <f t="shared" si="15"/>
        <v/>
      </c>
      <c r="AC63" s="467" t="str">
        <f t="shared" si="16"/>
        <v/>
      </c>
      <c r="AD63" s="467" t="str">
        <f t="shared" si="17"/>
        <v/>
      </c>
      <c r="AE63" s="468" t="str">
        <f t="shared" si="18"/>
        <v>○</v>
      </c>
      <c r="AF63" s="468" t="str">
        <f t="shared" si="2"/>
        <v/>
      </c>
      <c r="AG63" s="468" t="str">
        <f t="shared" si="7"/>
        <v/>
      </c>
      <c r="AH63" s="468" t="str">
        <f t="shared" si="8"/>
        <v/>
      </c>
      <c r="AI63" s="468" t="str">
        <f t="shared" si="9"/>
        <v/>
      </c>
      <c r="AJ63" s="468" t="str">
        <f t="shared" si="10"/>
        <v/>
      </c>
      <c r="AK63" s="468" t="str">
        <f t="shared" si="11"/>
        <v/>
      </c>
      <c r="AL63" s="468" t="str">
        <f t="shared" si="12"/>
        <v/>
      </c>
      <c r="AM63" s="468" t="str">
        <f t="shared" si="13"/>
        <v/>
      </c>
      <c r="AZ63" s="462"/>
      <c r="BA63" s="462"/>
    </row>
    <row r="64" spans="1:53" ht="13.5" hidden="1" customHeight="1">
      <c r="A64" s="1232">
        <v>54</v>
      </c>
      <c r="B64" s="1233"/>
      <c r="C64" s="1230"/>
      <c r="D64" s="1234"/>
      <c r="E64" s="1231"/>
      <c r="F64" s="1230"/>
      <c r="G64" s="1234"/>
      <c r="H64" s="1231"/>
      <c r="I64" s="1230"/>
      <c r="J64" s="1231"/>
      <c r="K64" s="1230"/>
      <c r="L64" s="1231"/>
      <c r="M64" s="1230"/>
      <c r="N64" s="1231"/>
      <c r="O64" s="1228"/>
      <c r="P64" s="1229"/>
      <c r="Q64" s="1230"/>
      <c r="R64" s="1231"/>
      <c r="S64" s="1230"/>
      <c r="T64" s="1231"/>
      <c r="U64" s="1212" t="str">
        <f t="shared" si="3"/>
        <v/>
      </c>
      <c r="V64" s="1213"/>
      <c r="W64" s="1213"/>
      <c r="X64" s="1213"/>
      <c r="Y64" s="1213"/>
      <c r="Z64" s="1213"/>
      <c r="AA64" s="467" t="str">
        <f t="shared" si="14"/>
        <v/>
      </c>
      <c r="AB64" s="467" t="str">
        <f t="shared" si="15"/>
        <v/>
      </c>
      <c r="AC64" s="467" t="str">
        <f t="shared" si="16"/>
        <v/>
      </c>
      <c r="AD64" s="467" t="str">
        <f t="shared" si="17"/>
        <v/>
      </c>
      <c r="AE64" s="468" t="str">
        <f t="shared" si="18"/>
        <v>○</v>
      </c>
      <c r="AF64" s="468" t="str">
        <f t="shared" si="2"/>
        <v/>
      </c>
      <c r="AG64" s="468" t="str">
        <f t="shared" si="7"/>
        <v/>
      </c>
      <c r="AH64" s="468" t="str">
        <f t="shared" si="8"/>
        <v/>
      </c>
      <c r="AI64" s="468" t="str">
        <f t="shared" si="9"/>
        <v/>
      </c>
      <c r="AJ64" s="468" t="str">
        <f t="shared" si="10"/>
        <v/>
      </c>
      <c r="AK64" s="468" t="str">
        <f t="shared" si="11"/>
        <v/>
      </c>
      <c r="AL64" s="468" t="str">
        <f t="shared" si="12"/>
        <v/>
      </c>
      <c r="AM64" s="468" t="str">
        <f t="shared" si="13"/>
        <v/>
      </c>
      <c r="AZ64" s="462"/>
      <c r="BA64" s="462"/>
    </row>
    <row r="65" spans="1:53" ht="13.5" hidden="1" customHeight="1">
      <c r="A65" s="1232">
        <v>55</v>
      </c>
      <c r="B65" s="1233"/>
      <c r="C65" s="1230"/>
      <c r="D65" s="1234"/>
      <c r="E65" s="1231"/>
      <c r="F65" s="1230"/>
      <c r="G65" s="1234"/>
      <c r="H65" s="1231"/>
      <c r="I65" s="1230"/>
      <c r="J65" s="1231"/>
      <c r="K65" s="1230"/>
      <c r="L65" s="1231"/>
      <c r="M65" s="1230"/>
      <c r="N65" s="1231"/>
      <c r="O65" s="1228"/>
      <c r="P65" s="1229"/>
      <c r="Q65" s="1230"/>
      <c r="R65" s="1231"/>
      <c r="S65" s="1230"/>
      <c r="T65" s="1231"/>
      <c r="U65" s="1212" t="str">
        <f t="shared" si="3"/>
        <v/>
      </c>
      <c r="V65" s="1213"/>
      <c r="W65" s="1213"/>
      <c r="X65" s="1213"/>
      <c r="Y65" s="1213"/>
      <c r="Z65" s="1213"/>
      <c r="AA65" s="467" t="str">
        <f t="shared" si="14"/>
        <v/>
      </c>
      <c r="AB65" s="467" t="str">
        <f t="shared" si="15"/>
        <v/>
      </c>
      <c r="AC65" s="467" t="str">
        <f t="shared" si="16"/>
        <v/>
      </c>
      <c r="AD65" s="467" t="str">
        <f t="shared" si="17"/>
        <v/>
      </c>
      <c r="AE65" s="468" t="str">
        <f t="shared" si="18"/>
        <v>○</v>
      </c>
      <c r="AF65" s="468" t="str">
        <f t="shared" si="2"/>
        <v/>
      </c>
      <c r="AG65" s="468" t="str">
        <f t="shared" si="7"/>
        <v/>
      </c>
      <c r="AH65" s="468" t="str">
        <f t="shared" si="8"/>
        <v/>
      </c>
      <c r="AI65" s="468" t="str">
        <f t="shared" si="9"/>
        <v/>
      </c>
      <c r="AJ65" s="468" t="str">
        <f t="shared" si="10"/>
        <v/>
      </c>
      <c r="AK65" s="468" t="str">
        <f t="shared" si="11"/>
        <v/>
      </c>
      <c r="AL65" s="468" t="str">
        <f t="shared" si="12"/>
        <v/>
      </c>
      <c r="AM65" s="468" t="str">
        <f t="shared" si="13"/>
        <v/>
      </c>
      <c r="AZ65" s="462"/>
      <c r="BA65" s="462"/>
    </row>
    <row r="66" spans="1:53" ht="13.5" hidden="1" customHeight="1">
      <c r="A66" s="1232">
        <v>56</v>
      </c>
      <c r="B66" s="1233"/>
      <c r="C66" s="1230"/>
      <c r="D66" s="1234"/>
      <c r="E66" s="1231"/>
      <c r="F66" s="1230"/>
      <c r="G66" s="1234"/>
      <c r="H66" s="1231"/>
      <c r="I66" s="1230"/>
      <c r="J66" s="1231"/>
      <c r="K66" s="1230"/>
      <c r="L66" s="1231"/>
      <c r="M66" s="1230"/>
      <c r="N66" s="1231"/>
      <c r="O66" s="1228"/>
      <c r="P66" s="1229"/>
      <c r="Q66" s="1230"/>
      <c r="R66" s="1231"/>
      <c r="S66" s="1230"/>
      <c r="T66" s="1231"/>
      <c r="U66" s="1212" t="str">
        <f t="shared" si="3"/>
        <v/>
      </c>
      <c r="V66" s="1213"/>
      <c r="W66" s="1213"/>
      <c r="X66" s="1213"/>
      <c r="Y66" s="1213"/>
      <c r="Z66" s="1213"/>
      <c r="AA66" s="467" t="str">
        <f t="shared" si="14"/>
        <v/>
      </c>
      <c r="AB66" s="467" t="str">
        <f t="shared" si="15"/>
        <v/>
      </c>
      <c r="AC66" s="467" t="str">
        <f t="shared" si="16"/>
        <v/>
      </c>
      <c r="AD66" s="467" t="str">
        <f t="shared" si="17"/>
        <v/>
      </c>
      <c r="AE66" s="468" t="str">
        <f t="shared" si="18"/>
        <v>○</v>
      </c>
      <c r="AF66" s="468" t="str">
        <f t="shared" si="2"/>
        <v/>
      </c>
      <c r="AG66" s="468" t="str">
        <f t="shared" si="7"/>
        <v/>
      </c>
      <c r="AH66" s="468" t="str">
        <f t="shared" si="8"/>
        <v/>
      </c>
      <c r="AI66" s="468" t="str">
        <f t="shared" si="9"/>
        <v/>
      </c>
      <c r="AJ66" s="468" t="str">
        <f t="shared" si="10"/>
        <v/>
      </c>
      <c r="AK66" s="468" t="str">
        <f t="shared" si="11"/>
        <v/>
      </c>
      <c r="AL66" s="468" t="str">
        <f t="shared" si="12"/>
        <v/>
      </c>
      <c r="AM66" s="468" t="str">
        <f t="shared" si="13"/>
        <v/>
      </c>
      <c r="AZ66" s="462"/>
      <c r="BA66" s="462"/>
    </row>
    <row r="67" spans="1:53" ht="13.5" hidden="1" customHeight="1">
      <c r="A67" s="1232">
        <v>57</v>
      </c>
      <c r="B67" s="1233"/>
      <c r="C67" s="1230"/>
      <c r="D67" s="1234"/>
      <c r="E67" s="1231"/>
      <c r="F67" s="1230"/>
      <c r="G67" s="1234"/>
      <c r="H67" s="1231"/>
      <c r="I67" s="1230"/>
      <c r="J67" s="1231"/>
      <c r="K67" s="1230"/>
      <c r="L67" s="1231"/>
      <c r="M67" s="1230"/>
      <c r="N67" s="1231"/>
      <c r="O67" s="1228"/>
      <c r="P67" s="1229"/>
      <c r="Q67" s="1230"/>
      <c r="R67" s="1231"/>
      <c r="S67" s="1230"/>
      <c r="T67" s="1231"/>
      <c r="U67" s="1212" t="str">
        <f t="shared" si="3"/>
        <v/>
      </c>
      <c r="V67" s="1213"/>
      <c r="W67" s="1213"/>
      <c r="X67" s="1213"/>
      <c r="Y67" s="1213"/>
      <c r="Z67" s="1213"/>
      <c r="AA67" s="467" t="str">
        <f t="shared" si="14"/>
        <v/>
      </c>
      <c r="AB67" s="467" t="str">
        <f t="shared" si="15"/>
        <v/>
      </c>
      <c r="AC67" s="467" t="str">
        <f t="shared" si="16"/>
        <v/>
      </c>
      <c r="AD67" s="467" t="str">
        <f t="shared" si="17"/>
        <v/>
      </c>
      <c r="AE67" s="468" t="str">
        <f t="shared" si="18"/>
        <v>○</v>
      </c>
      <c r="AF67" s="468" t="str">
        <f t="shared" si="2"/>
        <v/>
      </c>
      <c r="AG67" s="468" t="str">
        <f t="shared" si="7"/>
        <v/>
      </c>
      <c r="AH67" s="468" t="str">
        <f t="shared" si="8"/>
        <v/>
      </c>
      <c r="AI67" s="468" t="str">
        <f t="shared" si="9"/>
        <v/>
      </c>
      <c r="AJ67" s="468" t="str">
        <f t="shared" si="10"/>
        <v/>
      </c>
      <c r="AK67" s="468" t="str">
        <f t="shared" si="11"/>
        <v/>
      </c>
      <c r="AL67" s="468" t="str">
        <f t="shared" si="12"/>
        <v/>
      </c>
      <c r="AM67" s="468" t="str">
        <f t="shared" si="13"/>
        <v/>
      </c>
      <c r="AZ67" s="462"/>
      <c r="BA67" s="462"/>
    </row>
    <row r="68" spans="1:53" ht="13.5" hidden="1" customHeight="1">
      <c r="A68" s="1232">
        <v>58</v>
      </c>
      <c r="B68" s="1233"/>
      <c r="C68" s="1230"/>
      <c r="D68" s="1234"/>
      <c r="E68" s="1231"/>
      <c r="F68" s="1230"/>
      <c r="G68" s="1234"/>
      <c r="H68" s="1231"/>
      <c r="I68" s="1230"/>
      <c r="J68" s="1231"/>
      <c r="K68" s="1230"/>
      <c r="L68" s="1231"/>
      <c r="M68" s="1230"/>
      <c r="N68" s="1231"/>
      <c r="O68" s="1228"/>
      <c r="P68" s="1229"/>
      <c r="Q68" s="1230"/>
      <c r="R68" s="1231"/>
      <c r="S68" s="1230"/>
      <c r="T68" s="1231"/>
      <c r="U68" s="1212" t="str">
        <f t="shared" si="3"/>
        <v/>
      </c>
      <c r="V68" s="1213"/>
      <c r="W68" s="1213"/>
      <c r="X68" s="1213"/>
      <c r="Y68" s="1213"/>
      <c r="Z68" s="1213"/>
      <c r="AA68" s="467" t="str">
        <f t="shared" si="14"/>
        <v/>
      </c>
      <c r="AB68" s="467" t="str">
        <f t="shared" si="15"/>
        <v/>
      </c>
      <c r="AC68" s="467" t="str">
        <f t="shared" si="16"/>
        <v/>
      </c>
      <c r="AD68" s="467" t="str">
        <f t="shared" si="17"/>
        <v/>
      </c>
      <c r="AE68" s="468" t="str">
        <f t="shared" si="18"/>
        <v>○</v>
      </c>
      <c r="AF68" s="468" t="str">
        <f t="shared" si="2"/>
        <v/>
      </c>
      <c r="AG68" s="468" t="str">
        <f t="shared" si="7"/>
        <v/>
      </c>
      <c r="AH68" s="468" t="str">
        <f t="shared" si="8"/>
        <v/>
      </c>
      <c r="AI68" s="468" t="str">
        <f t="shared" si="9"/>
        <v/>
      </c>
      <c r="AJ68" s="468" t="str">
        <f t="shared" si="10"/>
        <v/>
      </c>
      <c r="AK68" s="468" t="str">
        <f t="shared" si="11"/>
        <v/>
      </c>
      <c r="AL68" s="468" t="str">
        <f t="shared" si="12"/>
        <v/>
      </c>
      <c r="AM68" s="468" t="str">
        <f t="shared" si="13"/>
        <v/>
      </c>
      <c r="AZ68" s="462"/>
      <c r="BA68" s="462"/>
    </row>
    <row r="69" spans="1:53" ht="13.5" hidden="1" customHeight="1">
      <c r="A69" s="1232">
        <v>59</v>
      </c>
      <c r="B69" s="1233"/>
      <c r="C69" s="1230"/>
      <c r="D69" s="1234"/>
      <c r="E69" s="1231"/>
      <c r="F69" s="1230"/>
      <c r="G69" s="1234"/>
      <c r="H69" s="1231"/>
      <c r="I69" s="1230"/>
      <c r="J69" s="1231"/>
      <c r="K69" s="1230"/>
      <c r="L69" s="1231"/>
      <c r="M69" s="1230"/>
      <c r="N69" s="1231"/>
      <c r="O69" s="1228"/>
      <c r="P69" s="1229"/>
      <c r="Q69" s="1230"/>
      <c r="R69" s="1231"/>
      <c r="S69" s="1230"/>
      <c r="T69" s="1231"/>
      <c r="U69" s="1212" t="str">
        <f t="shared" si="3"/>
        <v/>
      </c>
      <c r="V69" s="1213"/>
      <c r="W69" s="1213"/>
      <c r="X69" s="1213"/>
      <c r="Y69" s="1213"/>
      <c r="Z69" s="1213"/>
      <c r="AA69" s="467" t="str">
        <f t="shared" si="14"/>
        <v/>
      </c>
      <c r="AB69" s="467" t="str">
        <f t="shared" si="15"/>
        <v/>
      </c>
      <c r="AC69" s="467" t="str">
        <f t="shared" si="16"/>
        <v/>
      </c>
      <c r="AD69" s="467" t="str">
        <f t="shared" si="17"/>
        <v/>
      </c>
      <c r="AE69" s="468" t="str">
        <f t="shared" si="18"/>
        <v>○</v>
      </c>
      <c r="AF69" s="468" t="str">
        <f t="shared" si="2"/>
        <v/>
      </c>
      <c r="AG69" s="468" t="str">
        <f t="shared" si="7"/>
        <v/>
      </c>
      <c r="AH69" s="468" t="str">
        <f t="shared" si="8"/>
        <v/>
      </c>
      <c r="AI69" s="468" t="str">
        <f t="shared" si="9"/>
        <v/>
      </c>
      <c r="AJ69" s="468" t="str">
        <f t="shared" si="10"/>
        <v/>
      </c>
      <c r="AK69" s="468" t="str">
        <f t="shared" si="11"/>
        <v/>
      </c>
      <c r="AL69" s="468" t="str">
        <f t="shared" si="12"/>
        <v/>
      </c>
      <c r="AM69" s="468" t="str">
        <f t="shared" si="13"/>
        <v/>
      </c>
      <c r="AZ69" s="462"/>
      <c r="BA69" s="462"/>
    </row>
    <row r="70" spans="1:53" ht="13.5" hidden="1" customHeight="1">
      <c r="A70" s="1232">
        <v>60</v>
      </c>
      <c r="B70" s="1233"/>
      <c r="C70" s="1230"/>
      <c r="D70" s="1234"/>
      <c r="E70" s="1231"/>
      <c r="F70" s="1230"/>
      <c r="G70" s="1234"/>
      <c r="H70" s="1231"/>
      <c r="I70" s="1230"/>
      <c r="J70" s="1231"/>
      <c r="K70" s="1230"/>
      <c r="L70" s="1231"/>
      <c r="M70" s="1230"/>
      <c r="N70" s="1231"/>
      <c r="O70" s="1228"/>
      <c r="P70" s="1229"/>
      <c r="Q70" s="1230"/>
      <c r="R70" s="1231"/>
      <c r="S70" s="1230"/>
      <c r="T70" s="1231"/>
      <c r="U70" s="1212" t="str">
        <f t="shared" si="3"/>
        <v/>
      </c>
      <c r="V70" s="1213"/>
      <c r="W70" s="1213"/>
      <c r="X70" s="1213"/>
      <c r="Y70" s="1213"/>
      <c r="Z70" s="1213"/>
      <c r="AA70" s="467" t="str">
        <f t="shared" si="14"/>
        <v/>
      </c>
      <c r="AB70" s="467" t="str">
        <f t="shared" si="15"/>
        <v/>
      </c>
      <c r="AC70" s="467" t="str">
        <f t="shared" si="16"/>
        <v/>
      </c>
      <c r="AD70" s="467" t="str">
        <f t="shared" si="17"/>
        <v/>
      </c>
      <c r="AE70" s="468" t="str">
        <f t="shared" si="18"/>
        <v>○</v>
      </c>
      <c r="AF70" s="468" t="str">
        <f t="shared" si="2"/>
        <v/>
      </c>
      <c r="AG70" s="468" t="str">
        <f t="shared" si="7"/>
        <v/>
      </c>
      <c r="AH70" s="468" t="str">
        <f t="shared" si="8"/>
        <v/>
      </c>
      <c r="AI70" s="468" t="str">
        <f t="shared" si="9"/>
        <v/>
      </c>
      <c r="AJ70" s="468" t="str">
        <f t="shared" si="10"/>
        <v/>
      </c>
      <c r="AK70" s="468" t="str">
        <f t="shared" si="11"/>
        <v/>
      </c>
      <c r="AL70" s="468" t="str">
        <f t="shared" si="12"/>
        <v/>
      </c>
      <c r="AM70" s="468" t="str">
        <f t="shared" si="13"/>
        <v/>
      </c>
      <c r="AZ70" s="462"/>
      <c r="BA70" s="462"/>
    </row>
    <row r="71" spans="1:53" ht="13.5" hidden="1" customHeight="1">
      <c r="A71" s="1232">
        <v>61</v>
      </c>
      <c r="B71" s="1233"/>
      <c r="C71" s="1230"/>
      <c r="D71" s="1234"/>
      <c r="E71" s="1231"/>
      <c r="F71" s="1230"/>
      <c r="G71" s="1234"/>
      <c r="H71" s="1231"/>
      <c r="I71" s="1230"/>
      <c r="J71" s="1231"/>
      <c r="K71" s="1230"/>
      <c r="L71" s="1231"/>
      <c r="M71" s="1230"/>
      <c r="N71" s="1231"/>
      <c r="O71" s="1228"/>
      <c r="P71" s="1229"/>
      <c r="Q71" s="1230"/>
      <c r="R71" s="1231"/>
      <c r="S71" s="1230"/>
      <c r="T71" s="1231"/>
      <c r="U71" s="1212" t="str">
        <f t="shared" si="3"/>
        <v/>
      </c>
      <c r="V71" s="1213"/>
      <c r="W71" s="1213"/>
      <c r="X71" s="1213"/>
      <c r="Y71" s="1213"/>
      <c r="Z71" s="1213"/>
      <c r="AA71" s="467" t="str">
        <f t="shared" si="14"/>
        <v/>
      </c>
      <c r="AB71" s="467" t="str">
        <f t="shared" si="15"/>
        <v/>
      </c>
      <c r="AC71" s="467" t="str">
        <f t="shared" si="16"/>
        <v/>
      </c>
      <c r="AD71" s="467" t="str">
        <f t="shared" si="17"/>
        <v/>
      </c>
      <c r="AE71" s="468" t="str">
        <f t="shared" si="18"/>
        <v>○</v>
      </c>
      <c r="AF71" s="468" t="str">
        <f t="shared" si="2"/>
        <v/>
      </c>
      <c r="AG71" s="468" t="str">
        <f t="shared" si="7"/>
        <v/>
      </c>
      <c r="AH71" s="468" t="str">
        <f t="shared" si="8"/>
        <v/>
      </c>
      <c r="AI71" s="468" t="str">
        <f t="shared" si="9"/>
        <v/>
      </c>
      <c r="AJ71" s="468" t="str">
        <f t="shared" si="10"/>
        <v/>
      </c>
      <c r="AK71" s="468" t="str">
        <f t="shared" si="11"/>
        <v/>
      </c>
      <c r="AL71" s="468" t="str">
        <f t="shared" si="12"/>
        <v/>
      </c>
      <c r="AM71" s="468" t="str">
        <f t="shared" si="13"/>
        <v/>
      </c>
      <c r="AZ71" s="462"/>
      <c r="BA71" s="462"/>
    </row>
    <row r="72" spans="1:53" ht="13.5" hidden="1" customHeight="1">
      <c r="A72" s="1232">
        <v>62</v>
      </c>
      <c r="B72" s="1233"/>
      <c r="C72" s="1230"/>
      <c r="D72" s="1234"/>
      <c r="E72" s="1231"/>
      <c r="F72" s="1230"/>
      <c r="G72" s="1234"/>
      <c r="H72" s="1231"/>
      <c r="I72" s="1230"/>
      <c r="J72" s="1231"/>
      <c r="K72" s="1230"/>
      <c r="L72" s="1231"/>
      <c r="M72" s="1230"/>
      <c r="N72" s="1231"/>
      <c r="O72" s="1228"/>
      <c r="P72" s="1229"/>
      <c r="Q72" s="1230"/>
      <c r="R72" s="1231"/>
      <c r="S72" s="1230"/>
      <c r="T72" s="1231"/>
      <c r="U72" s="1212" t="str">
        <f t="shared" si="3"/>
        <v/>
      </c>
      <c r="V72" s="1213"/>
      <c r="W72" s="1213"/>
      <c r="X72" s="1213"/>
      <c r="Y72" s="1213"/>
      <c r="Z72" s="1213"/>
      <c r="AA72" s="467" t="str">
        <f t="shared" si="14"/>
        <v/>
      </c>
      <c r="AB72" s="467" t="str">
        <f t="shared" si="15"/>
        <v/>
      </c>
      <c r="AC72" s="467" t="str">
        <f t="shared" si="16"/>
        <v/>
      </c>
      <c r="AD72" s="467" t="str">
        <f t="shared" si="17"/>
        <v/>
      </c>
      <c r="AE72" s="468" t="str">
        <f t="shared" si="18"/>
        <v>○</v>
      </c>
      <c r="AF72" s="468" t="str">
        <f t="shared" si="2"/>
        <v/>
      </c>
      <c r="AG72" s="468" t="str">
        <f t="shared" si="7"/>
        <v/>
      </c>
      <c r="AH72" s="468" t="str">
        <f t="shared" si="8"/>
        <v/>
      </c>
      <c r="AI72" s="468" t="str">
        <f t="shared" si="9"/>
        <v/>
      </c>
      <c r="AJ72" s="468" t="str">
        <f t="shared" si="10"/>
        <v/>
      </c>
      <c r="AK72" s="468" t="str">
        <f t="shared" si="11"/>
        <v/>
      </c>
      <c r="AL72" s="468" t="str">
        <f t="shared" si="12"/>
        <v/>
      </c>
      <c r="AM72" s="468" t="str">
        <f t="shared" si="13"/>
        <v/>
      </c>
      <c r="AZ72" s="462"/>
      <c r="BA72" s="462"/>
    </row>
    <row r="73" spans="1:53" ht="13.5" hidden="1" customHeight="1">
      <c r="A73" s="1232">
        <v>63</v>
      </c>
      <c r="B73" s="1233"/>
      <c r="C73" s="1230"/>
      <c r="D73" s="1234"/>
      <c r="E73" s="1231"/>
      <c r="F73" s="1230"/>
      <c r="G73" s="1234"/>
      <c r="H73" s="1231"/>
      <c r="I73" s="1230"/>
      <c r="J73" s="1231"/>
      <c r="K73" s="1230"/>
      <c r="L73" s="1231"/>
      <c r="M73" s="1230"/>
      <c r="N73" s="1231"/>
      <c r="O73" s="1228"/>
      <c r="P73" s="1229"/>
      <c r="Q73" s="1230"/>
      <c r="R73" s="1231"/>
      <c r="S73" s="1230"/>
      <c r="T73" s="1231"/>
      <c r="U73" s="1212" t="str">
        <f t="shared" si="3"/>
        <v/>
      </c>
      <c r="V73" s="1213"/>
      <c r="W73" s="1213"/>
      <c r="X73" s="1213"/>
      <c r="Y73" s="1213"/>
      <c r="Z73" s="1213"/>
      <c r="AA73" s="467" t="str">
        <f t="shared" si="14"/>
        <v/>
      </c>
      <c r="AB73" s="467" t="str">
        <f t="shared" si="15"/>
        <v/>
      </c>
      <c r="AC73" s="467" t="str">
        <f t="shared" si="16"/>
        <v/>
      </c>
      <c r="AD73" s="467" t="str">
        <f t="shared" si="17"/>
        <v/>
      </c>
      <c r="AE73" s="468" t="str">
        <f t="shared" si="18"/>
        <v>○</v>
      </c>
      <c r="AF73" s="468" t="str">
        <f t="shared" si="2"/>
        <v/>
      </c>
      <c r="AG73" s="468" t="str">
        <f t="shared" si="7"/>
        <v/>
      </c>
      <c r="AH73" s="468" t="str">
        <f t="shared" si="8"/>
        <v/>
      </c>
      <c r="AI73" s="468" t="str">
        <f t="shared" si="9"/>
        <v/>
      </c>
      <c r="AJ73" s="468" t="str">
        <f t="shared" si="10"/>
        <v/>
      </c>
      <c r="AK73" s="468" t="str">
        <f t="shared" si="11"/>
        <v/>
      </c>
      <c r="AL73" s="468" t="str">
        <f t="shared" si="12"/>
        <v/>
      </c>
      <c r="AM73" s="468" t="str">
        <f t="shared" si="13"/>
        <v/>
      </c>
      <c r="AZ73" s="462"/>
      <c r="BA73" s="462"/>
    </row>
    <row r="74" spans="1:53" ht="13.5" hidden="1" customHeight="1">
      <c r="A74" s="1232">
        <v>64</v>
      </c>
      <c r="B74" s="1233"/>
      <c r="C74" s="1230"/>
      <c r="D74" s="1234"/>
      <c r="E74" s="1231"/>
      <c r="F74" s="1230"/>
      <c r="G74" s="1234"/>
      <c r="H74" s="1231"/>
      <c r="I74" s="1230"/>
      <c r="J74" s="1231"/>
      <c r="K74" s="1230"/>
      <c r="L74" s="1231"/>
      <c r="M74" s="1230"/>
      <c r="N74" s="1231"/>
      <c r="O74" s="1228"/>
      <c r="P74" s="1229"/>
      <c r="Q74" s="1230"/>
      <c r="R74" s="1231"/>
      <c r="S74" s="1230"/>
      <c r="T74" s="1231"/>
      <c r="U74" s="1212" t="str">
        <f t="shared" si="3"/>
        <v/>
      </c>
      <c r="V74" s="1213"/>
      <c r="W74" s="1213"/>
      <c r="X74" s="1213"/>
      <c r="Y74" s="1213"/>
      <c r="Z74" s="1213"/>
      <c r="AA74" s="467" t="str">
        <f t="shared" si="14"/>
        <v/>
      </c>
      <c r="AB74" s="467" t="str">
        <f t="shared" si="15"/>
        <v/>
      </c>
      <c r="AC74" s="467" t="str">
        <f t="shared" si="16"/>
        <v/>
      </c>
      <c r="AD74" s="467" t="str">
        <f t="shared" si="17"/>
        <v/>
      </c>
      <c r="AE74" s="468" t="str">
        <f t="shared" si="18"/>
        <v>○</v>
      </c>
      <c r="AF74" s="468" t="str">
        <f t="shared" si="2"/>
        <v/>
      </c>
      <c r="AG74" s="468" t="str">
        <f t="shared" si="7"/>
        <v/>
      </c>
      <c r="AH74" s="468" t="str">
        <f t="shared" si="8"/>
        <v/>
      </c>
      <c r="AI74" s="468" t="str">
        <f t="shared" si="9"/>
        <v/>
      </c>
      <c r="AJ74" s="468" t="str">
        <f t="shared" si="10"/>
        <v/>
      </c>
      <c r="AK74" s="468" t="str">
        <f t="shared" si="11"/>
        <v/>
      </c>
      <c r="AL74" s="468" t="str">
        <f t="shared" si="12"/>
        <v/>
      </c>
      <c r="AM74" s="468" t="str">
        <f t="shared" si="13"/>
        <v/>
      </c>
      <c r="AZ74" s="462"/>
      <c r="BA74" s="462"/>
    </row>
    <row r="75" spans="1:53" ht="13.5" hidden="1" customHeight="1">
      <c r="A75" s="1232">
        <v>65</v>
      </c>
      <c r="B75" s="1233"/>
      <c r="C75" s="1230"/>
      <c r="D75" s="1234"/>
      <c r="E75" s="1231"/>
      <c r="F75" s="1230"/>
      <c r="G75" s="1234"/>
      <c r="H75" s="1231"/>
      <c r="I75" s="1230"/>
      <c r="J75" s="1231"/>
      <c r="K75" s="1230"/>
      <c r="L75" s="1231"/>
      <c r="M75" s="1230"/>
      <c r="N75" s="1231"/>
      <c r="O75" s="1228"/>
      <c r="P75" s="1229"/>
      <c r="Q75" s="1230"/>
      <c r="R75" s="1231"/>
      <c r="S75" s="1230"/>
      <c r="T75" s="1231"/>
      <c r="U75" s="1212" t="str">
        <f t="shared" si="3"/>
        <v/>
      </c>
      <c r="V75" s="1213"/>
      <c r="W75" s="1213"/>
      <c r="X75" s="1213"/>
      <c r="Y75" s="1213"/>
      <c r="Z75" s="1213"/>
      <c r="AA75" s="467" t="str">
        <f t="shared" si="14"/>
        <v/>
      </c>
      <c r="AB75" s="467" t="str">
        <f t="shared" si="15"/>
        <v/>
      </c>
      <c r="AC75" s="467" t="str">
        <f t="shared" si="16"/>
        <v/>
      </c>
      <c r="AD75" s="467" t="str">
        <f t="shared" si="17"/>
        <v/>
      </c>
      <c r="AE75" s="468" t="str">
        <f t="shared" ref="AE75:AE130" si="19">IF(O75&gt;0,"","○")</f>
        <v>○</v>
      </c>
      <c r="AF75" s="468" t="str">
        <f t="shared" ref="AF75:AF130" si="20">IF(AND(I75="５歳",AE75="○",Q75=""),"○","")</f>
        <v/>
      </c>
      <c r="AG75" s="468" t="str">
        <f t="shared" si="7"/>
        <v/>
      </c>
      <c r="AH75" s="468" t="str">
        <f t="shared" si="8"/>
        <v/>
      </c>
      <c r="AI75" s="468" t="str">
        <f t="shared" si="9"/>
        <v/>
      </c>
      <c r="AJ75" s="468" t="str">
        <f t="shared" si="10"/>
        <v/>
      </c>
      <c r="AK75" s="468" t="str">
        <f t="shared" si="11"/>
        <v/>
      </c>
      <c r="AL75" s="468" t="str">
        <f t="shared" si="12"/>
        <v/>
      </c>
      <c r="AM75" s="468" t="str">
        <f t="shared" si="13"/>
        <v/>
      </c>
      <c r="AZ75" s="462"/>
      <c r="BA75" s="462"/>
    </row>
    <row r="76" spans="1:53" ht="13.5" hidden="1" customHeight="1">
      <c r="A76" s="1232">
        <v>66</v>
      </c>
      <c r="B76" s="1233"/>
      <c r="C76" s="1230"/>
      <c r="D76" s="1234"/>
      <c r="E76" s="1231"/>
      <c r="F76" s="1230"/>
      <c r="G76" s="1234"/>
      <c r="H76" s="1231"/>
      <c r="I76" s="1230"/>
      <c r="J76" s="1231"/>
      <c r="K76" s="1230"/>
      <c r="L76" s="1231"/>
      <c r="M76" s="1230"/>
      <c r="N76" s="1231"/>
      <c r="O76" s="1228"/>
      <c r="P76" s="1229"/>
      <c r="Q76" s="1230"/>
      <c r="R76" s="1231"/>
      <c r="S76" s="1230"/>
      <c r="T76" s="1231"/>
      <c r="U76" s="1212" t="str">
        <f t="shared" ref="U76:U130" si="21">IF(M76="","",IF(M76="○","※下表に記載必要箇所あり"))</f>
        <v/>
      </c>
      <c r="V76" s="1213"/>
      <c r="W76" s="1213"/>
      <c r="X76" s="1213"/>
      <c r="Y76" s="1213"/>
      <c r="Z76" s="1213"/>
      <c r="AA76" s="467" t="str">
        <f t="shared" si="14"/>
        <v/>
      </c>
      <c r="AB76" s="467" t="str">
        <f t="shared" si="15"/>
        <v/>
      </c>
      <c r="AC76" s="467" t="str">
        <f t="shared" si="16"/>
        <v/>
      </c>
      <c r="AD76" s="467" t="str">
        <f t="shared" si="17"/>
        <v/>
      </c>
      <c r="AE76" s="468" t="str">
        <f t="shared" si="19"/>
        <v>○</v>
      </c>
      <c r="AF76" s="468" t="str">
        <f t="shared" si="20"/>
        <v/>
      </c>
      <c r="AG76" s="468" t="str">
        <f t="shared" ref="AG76:AG130" si="22">IF(AND(I76="４歳",AE76="○",Q76=""),"○","")</f>
        <v/>
      </c>
      <c r="AH76" s="468" t="str">
        <f t="shared" ref="AH76:AH130" si="23">IF(AND(I76="３歳",AE76="○",Q76=""),"○","")</f>
        <v/>
      </c>
      <c r="AI76" s="468" t="str">
        <f t="shared" ref="AI76:AI130" si="24">IF(AND(I76="満３歳",AE76="○",Q76=""),"○","")</f>
        <v/>
      </c>
      <c r="AJ76" s="468" t="str">
        <f t="shared" ref="AJ76:AJ130" si="25">IF(AND(I76="５歳",AE76="○",Q76="○"),"○","")</f>
        <v/>
      </c>
      <c r="AK76" s="468" t="str">
        <f t="shared" ref="AK76:AK130" si="26">IF(AND(I76="４歳",AE76="○",Q76="○"),"○","")</f>
        <v/>
      </c>
      <c r="AL76" s="468" t="str">
        <f t="shared" ref="AL76:AL130" si="27">IF(AND(I76="３歳",AE76="○",Q76="○"),"○","")</f>
        <v/>
      </c>
      <c r="AM76" s="468" t="str">
        <f t="shared" ref="AM76:AM130" si="28">IF(AND(I76="満３歳",AE76="○",Q76="○"),"○","")</f>
        <v/>
      </c>
      <c r="AZ76" s="462"/>
      <c r="BA76" s="462"/>
    </row>
    <row r="77" spans="1:53" ht="13.5" hidden="1" customHeight="1">
      <c r="A77" s="1232">
        <v>67</v>
      </c>
      <c r="B77" s="1233"/>
      <c r="C77" s="1230"/>
      <c r="D77" s="1234"/>
      <c r="E77" s="1231"/>
      <c r="F77" s="1230"/>
      <c r="G77" s="1234"/>
      <c r="H77" s="1231"/>
      <c r="I77" s="1230"/>
      <c r="J77" s="1231"/>
      <c r="K77" s="1230"/>
      <c r="L77" s="1231"/>
      <c r="M77" s="1230"/>
      <c r="N77" s="1231"/>
      <c r="O77" s="1228"/>
      <c r="P77" s="1229"/>
      <c r="Q77" s="1230"/>
      <c r="R77" s="1231"/>
      <c r="S77" s="1230"/>
      <c r="T77" s="1231"/>
      <c r="U77" s="1212" t="str">
        <f t="shared" si="21"/>
        <v/>
      </c>
      <c r="V77" s="1213"/>
      <c r="W77" s="1213"/>
      <c r="X77" s="1213"/>
      <c r="Y77" s="1213"/>
      <c r="Z77" s="1213"/>
      <c r="AA77" s="467" t="str">
        <f t="shared" si="14"/>
        <v/>
      </c>
      <c r="AB77" s="467" t="str">
        <f t="shared" si="15"/>
        <v/>
      </c>
      <c r="AC77" s="467" t="str">
        <f t="shared" si="16"/>
        <v/>
      </c>
      <c r="AD77" s="467" t="str">
        <f t="shared" si="17"/>
        <v/>
      </c>
      <c r="AE77" s="468" t="str">
        <f t="shared" si="19"/>
        <v>○</v>
      </c>
      <c r="AF77" s="468" t="str">
        <f t="shared" si="20"/>
        <v/>
      </c>
      <c r="AG77" s="468" t="str">
        <f t="shared" si="22"/>
        <v/>
      </c>
      <c r="AH77" s="468" t="str">
        <f t="shared" si="23"/>
        <v/>
      </c>
      <c r="AI77" s="468" t="str">
        <f t="shared" si="24"/>
        <v/>
      </c>
      <c r="AJ77" s="468" t="str">
        <f t="shared" si="25"/>
        <v/>
      </c>
      <c r="AK77" s="468" t="str">
        <f t="shared" si="26"/>
        <v/>
      </c>
      <c r="AL77" s="468" t="str">
        <f t="shared" si="27"/>
        <v/>
      </c>
      <c r="AM77" s="468" t="str">
        <f t="shared" si="28"/>
        <v/>
      </c>
      <c r="AZ77" s="462"/>
      <c r="BA77" s="462"/>
    </row>
    <row r="78" spans="1:53" ht="13.5" hidden="1" customHeight="1">
      <c r="A78" s="1232">
        <v>68</v>
      </c>
      <c r="B78" s="1233"/>
      <c r="C78" s="1230"/>
      <c r="D78" s="1234"/>
      <c r="E78" s="1231"/>
      <c r="F78" s="1230"/>
      <c r="G78" s="1234"/>
      <c r="H78" s="1231"/>
      <c r="I78" s="1230"/>
      <c r="J78" s="1231"/>
      <c r="K78" s="1230"/>
      <c r="L78" s="1231"/>
      <c r="M78" s="1230"/>
      <c r="N78" s="1231"/>
      <c r="O78" s="1228"/>
      <c r="P78" s="1229"/>
      <c r="Q78" s="1230"/>
      <c r="R78" s="1231"/>
      <c r="S78" s="1230"/>
      <c r="T78" s="1231"/>
      <c r="U78" s="1212" t="str">
        <f t="shared" si="21"/>
        <v/>
      </c>
      <c r="V78" s="1213"/>
      <c r="W78" s="1213"/>
      <c r="X78" s="1213"/>
      <c r="Y78" s="1213"/>
      <c r="Z78" s="1213"/>
      <c r="AA78" s="467" t="str">
        <f t="shared" si="14"/>
        <v/>
      </c>
      <c r="AB78" s="467" t="str">
        <f t="shared" si="15"/>
        <v/>
      </c>
      <c r="AC78" s="467" t="str">
        <f t="shared" si="16"/>
        <v/>
      </c>
      <c r="AD78" s="467" t="str">
        <f t="shared" si="17"/>
        <v/>
      </c>
      <c r="AE78" s="468" t="str">
        <f t="shared" si="19"/>
        <v>○</v>
      </c>
      <c r="AF78" s="468" t="str">
        <f t="shared" si="20"/>
        <v/>
      </c>
      <c r="AG78" s="468" t="str">
        <f t="shared" si="22"/>
        <v/>
      </c>
      <c r="AH78" s="468" t="str">
        <f t="shared" si="23"/>
        <v/>
      </c>
      <c r="AI78" s="468" t="str">
        <f t="shared" si="24"/>
        <v/>
      </c>
      <c r="AJ78" s="468" t="str">
        <f t="shared" si="25"/>
        <v/>
      </c>
      <c r="AK78" s="468" t="str">
        <f t="shared" si="26"/>
        <v/>
      </c>
      <c r="AL78" s="468" t="str">
        <f t="shared" si="27"/>
        <v/>
      </c>
      <c r="AM78" s="468" t="str">
        <f t="shared" si="28"/>
        <v/>
      </c>
      <c r="AZ78" s="462"/>
      <c r="BA78" s="462"/>
    </row>
    <row r="79" spans="1:53" ht="13.5" hidden="1" customHeight="1">
      <c r="A79" s="1232">
        <v>69</v>
      </c>
      <c r="B79" s="1233"/>
      <c r="C79" s="1230"/>
      <c r="D79" s="1234"/>
      <c r="E79" s="1231"/>
      <c r="F79" s="1230"/>
      <c r="G79" s="1234"/>
      <c r="H79" s="1231"/>
      <c r="I79" s="1230"/>
      <c r="J79" s="1231"/>
      <c r="K79" s="1230"/>
      <c r="L79" s="1231"/>
      <c r="M79" s="1230"/>
      <c r="N79" s="1231"/>
      <c r="O79" s="1228"/>
      <c r="P79" s="1229"/>
      <c r="Q79" s="1230"/>
      <c r="R79" s="1231"/>
      <c r="S79" s="1230"/>
      <c r="T79" s="1231"/>
      <c r="U79" s="1212" t="str">
        <f t="shared" si="21"/>
        <v/>
      </c>
      <c r="V79" s="1213"/>
      <c r="W79" s="1213"/>
      <c r="X79" s="1213"/>
      <c r="Y79" s="1213"/>
      <c r="Z79" s="1213"/>
      <c r="AA79" s="467" t="str">
        <f t="shared" si="14"/>
        <v/>
      </c>
      <c r="AB79" s="467" t="str">
        <f t="shared" si="15"/>
        <v/>
      </c>
      <c r="AC79" s="467" t="str">
        <f t="shared" si="16"/>
        <v/>
      </c>
      <c r="AD79" s="467" t="str">
        <f t="shared" si="17"/>
        <v/>
      </c>
      <c r="AE79" s="468" t="str">
        <f t="shared" si="19"/>
        <v>○</v>
      </c>
      <c r="AF79" s="468" t="str">
        <f t="shared" si="20"/>
        <v/>
      </c>
      <c r="AG79" s="468" t="str">
        <f t="shared" si="22"/>
        <v/>
      </c>
      <c r="AH79" s="468" t="str">
        <f t="shared" si="23"/>
        <v/>
      </c>
      <c r="AI79" s="468" t="str">
        <f t="shared" si="24"/>
        <v/>
      </c>
      <c r="AJ79" s="468" t="str">
        <f t="shared" si="25"/>
        <v/>
      </c>
      <c r="AK79" s="468" t="str">
        <f t="shared" si="26"/>
        <v/>
      </c>
      <c r="AL79" s="468" t="str">
        <f t="shared" si="27"/>
        <v/>
      </c>
      <c r="AM79" s="468" t="str">
        <f t="shared" si="28"/>
        <v/>
      </c>
      <c r="AZ79" s="462"/>
      <c r="BA79" s="462"/>
    </row>
    <row r="80" spans="1:53" ht="13.5" hidden="1" customHeight="1">
      <c r="A80" s="1232">
        <v>70</v>
      </c>
      <c r="B80" s="1233"/>
      <c r="C80" s="1230"/>
      <c r="D80" s="1234"/>
      <c r="E80" s="1231"/>
      <c r="F80" s="1230"/>
      <c r="G80" s="1234"/>
      <c r="H80" s="1231"/>
      <c r="I80" s="1230"/>
      <c r="J80" s="1231"/>
      <c r="K80" s="1230"/>
      <c r="L80" s="1231"/>
      <c r="M80" s="1230"/>
      <c r="N80" s="1231"/>
      <c r="O80" s="1228"/>
      <c r="P80" s="1229"/>
      <c r="Q80" s="1230"/>
      <c r="R80" s="1231"/>
      <c r="S80" s="1230"/>
      <c r="T80" s="1231"/>
      <c r="U80" s="1212" t="str">
        <f t="shared" si="21"/>
        <v/>
      </c>
      <c r="V80" s="1213"/>
      <c r="W80" s="1213"/>
      <c r="X80" s="1213"/>
      <c r="Y80" s="1213"/>
      <c r="Z80" s="1213"/>
      <c r="AA80" s="467" t="str">
        <f t="shared" si="14"/>
        <v/>
      </c>
      <c r="AB80" s="467" t="str">
        <f t="shared" si="15"/>
        <v/>
      </c>
      <c r="AC80" s="467" t="str">
        <f t="shared" si="16"/>
        <v/>
      </c>
      <c r="AD80" s="467" t="str">
        <f t="shared" si="17"/>
        <v/>
      </c>
      <c r="AE80" s="468" t="str">
        <f t="shared" si="19"/>
        <v>○</v>
      </c>
      <c r="AF80" s="468" t="str">
        <f t="shared" si="20"/>
        <v/>
      </c>
      <c r="AG80" s="468" t="str">
        <f t="shared" si="22"/>
        <v/>
      </c>
      <c r="AH80" s="468" t="str">
        <f t="shared" si="23"/>
        <v/>
      </c>
      <c r="AI80" s="468" t="str">
        <f t="shared" si="24"/>
        <v/>
      </c>
      <c r="AJ80" s="468" t="str">
        <f t="shared" si="25"/>
        <v/>
      </c>
      <c r="AK80" s="468" t="str">
        <f t="shared" si="26"/>
        <v/>
      </c>
      <c r="AL80" s="468" t="str">
        <f t="shared" si="27"/>
        <v/>
      </c>
      <c r="AM80" s="468" t="str">
        <f t="shared" si="28"/>
        <v/>
      </c>
      <c r="AZ80" s="462"/>
      <c r="BA80" s="462"/>
    </row>
    <row r="81" spans="1:53" ht="13.5" hidden="1" customHeight="1">
      <c r="A81" s="1232">
        <v>71</v>
      </c>
      <c r="B81" s="1233"/>
      <c r="C81" s="1230"/>
      <c r="D81" s="1234"/>
      <c r="E81" s="1231"/>
      <c r="F81" s="1230"/>
      <c r="G81" s="1234"/>
      <c r="H81" s="1231"/>
      <c r="I81" s="1230"/>
      <c r="J81" s="1231"/>
      <c r="K81" s="1230"/>
      <c r="L81" s="1231"/>
      <c r="M81" s="1230"/>
      <c r="N81" s="1231"/>
      <c r="O81" s="1228"/>
      <c r="P81" s="1229"/>
      <c r="Q81" s="1230"/>
      <c r="R81" s="1231"/>
      <c r="S81" s="1230"/>
      <c r="T81" s="1231"/>
      <c r="U81" s="1212" t="str">
        <f t="shared" si="21"/>
        <v/>
      </c>
      <c r="V81" s="1213"/>
      <c r="W81" s="1213"/>
      <c r="X81" s="1213"/>
      <c r="Y81" s="1213"/>
      <c r="Z81" s="1213"/>
      <c r="AA81" s="467" t="str">
        <f t="shared" si="14"/>
        <v/>
      </c>
      <c r="AB81" s="467" t="str">
        <f t="shared" si="15"/>
        <v/>
      </c>
      <c r="AC81" s="467" t="str">
        <f t="shared" si="16"/>
        <v/>
      </c>
      <c r="AD81" s="467" t="str">
        <f t="shared" si="17"/>
        <v/>
      </c>
      <c r="AE81" s="468" t="str">
        <f t="shared" si="19"/>
        <v>○</v>
      </c>
      <c r="AF81" s="468" t="str">
        <f t="shared" si="20"/>
        <v/>
      </c>
      <c r="AG81" s="468" t="str">
        <f t="shared" si="22"/>
        <v/>
      </c>
      <c r="AH81" s="468" t="str">
        <f t="shared" si="23"/>
        <v/>
      </c>
      <c r="AI81" s="468" t="str">
        <f t="shared" si="24"/>
        <v/>
      </c>
      <c r="AJ81" s="468" t="str">
        <f t="shared" si="25"/>
        <v/>
      </c>
      <c r="AK81" s="468" t="str">
        <f t="shared" si="26"/>
        <v/>
      </c>
      <c r="AL81" s="468" t="str">
        <f t="shared" si="27"/>
        <v/>
      </c>
      <c r="AM81" s="468" t="str">
        <f t="shared" si="28"/>
        <v/>
      </c>
      <c r="AZ81" s="462"/>
      <c r="BA81" s="462"/>
    </row>
    <row r="82" spans="1:53" ht="13.5" hidden="1" customHeight="1">
      <c r="A82" s="1232">
        <v>72</v>
      </c>
      <c r="B82" s="1233"/>
      <c r="C82" s="1230"/>
      <c r="D82" s="1234"/>
      <c r="E82" s="1231"/>
      <c r="F82" s="1230"/>
      <c r="G82" s="1234"/>
      <c r="H82" s="1231"/>
      <c r="I82" s="1230"/>
      <c r="J82" s="1231"/>
      <c r="K82" s="1230"/>
      <c r="L82" s="1231"/>
      <c r="M82" s="1230"/>
      <c r="N82" s="1231"/>
      <c r="O82" s="1228"/>
      <c r="P82" s="1229"/>
      <c r="Q82" s="1230"/>
      <c r="R82" s="1231"/>
      <c r="S82" s="1230"/>
      <c r="T82" s="1231"/>
      <c r="U82" s="1212" t="str">
        <f t="shared" si="21"/>
        <v/>
      </c>
      <c r="V82" s="1213"/>
      <c r="W82" s="1213"/>
      <c r="X82" s="1213"/>
      <c r="Y82" s="1213"/>
      <c r="Z82" s="1213"/>
      <c r="AA82" s="467" t="str">
        <f t="shared" si="14"/>
        <v/>
      </c>
      <c r="AB82" s="467" t="str">
        <f t="shared" si="15"/>
        <v/>
      </c>
      <c r="AC82" s="467" t="str">
        <f t="shared" si="16"/>
        <v/>
      </c>
      <c r="AD82" s="467" t="str">
        <f t="shared" si="17"/>
        <v/>
      </c>
      <c r="AE82" s="468" t="str">
        <f t="shared" si="19"/>
        <v>○</v>
      </c>
      <c r="AF82" s="468" t="str">
        <f t="shared" si="20"/>
        <v/>
      </c>
      <c r="AG82" s="468" t="str">
        <f t="shared" si="22"/>
        <v/>
      </c>
      <c r="AH82" s="468" t="str">
        <f t="shared" si="23"/>
        <v/>
      </c>
      <c r="AI82" s="468" t="str">
        <f t="shared" si="24"/>
        <v/>
      </c>
      <c r="AJ82" s="468" t="str">
        <f t="shared" si="25"/>
        <v/>
      </c>
      <c r="AK82" s="468" t="str">
        <f t="shared" si="26"/>
        <v/>
      </c>
      <c r="AL82" s="468" t="str">
        <f t="shared" si="27"/>
        <v/>
      </c>
      <c r="AM82" s="468" t="str">
        <f t="shared" si="28"/>
        <v/>
      </c>
      <c r="AZ82" s="462"/>
      <c r="BA82" s="462"/>
    </row>
    <row r="83" spans="1:53" ht="13.5" hidden="1" customHeight="1">
      <c r="A83" s="1232">
        <v>73</v>
      </c>
      <c r="B83" s="1233"/>
      <c r="C83" s="1230"/>
      <c r="D83" s="1234"/>
      <c r="E83" s="1231"/>
      <c r="F83" s="1230"/>
      <c r="G83" s="1234"/>
      <c r="H83" s="1231"/>
      <c r="I83" s="1230"/>
      <c r="J83" s="1231"/>
      <c r="K83" s="1230"/>
      <c r="L83" s="1231"/>
      <c r="M83" s="1230"/>
      <c r="N83" s="1231"/>
      <c r="O83" s="1228"/>
      <c r="P83" s="1229"/>
      <c r="Q83" s="1230"/>
      <c r="R83" s="1231"/>
      <c r="S83" s="1230"/>
      <c r="T83" s="1231"/>
      <c r="U83" s="1212" t="str">
        <f t="shared" si="21"/>
        <v/>
      </c>
      <c r="V83" s="1213"/>
      <c r="W83" s="1213"/>
      <c r="X83" s="1213"/>
      <c r="Y83" s="1213"/>
      <c r="Z83" s="1213"/>
      <c r="AA83" s="467" t="str">
        <f t="shared" si="14"/>
        <v/>
      </c>
      <c r="AB83" s="467" t="str">
        <f t="shared" si="15"/>
        <v/>
      </c>
      <c r="AC83" s="467" t="str">
        <f t="shared" si="16"/>
        <v/>
      </c>
      <c r="AD83" s="467" t="str">
        <f t="shared" si="17"/>
        <v/>
      </c>
      <c r="AE83" s="468" t="str">
        <f t="shared" si="19"/>
        <v>○</v>
      </c>
      <c r="AF83" s="468" t="str">
        <f t="shared" si="20"/>
        <v/>
      </c>
      <c r="AG83" s="468" t="str">
        <f t="shared" si="22"/>
        <v/>
      </c>
      <c r="AH83" s="468" t="str">
        <f t="shared" si="23"/>
        <v/>
      </c>
      <c r="AI83" s="468" t="str">
        <f t="shared" si="24"/>
        <v/>
      </c>
      <c r="AJ83" s="468" t="str">
        <f t="shared" si="25"/>
        <v/>
      </c>
      <c r="AK83" s="468" t="str">
        <f t="shared" si="26"/>
        <v/>
      </c>
      <c r="AL83" s="468" t="str">
        <f t="shared" si="27"/>
        <v/>
      </c>
      <c r="AM83" s="468" t="str">
        <f t="shared" si="28"/>
        <v/>
      </c>
      <c r="AZ83" s="462"/>
      <c r="BA83" s="462"/>
    </row>
    <row r="84" spans="1:53" ht="13.5" hidden="1" customHeight="1">
      <c r="A84" s="1232">
        <v>74</v>
      </c>
      <c r="B84" s="1233"/>
      <c r="C84" s="1230"/>
      <c r="D84" s="1234"/>
      <c r="E84" s="1231"/>
      <c r="F84" s="1230"/>
      <c r="G84" s="1234"/>
      <c r="H84" s="1231"/>
      <c r="I84" s="1230"/>
      <c r="J84" s="1231"/>
      <c r="K84" s="1230"/>
      <c r="L84" s="1231"/>
      <c r="M84" s="1230"/>
      <c r="N84" s="1231"/>
      <c r="O84" s="1228"/>
      <c r="P84" s="1229"/>
      <c r="Q84" s="1230"/>
      <c r="R84" s="1231"/>
      <c r="S84" s="1230"/>
      <c r="T84" s="1231"/>
      <c r="U84" s="1212" t="str">
        <f t="shared" si="21"/>
        <v/>
      </c>
      <c r="V84" s="1213"/>
      <c r="W84" s="1213"/>
      <c r="X84" s="1213"/>
      <c r="Y84" s="1213"/>
      <c r="Z84" s="1213"/>
      <c r="AA84" s="467" t="str">
        <f t="shared" si="14"/>
        <v/>
      </c>
      <c r="AB84" s="467" t="str">
        <f t="shared" si="15"/>
        <v/>
      </c>
      <c r="AC84" s="467" t="str">
        <f t="shared" si="16"/>
        <v/>
      </c>
      <c r="AD84" s="467" t="str">
        <f t="shared" si="17"/>
        <v/>
      </c>
      <c r="AE84" s="468" t="str">
        <f t="shared" si="19"/>
        <v>○</v>
      </c>
      <c r="AF84" s="468" t="str">
        <f t="shared" si="20"/>
        <v/>
      </c>
      <c r="AG84" s="468" t="str">
        <f t="shared" si="22"/>
        <v/>
      </c>
      <c r="AH84" s="468" t="str">
        <f t="shared" si="23"/>
        <v/>
      </c>
      <c r="AI84" s="468" t="str">
        <f t="shared" si="24"/>
        <v/>
      </c>
      <c r="AJ84" s="468" t="str">
        <f t="shared" si="25"/>
        <v/>
      </c>
      <c r="AK84" s="468" t="str">
        <f t="shared" si="26"/>
        <v/>
      </c>
      <c r="AL84" s="468" t="str">
        <f t="shared" si="27"/>
        <v/>
      </c>
      <c r="AM84" s="468" t="str">
        <f t="shared" si="28"/>
        <v/>
      </c>
      <c r="AZ84" s="462"/>
      <c r="BA84" s="462"/>
    </row>
    <row r="85" spans="1:53" ht="13.5" hidden="1" customHeight="1">
      <c r="A85" s="1232">
        <v>75</v>
      </c>
      <c r="B85" s="1233"/>
      <c r="C85" s="1230"/>
      <c r="D85" s="1234"/>
      <c r="E85" s="1231"/>
      <c r="F85" s="1230"/>
      <c r="G85" s="1234"/>
      <c r="H85" s="1231"/>
      <c r="I85" s="1230"/>
      <c r="J85" s="1231"/>
      <c r="K85" s="1230"/>
      <c r="L85" s="1231"/>
      <c r="M85" s="1230"/>
      <c r="N85" s="1231"/>
      <c r="O85" s="1228"/>
      <c r="P85" s="1229"/>
      <c r="Q85" s="1230"/>
      <c r="R85" s="1231"/>
      <c r="S85" s="1230"/>
      <c r="T85" s="1231"/>
      <c r="U85" s="1212" t="str">
        <f t="shared" si="21"/>
        <v/>
      </c>
      <c r="V85" s="1213"/>
      <c r="W85" s="1213"/>
      <c r="X85" s="1213"/>
      <c r="Y85" s="1213"/>
      <c r="Z85" s="1213"/>
      <c r="AA85" s="467" t="str">
        <f t="shared" si="14"/>
        <v/>
      </c>
      <c r="AB85" s="467" t="str">
        <f t="shared" si="15"/>
        <v/>
      </c>
      <c r="AC85" s="467" t="str">
        <f t="shared" si="16"/>
        <v/>
      </c>
      <c r="AD85" s="467" t="str">
        <f t="shared" si="17"/>
        <v/>
      </c>
      <c r="AE85" s="468" t="str">
        <f t="shared" si="19"/>
        <v>○</v>
      </c>
      <c r="AF85" s="468" t="str">
        <f t="shared" si="20"/>
        <v/>
      </c>
      <c r="AG85" s="468" t="str">
        <f t="shared" si="22"/>
        <v/>
      </c>
      <c r="AH85" s="468" t="str">
        <f t="shared" si="23"/>
        <v/>
      </c>
      <c r="AI85" s="468" t="str">
        <f t="shared" si="24"/>
        <v/>
      </c>
      <c r="AJ85" s="468" t="str">
        <f t="shared" si="25"/>
        <v/>
      </c>
      <c r="AK85" s="468" t="str">
        <f t="shared" si="26"/>
        <v/>
      </c>
      <c r="AL85" s="468" t="str">
        <f t="shared" si="27"/>
        <v/>
      </c>
      <c r="AM85" s="468" t="str">
        <f t="shared" si="28"/>
        <v/>
      </c>
      <c r="AZ85" s="462"/>
      <c r="BA85" s="462"/>
    </row>
    <row r="86" spans="1:53" ht="13.5" hidden="1" customHeight="1">
      <c r="A86" s="1232">
        <v>76</v>
      </c>
      <c r="B86" s="1233"/>
      <c r="C86" s="1230"/>
      <c r="D86" s="1234"/>
      <c r="E86" s="1231"/>
      <c r="F86" s="1230"/>
      <c r="G86" s="1234"/>
      <c r="H86" s="1231"/>
      <c r="I86" s="1230"/>
      <c r="J86" s="1231"/>
      <c r="K86" s="1230"/>
      <c r="L86" s="1231"/>
      <c r="M86" s="1230"/>
      <c r="N86" s="1231"/>
      <c r="O86" s="1228"/>
      <c r="P86" s="1229"/>
      <c r="Q86" s="1230"/>
      <c r="R86" s="1231"/>
      <c r="S86" s="1230"/>
      <c r="T86" s="1231"/>
      <c r="U86" s="1212" t="str">
        <f t="shared" si="21"/>
        <v/>
      </c>
      <c r="V86" s="1213"/>
      <c r="W86" s="1213"/>
      <c r="X86" s="1213"/>
      <c r="Y86" s="1213"/>
      <c r="Z86" s="1213"/>
      <c r="AA86" s="467" t="str">
        <f t="shared" si="14"/>
        <v/>
      </c>
      <c r="AB86" s="467" t="str">
        <f t="shared" si="15"/>
        <v/>
      </c>
      <c r="AC86" s="467" t="str">
        <f t="shared" si="16"/>
        <v/>
      </c>
      <c r="AD86" s="467" t="str">
        <f t="shared" si="17"/>
        <v/>
      </c>
      <c r="AE86" s="468" t="str">
        <f t="shared" si="19"/>
        <v>○</v>
      </c>
      <c r="AF86" s="468" t="str">
        <f t="shared" si="20"/>
        <v/>
      </c>
      <c r="AG86" s="468" t="str">
        <f t="shared" si="22"/>
        <v/>
      </c>
      <c r="AH86" s="468" t="str">
        <f t="shared" si="23"/>
        <v/>
      </c>
      <c r="AI86" s="468" t="str">
        <f t="shared" si="24"/>
        <v/>
      </c>
      <c r="AJ86" s="468" t="str">
        <f t="shared" si="25"/>
        <v/>
      </c>
      <c r="AK86" s="468" t="str">
        <f t="shared" si="26"/>
        <v/>
      </c>
      <c r="AL86" s="468" t="str">
        <f t="shared" si="27"/>
        <v/>
      </c>
      <c r="AM86" s="468" t="str">
        <f t="shared" si="28"/>
        <v/>
      </c>
      <c r="AZ86" s="462"/>
      <c r="BA86" s="462"/>
    </row>
    <row r="87" spans="1:53" ht="13.5" hidden="1" customHeight="1">
      <c r="A87" s="1232">
        <v>77</v>
      </c>
      <c r="B87" s="1233"/>
      <c r="C87" s="1230"/>
      <c r="D87" s="1234"/>
      <c r="E87" s="1231"/>
      <c r="F87" s="1230"/>
      <c r="G87" s="1234"/>
      <c r="H87" s="1231"/>
      <c r="I87" s="1230"/>
      <c r="J87" s="1231"/>
      <c r="K87" s="1230"/>
      <c r="L87" s="1231"/>
      <c r="M87" s="1230"/>
      <c r="N87" s="1231"/>
      <c r="O87" s="1228"/>
      <c r="P87" s="1229"/>
      <c r="Q87" s="1230"/>
      <c r="R87" s="1231"/>
      <c r="S87" s="1230"/>
      <c r="T87" s="1231"/>
      <c r="U87" s="1212" t="str">
        <f t="shared" si="21"/>
        <v/>
      </c>
      <c r="V87" s="1213"/>
      <c r="W87" s="1213"/>
      <c r="X87" s="1213"/>
      <c r="Y87" s="1213"/>
      <c r="Z87" s="1213"/>
      <c r="AA87" s="467" t="str">
        <f t="shared" si="14"/>
        <v/>
      </c>
      <c r="AB87" s="467" t="str">
        <f t="shared" si="15"/>
        <v/>
      </c>
      <c r="AC87" s="467" t="str">
        <f t="shared" si="16"/>
        <v/>
      </c>
      <c r="AD87" s="467" t="str">
        <f t="shared" si="17"/>
        <v/>
      </c>
      <c r="AE87" s="468" t="str">
        <f t="shared" si="19"/>
        <v>○</v>
      </c>
      <c r="AF87" s="468" t="str">
        <f t="shared" si="20"/>
        <v/>
      </c>
      <c r="AG87" s="468" t="str">
        <f t="shared" si="22"/>
        <v/>
      </c>
      <c r="AH87" s="468" t="str">
        <f t="shared" si="23"/>
        <v/>
      </c>
      <c r="AI87" s="468" t="str">
        <f t="shared" si="24"/>
        <v/>
      </c>
      <c r="AJ87" s="468" t="str">
        <f t="shared" si="25"/>
        <v/>
      </c>
      <c r="AK87" s="468" t="str">
        <f t="shared" si="26"/>
        <v/>
      </c>
      <c r="AL87" s="468" t="str">
        <f t="shared" si="27"/>
        <v/>
      </c>
      <c r="AM87" s="468" t="str">
        <f t="shared" si="28"/>
        <v/>
      </c>
      <c r="AZ87" s="462"/>
      <c r="BA87" s="462"/>
    </row>
    <row r="88" spans="1:53" ht="13.5" hidden="1" customHeight="1">
      <c r="A88" s="1232">
        <v>78</v>
      </c>
      <c r="B88" s="1233"/>
      <c r="C88" s="1230"/>
      <c r="D88" s="1234"/>
      <c r="E88" s="1231"/>
      <c r="F88" s="1230"/>
      <c r="G88" s="1234"/>
      <c r="H88" s="1231"/>
      <c r="I88" s="1230"/>
      <c r="J88" s="1231"/>
      <c r="K88" s="1230"/>
      <c r="L88" s="1231"/>
      <c r="M88" s="1230"/>
      <c r="N88" s="1231"/>
      <c r="O88" s="1228"/>
      <c r="P88" s="1229"/>
      <c r="Q88" s="1230"/>
      <c r="R88" s="1231"/>
      <c r="S88" s="1230"/>
      <c r="T88" s="1231"/>
      <c r="U88" s="1212" t="str">
        <f t="shared" si="21"/>
        <v/>
      </c>
      <c r="V88" s="1213"/>
      <c r="W88" s="1213"/>
      <c r="X88" s="1213"/>
      <c r="Y88" s="1213"/>
      <c r="Z88" s="1213"/>
      <c r="AA88" s="467" t="str">
        <f t="shared" si="14"/>
        <v/>
      </c>
      <c r="AB88" s="467" t="str">
        <f t="shared" si="15"/>
        <v/>
      </c>
      <c r="AC88" s="467" t="str">
        <f t="shared" si="16"/>
        <v/>
      </c>
      <c r="AD88" s="467" t="str">
        <f t="shared" si="17"/>
        <v/>
      </c>
      <c r="AE88" s="468" t="str">
        <f t="shared" si="19"/>
        <v>○</v>
      </c>
      <c r="AF88" s="468" t="str">
        <f t="shared" si="20"/>
        <v/>
      </c>
      <c r="AG88" s="468" t="str">
        <f t="shared" si="22"/>
        <v/>
      </c>
      <c r="AH88" s="468" t="str">
        <f t="shared" si="23"/>
        <v/>
      </c>
      <c r="AI88" s="468" t="str">
        <f t="shared" si="24"/>
        <v/>
      </c>
      <c r="AJ88" s="468" t="str">
        <f t="shared" si="25"/>
        <v/>
      </c>
      <c r="AK88" s="468" t="str">
        <f t="shared" si="26"/>
        <v/>
      </c>
      <c r="AL88" s="468" t="str">
        <f t="shared" si="27"/>
        <v/>
      </c>
      <c r="AM88" s="468" t="str">
        <f t="shared" si="28"/>
        <v/>
      </c>
      <c r="AZ88" s="462"/>
      <c r="BA88" s="462"/>
    </row>
    <row r="89" spans="1:53" ht="13.5" hidden="1" customHeight="1">
      <c r="A89" s="1232">
        <v>79</v>
      </c>
      <c r="B89" s="1233"/>
      <c r="C89" s="1230"/>
      <c r="D89" s="1234"/>
      <c r="E89" s="1231"/>
      <c r="F89" s="1230"/>
      <c r="G89" s="1234"/>
      <c r="H89" s="1231"/>
      <c r="I89" s="1230"/>
      <c r="J89" s="1231"/>
      <c r="K89" s="1230"/>
      <c r="L89" s="1231"/>
      <c r="M89" s="1230"/>
      <c r="N89" s="1231"/>
      <c r="O89" s="1228"/>
      <c r="P89" s="1229"/>
      <c r="Q89" s="1230"/>
      <c r="R89" s="1231"/>
      <c r="S89" s="1230"/>
      <c r="T89" s="1231"/>
      <c r="U89" s="1212" t="str">
        <f t="shared" si="21"/>
        <v/>
      </c>
      <c r="V89" s="1213"/>
      <c r="W89" s="1213"/>
      <c r="X89" s="1213"/>
      <c r="Y89" s="1213"/>
      <c r="Z89" s="1213"/>
      <c r="AA89" s="467" t="str">
        <f t="shared" si="14"/>
        <v/>
      </c>
      <c r="AB89" s="467" t="str">
        <f t="shared" si="15"/>
        <v/>
      </c>
      <c r="AC89" s="467" t="str">
        <f t="shared" si="16"/>
        <v/>
      </c>
      <c r="AD89" s="467" t="str">
        <f t="shared" si="17"/>
        <v/>
      </c>
      <c r="AE89" s="468" t="str">
        <f t="shared" si="19"/>
        <v>○</v>
      </c>
      <c r="AF89" s="468" t="str">
        <f t="shared" si="20"/>
        <v/>
      </c>
      <c r="AG89" s="468" t="str">
        <f t="shared" si="22"/>
        <v/>
      </c>
      <c r="AH89" s="468" t="str">
        <f t="shared" si="23"/>
        <v/>
      </c>
      <c r="AI89" s="468" t="str">
        <f t="shared" si="24"/>
        <v/>
      </c>
      <c r="AJ89" s="468" t="str">
        <f t="shared" si="25"/>
        <v/>
      </c>
      <c r="AK89" s="468" t="str">
        <f t="shared" si="26"/>
        <v/>
      </c>
      <c r="AL89" s="468" t="str">
        <f t="shared" si="27"/>
        <v/>
      </c>
      <c r="AM89" s="468" t="str">
        <f t="shared" si="28"/>
        <v/>
      </c>
      <c r="AZ89" s="462"/>
      <c r="BA89" s="462"/>
    </row>
    <row r="90" spans="1:53" ht="13.5" hidden="1" customHeight="1">
      <c r="A90" s="1232">
        <v>80</v>
      </c>
      <c r="B90" s="1233"/>
      <c r="C90" s="1230"/>
      <c r="D90" s="1234"/>
      <c r="E90" s="1231"/>
      <c r="F90" s="1230"/>
      <c r="G90" s="1234"/>
      <c r="H90" s="1231"/>
      <c r="I90" s="1230"/>
      <c r="J90" s="1231"/>
      <c r="K90" s="1230"/>
      <c r="L90" s="1231"/>
      <c r="M90" s="1230"/>
      <c r="N90" s="1231"/>
      <c r="O90" s="1228"/>
      <c r="P90" s="1229"/>
      <c r="Q90" s="1230"/>
      <c r="R90" s="1231"/>
      <c r="S90" s="1230"/>
      <c r="T90" s="1231"/>
      <c r="U90" s="1212" t="str">
        <f t="shared" si="21"/>
        <v/>
      </c>
      <c r="V90" s="1213"/>
      <c r="W90" s="1213"/>
      <c r="X90" s="1213"/>
      <c r="Y90" s="1213"/>
      <c r="Z90" s="1213"/>
      <c r="AA90" s="467" t="str">
        <f t="shared" si="14"/>
        <v/>
      </c>
      <c r="AB90" s="467" t="str">
        <f t="shared" si="15"/>
        <v/>
      </c>
      <c r="AC90" s="467" t="str">
        <f t="shared" si="16"/>
        <v/>
      </c>
      <c r="AD90" s="467" t="str">
        <f t="shared" si="17"/>
        <v/>
      </c>
      <c r="AE90" s="468" t="str">
        <f t="shared" si="19"/>
        <v>○</v>
      </c>
      <c r="AF90" s="468" t="str">
        <f t="shared" si="20"/>
        <v/>
      </c>
      <c r="AG90" s="468" t="str">
        <f t="shared" si="22"/>
        <v/>
      </c>
      <c r="AH90" s="468" t="str">
        <f t="shared" si="23"/>
        <v/>
      </c>
      <c r="AI90" s="468" t="str">
        <f t="shared" si="24"/>
        <v/>
      </c>
      <c r="AJ90" s="468" t="str">
        <f t="shared" si="25"/>
        <v/>
      </c>
      <c r="AK90" s="468" t="str">
        <f t="shared" si="26"/>
        <v/>
      </c>
      <c r="AL90" s="468" t="str">
        <f t="shared" si="27"/>
        <v/>
      </c>
      <c r="AM90" s="468" t="str">
        <f t="shared" si="28"/>
        <v/>
      </c>
      <c r="AZ90" s="462"/>
      <c r="BA90" s="462"/>
    </row>
    <row r="91" spans="1:53" ht="13.5" hidden="1" customHeight="1">
      <c r="A91" s="1232">
        <v>81</v>
      </c>
      <c r="B91" s="1233"/>
      <c r="C91" s="1230"/>
      <c r="D91" s="1234"/>
      <c r="E91" s="1231"/>
      <c r="F91" s="1230"/>
      <c r="G91" s="1234"/>
      <c r="H91" s="1231"/>
      <c r="I91" s="1230"/>
      <c r="J91" s="1231"/>
      <c r="K91" s="1230"/>
      <c r="L91" s="1231"/>
      <c r="M91" s="1230"/>
      <c r="N91" s="1231"/>
      <c r="O91" s="1228"/>
      <c r="P91" s="1229"/>
      <c r="Q91" s="1230"/>
      <c r="R91" s="1231"/>
      <c r="S91" s="1230"/>
      <c r="T91" s="1231"/>
      <c r="U91" s="1212" t="str">
        <f t="shared" si="21"/>
        <v/>
      </c>
      <c r="V91" s="1213"/>
      <c r="W91" s="1213"/>
      <c r="X91" s="1213"/>
      <c r="Y91" s="1213"/>
      <c r="Z91" s="1213"/>
      <c r="AA91" s="467" t="str">
        <f t="shared" si="14"/>
        <v/>
      </c>
      <c r="AB91" s="467" t="str">
        <f t="shared" si="15"/>
        <v/>
      </c>
      <c r="AC91" s="467" t="str">
        <f t="shared" si="16"/>
        <v/>
      </c>
      <c r="AD91" s="467" t="str">
        <f t="shared" si="17"/>
        <v/>
      </c>
      <c r="AE91" s="468" t="str">
        <f t="shared" si="19"/>
        <v>○</v>
      </c>
      <c r="AF91" s="468" t="str">
        <f t="shared" si="20"/>
        <v/>
      </c>
      <c r="AG91" s="468" t="str">
        <f t="shared" si="22"/>
        <v/>
      </c>
      <c r="AH91" s="468" t="str">
        <f t="shared" si="23"/>
        <v/>
      </c>
      <c r="AI91" s="468" t="str">
        <f t="shared" si="24"/>
        <v/>
      </c>
      <c r="AJ91" s="468" t="str">
        <f t="shared" si="25"/>
        <v/>
      </c>
      <c r="AK91" s="468" t="str">
        <f t="shared" si="26"/>
        <v/>
      </c>
      <c r="AL91" s="468" t="str">
        <f t="shared" si="27"/>
        <v/>
      </c>
      <c r="AM91" s="468" t="str">
        <f t="shared" si="28"/>
        <v/>
      </c>
      <c r="AZ91" s="462"/>
      <c r="BA91" s="462"/>
    </row>
    <row r="92" spans="1:53" ht="13.5" hidden="1" customHeight="1">
      <c r="A92" s="1232">
        <v>82</v>
      </c>
      <c r="B92" s="1233"/>
      <c r="C92" s="1230"/>
      <c r="D92" s="1234"/>
      <c r="E92" s="1231"/>
      <c r="F92" s="1230"/>
      <c r="G92" s="1234"/>
      <c r="H92" s="1231"/>
      <c r="I92" s="1230"/>
      <c r="J92" s="1231"/>
      <c r="K92" s="1230"/>
      <c r="L92" s="1231"/>
      <c r="M92" s="1230"/>
      <c r="N92" s="1231"/>
      <c r="O92" s="1228"/>
      <c r="P92" s="1229"/>
      <c r="Q92" s="1230"/>
      <c r="R92" s="1231"/>
      <c r="S92" s="1230"/>
      <c r="T92" s="1231"/>
      <c r="U92" s="1212" t="str">
        <f t="shared" si="21"/>
        <v/>
      </c>
      <c r="V92" s="1213"/>
      <c r="W92" s="1213"/>
      <c r="X92" s="1213"/>
      <c r="Y92" s="1213"/>
      <c r="Z92" s="1213"/>
      <c r="AA92" s="467" t="str">
        <f t="shared" si="14"/>
        <v/>
      </c>
      <c r="AB92" s="467" t="str">
        <f t="shared" si="15"/>
        <v/>
      </c>
      <c r="AC92" s="467" t="str">
        <f t="shared" si="16"/>
        <v/>
      </c>
      <c r="AD92" s="467" t="str">
        <f t="shared" si="17"/>
        <v/>
      </c>
      <c r="AE92" s="468" t="str">
        <f t="shared" si="19"/>
        <v>○</v>
      </c>
      <c r="AF92" s="468" t="str">
        <f t="shared" si="20"/>
        <v/>
      </c>
      <c r="AG92" s="468" t="str">
        <f t="shared" si="22"/>
        <v/>
      </c>
      <c r="AH92" s="468" t="str">
        <f t="shared" si="23"/>
        <v/>
      </c>
      <c r="AI92" s="468" t="str">
        <f t="shared" si="24"/>
        <v/>
      </c>
      <c r="AJ92" s="468" t="str">
        <f t="shared" si="25"/>
        <v/>
      </c>
      <c r="AK92" s="468" t="str">
        <f t="shared" si="26"/>
        <v/>
      </c>
      <c r="AL92" s="468" t="str">
        <f t="shared" si="27"/>
        <v/>
      </c>
      <c r="AM92" s="468" t="str">
        <f t="shared" si="28"/>
        <v/>
      </c>
      <c r="AZ92" s="462"/>
      <c r="BA92" s="462"/>
    </row>
    <row r="93" spans="1:53" ht="13.5" hidden="1" customHeight="1">
      <c r="A93" s="1232">
        <v>83</v>
      </c>
      <c r="B93" s="1233"/>
      <c r="C93" s="1230"/>
      <c r="D93" s="1234"/>
      <c r="E93" s="1231"/>
      <c r="F93" s="1230"/>
      <c r="G93" s="1234"/>
      <c r="H93" s="1231"/>
      <c r="I93" s="1230"/>
      <c r="J93" s="1231"/>
      <c r="K93" s="1230"/>
      <c r="L93" s="1231"/>
      <c r="M93" s="1230"/>
      <c r="N93" s="1231"/>
      <c r="O93" s="1228"/>
      <c r="P93" s="1229"/>
      <c r="Q93" s="1230"/>
      <c r="R93" s="1231"/>
      <c r="S93" s="1230"/>
      <c r="T93" s="1231"/>
      <c r="U93" s="1212" t="str">
        <f t="shared" si="21"/>
        <v/>
      </c>
      <c r="V93" s="1213"/>
      <c r="W93" s="1213"/>
      <c r="X93" s="1213"/>
      <c r="Y93" s="1213"/>
      <c r="Z93" s="1213"/>
      <c r="AA93" s="467" t="str">
        <f t="shared" si="14"/>
        <v/>
      </c>
      <c r="AB93" s="467" t="str">
        <f t="shared" si="15"/>
        <v/>
      </c>
      <c r="AC93" s="467" t="str">
        <f t="shared" si="16"/>
        <v/>
      </c>
      <c r="AD93" s="467" t="str">
        <f t="shared" si="17"/>
        <v/>
      </c>
      <c r="AE93" s="468" t="str">
        <f t="shared" si="19"/>
        <v>○</v>
      </c>
      <c r="AF93" s="468" t="str">
        <f t="shared" si="20"/>
        <v/>
      </c>
      <c r="AG93" s="468" t="str">
        <f t="shared" si="22"/>
        <v/>
      </c>
      <c r="AH93" s="468" t="str">
        <f t="shared" si="23"/>
        <v/>
      </c>
      <c r="AI93" s="468" t="str">
        <f t="shared" si="24"/>
        <v/>
      </c>
      <c r="AJ93" s="468" t="str">
        <f t="shared" si="25"/>
        <v/>
      </c>
      <c r="AK93" s="468" t="str">
        <f t="shared" si="26"/>
        <v/>
      </c>
      <c r="AL93" s="468" t="str">
        <f t="shared" si="27"/>
        <v/>
      </c>
      <c r="AM93" s="468" t="str">
        <f t="shared" si="28"/>
        <v/>
      </c>
      <c r="AZ93" s="462"/>
      <c r="BA93" s="462"/>
    </row>
    <row r="94" spans="1:53" ht="13.5" hidden="1" customHeight="1">
      <c r="A94" s="1232">
        <v>84</v>
      </c>
      <c r="B94" s="1233"/>
      <c r="C94" s="1230"/>
      <c r="D94" s="1234"/>
      <c r="E94" s="1231"/>
      <c r="F94" s="1230"/>
      <c r="G94" s="1234"/>
      <c r="H94" s="1231"/>
      <c r="I94" s="1230"/>
      <c r="J94" s="1231"/>
      <c r="K94" s="1230"/>
      <c r="L94" s="1231"/>
      <c r="M94" s="1230"/>
      <c r="N94" s="1231"/>
      <c r="O94" s="1228"/>
      <c r="P94" s="1229"/>
      <c r="Q94" s="1230"/>
      <c r="R94" s="1231"/>
      <c r="S94" s="1230"/>
      <c r="T94" s="1231"/>
      <c r="U94" s="1212" t="str">
        <f t="shared" si="21"/>
        <v/>
      </c>
      <c r="V94" s="1213"/>
      <c r="W94" s="1213"/>
      <c r="X94" s="1213"/>
      <c r="Y94" s="1213"/>
      <c r="Z94" s="1213"/>
      <c r="AA94" s="467" t="str">
        <f t="shared" si="14"/>
        <v/>
      </c>
      <c r="AB94" s="467" t="str">
        <f t="shared" si="15"/>
        <v/>
      </c>
      <c r="AC94" s="467" t="str">
        <f t="shared" si="16"/>
        <v/>
      </c>
      <c r="AD94" s="467" t="str">
        <f t="shared" si="17"/>
        <v/>
      </c>
      <c r="AE94" s="468" t="str">
        <f t="shared" si="19"/>
        <v>○</v>
      </c>
      <c r="AF94" s="468" t="str">
        <f t="shared" si="20"/>
        <v/>
      </c>
      <c r="AG94" s="468" t="str">
        <f t="shared" si="22"/>
        <v/>
      </c>
      <c r="AH94" s="468" t="str">
        <f t="shared" si="23"/>
        <v/>
      </c>
      <c r="AI94" s="468" t="str">
        <f t="shared" si="24"/>
        <v/>
      </c>
      <c r="AJ94" s="468" t="str">
        <f t="shared" si="25"/>
        <v/>
      </c>
      <c r="AK94" s="468" t="str">
        <f t="shared" si="26"/>
        <v/>
      </c>
      <c r="AL94" s="468" t="str">
        <f t="shared" si="27"/>
        <v/>
      </c>
      <c r="AM94" s="468" t="str">
        <f t="shared" si="28"/>
        <v/>
      </c>
      <c r="AZ94" s="462"/>
      <c r="BA94" s="462"/>
    </row>
    <row r="95" spans="1:53" ht="13.5" hidden="1" customHeight="1">
      <c r="A95" s="1232">
        <v>85</v>
      </c>
      <c r="B95" s="1233"/>
      <c r="C95" s="1230"/>
      <c r="D95" s="1234"/>
      <c r="E95" s="1231"/>
      <c r="F95" s="1230"/>
      <c r="G95" s="1234"/>
      <c r="H95" s="1231"/>
      <c r="I95" s="1230"/>
      <c r="J95" s="1231"/>
      <c r="K95" s="1230"/>
      <c r="L95" s="1231"/>
      <c r="M95" s="1230"/>
      <c r="N95" s="1231"/>
      <c r="O95" s="1228"/>
      <c r="P95" s="1229"/>
      <c r="Q95" s="1230"/>
      <c r="R95" s="1231"/>
      <c r="S95" s="1230"/>
      <c r="T95" s="1231"/>
      <c r="U95" s="1212" t="str">
        <f t="shared" si="21"/>
        <v/>
      </c>
      <c r="V95" s="1213"/>
      <c r="W95" s="1213"/>
      <c r="X95" s="1213"/>
      <c r="Y95" s="1213"/>
      <c r="Z95" s="1213"/>
      <c r="AA95" s="467" t="str">
        <f t="shared" ref="AA95:AA130" si="29">IF(AND(K95="○",S95=""),"A","")</f>
        <v/>
      </c>
      <c r="AB95" s="467" t="str">
        <f t="shared" ref="AB95:AB130" si="30">IF(AND(K95="○",S95="○"),"B","")</f>
        <v/>
      </c>
      <c r="AC95" s="467" t="str">
        <f t="shared" ref="AC95:AC130" si="31">IF(AND(K95="",M95="○",S95=""),"C","")</f>
        <v/>
      </c>
      <c r="AD95" s="467" t="str">
        <f t="shared" ref="AD95:AD130" si="32">IF(AND(K95="",M95="○",S95="○"),"D","")</f>
        <v/>
      </c>
      <c r="AE95" s="468" t="str">
        <f t="shared" si="19"/>
        <v>○</v>
      </c>
      <c r="AF95" s="468" t="str">
        <f t="shared" si="20"/>
        <v/>
      </c>
      <c r="AG95" s="468" t="str">
        <f t="shared" si="22"/>
        <v/>
      </c>
      <c r="AH95" s="468" t="str">
        <f t="shared" si="23"/>
        <v/>
      </c>
      <c r="AI95" s="468" t="str">
        <f t="shared" si="24"/>
        <v/>
      </c>
      <c r="AJ95" s="468" t="str">
        <f t="shared" si="25"/>
        <v/>
      </c>
      <c r="AK95" s="468" t="str">
        <f t="shared" si="26"/>
        <v/>
      </c>
      <c r="AL95" s="468" t="str">
        <f t="shared" si="27"/>
        <v/>
      </c>
      <c r="AM95" s="468" t="str">
        <f t="shared" si="28"/>
        <v/>
      </c>
      <c r="AZ95" s="462"/>
      <c r="BA95" s="462"/>
    </row>
    <row r="96" spans="1:53" ht="13.5" hidden="1" customHeight="1">
      <c r="A96" s="1232">
        <v>86</v>
      </c>
      <c r="B96" s="1233"/>
      <c r="C96" s="1230"/>
      <c r="D96" s="1234"/>
      <c r="E96" s="1231"/>
      <c r="F96" s="1230"/>
      <c r="G96" s="1234"/>
      <c r="H96" s="1231"/>
      <c r="I96" s="1230"/>
      <c r="J96" s="1231"/>
      <c r="K96" s="1230"/>
      <c r="L96" s="1231"/>
      <c r="M96" s="1230"/>
      <c r="N96" s="1231"/>
      <c r="O96" s="1228"/>
      <c r="P96" s="1229"/>
      <c r="Q96" s="1230"/>
      <c r="R96" s="1231"/>
      <c r="S96" s="1230"/>
      <c r="T96" s="1231"/>
      <c r="U96" s="1212" t="str">
        <f t="shared" si="21"/>
        <v/>
      </c>
      <c r="V96" s="1213"/>
      <c r="W96" s="1213"/>
      <c r="X96" s="1213"/>
      <c r="Y96" s="1213"/>
      <c r="Z96" s="1213"/>
      <c r="AA96" s="467" t="str">
        <f t="shared" si="29"/>
        <v/>
      </c>
      <c r="AB96" s="467" t="str">
        <f t="shared" si="30"/>
        <v/>
      </c>
      <c r="AC96" s="467" t="str">
        <f t="shared" si="31"/>
        <v/>
      </c>
      <c r="AD96" s="467" t="str">
        <f t="shared" si="32"/>
        <v/>
      </c>
      <c r="AE96" s="468" t="str">
        <f t="shared" si="19"/>
        <v>○</v>
      </c>
      <c r="AF96" s="468" t="str">
        <f t="shared" si="20"/>
        <v/>
      </c>
      <c r="AG96" s="468" t="str">
        <f t="shared" si="22"/>
        <v/>
      </c>
      <c r="AH96" s="468" t="str">
        <f t="shared" si="23"/>
        <v/>
      </c>
      <c r="AI96" s="468" t="str">
        <f t="shared" si="24"/>
        <v/>
      </c>
      <c r="AJ96" s="468" t="str">
        <f t="shared" si="25"/>
        <v/>
      </c>
      <c r="AK96" s="468" t="str">
        <f t="shared" si="26"/>
        <v/>
      </c>
      <c r="AL96" s="468" t="str">
        <f t="shared" si="27"/>
        <v/>
      </c>
      <c r="AM96" s="468" t="str">
        <f t="shared" si="28"/>
        <v/>
      </c>
      <c r="AZ96" s="462"/>
      <c r="BA96" s="462"/>
    </row>
    <row r="97" spans="1:53" ht="13.5" hidden="1" customHeight="1">
      <c r="A97" s="1232">
        <v>87</v>
      </c>
      <c r="B97" s="1233"/>
      <c r="C97" s="1230"/>
      <c r="D97" s="1234"/>
      <c r="E97" s="1231"/>
      <c r="F97" s="1230"/>
      <c r="G97" s="1234"/>
      <c r="H97" s="1231"/>
      <c r="I97" s="1230"/>
      <c r="J97" s="1231"/>
      <c r="K97" s="1230"/>
      <c r="L97" s="1231"/>
      <c r="M97" s="1230"/>
      <c r="N97" s="1231"/>
      <c r="O97" s="1228"/>
      <c r="P97" s="1229"/>
      <c r="Q97" s="1230"/>
      <c r="R97" s="1231"/>
      <c r="S97" s="1230"/>
      <c r="T97" s="1231"/>
      <c r="U97" s="1212" t="str">
        <f t="shared" si="21"/>
        <v/>
      </c>
      <c r="V97" s="1213"/>
      <c r="W97" s="1213"/>
      <c r="X97" s="1213"/>
      <c r="Y97" s="1213"/>
      <c r="Z97" s="1213"/>
      <c r="AA97" s="467" t="str">
        <f t="shared" si="29"/>
        <v/>
      </c>
      <c r="AB97" s="467" t="str">
        <f t="shared" si="30"/>
        <v/>
      </c>
      <c r="AC97" s="467" t="str">
        <f t="shared" si="31"/>
        <v/>
      </c>
      <c r="AD97" s="467" t="str">
        <f t="shared" si="32"/>
        <v/>
      </c>
      <c r="AE97" s="468" t="str">
        <f t="shared" si="19"/>
        <v>○</v>
      </c>
      <c r="AF97" s="468" t="str">
        <f t="shared" si="20"/>
        <v/>
      </c>
      <c r="AG97" s="468" t="str">
        <f t="shared" si="22"/>
        <v/>
      </c>
      <c r="AH97" s="468" t="str">
        <f t="shared" si="23"/>
        <v/>
      </c>
      <c r="AI97" s="468" t="str">
        <f t="shared" si="24"/>
        <v/>
      </c>
      <c r="AJ97" s="468" t="str">
        <f t="shared" si="25"/>
        <v/>
      </c>
      <c r="AK97" s="468" t="str">
        <f t="shared" si="26"/>
        <v/>
      </c>
      <c r="AL97" s="468" t="str">
        <f t="shared" si="27"/>
        <v/>
      </c>
      <c r="AM97" s="468" t="str">
        <f t="shared" si="28"/>
        <v/>
      </c>
      <c r="AZ97" s="462"/>
      <c r="BA97" s="462"/>
    </row>
    <row r="98" spans="1:53" ht="13.5" hidden="1" customHeight="1">
      <c r="A98" s="1232">
        <v>88</v>
      </c>
      <c r="B98" s="1233"/>
      <c r="C98" s="1230"/>
      <c r="D98" s="1234"/>
      <c r="E98" s="1231"/>
      <c r="F98" s="1230"/>
      <c r="G98" s="1234"/>
      <c r="H98" s="1231"/>
      <c r="I98" s="1230"/>
      <c r="J98" s="1231"/>
      <c r="K98" s="1230"/>
      <c r="L98" s="1231"/>
      <c r="M98" s="1230"/>
      <c r="N98" s="1231"/>
      <c r="O98" s="1228"/>
      <c r="P98" s="1229"/>
      <c r="Q98" s="1230"/>
      <c r="R98" s="1231"/>
      <c r="S98" s="1230"/>
      <c r="T98" s="1231"/>
      <c r="U98" s="1212" t="str">
        <f t="shared" si="21"/>
        <v/>
      </c>
      <c r="V98" s="1213"/>
      <c r="W98" s="1213"/>
      <c r="X98" s="1213"/>
      <c r="Y98" s="1213"/>
      <c r="Z98" s="1213"/>
      <c r="AA98" s="467" t="str">
        <f t="shared" si="29"/>
        <v/>
      </c>
      <c r="AB98" s="467" t="str">
        <f t="shared" si="30"/>
        <v/>
      </c>
      <c r="AC98" s="467" t="str">
        <f t="shared" si="31"/>
        <v/>
      </c>
      <c r="AD98" s="467" t="str">
        <f t="shared" si="32"/>
        <v/>
      </c>
      <c r="AE98" s="468" t="str">
        <f t="shared" si="19"/>
        <v>○</v>
      </c>
      <c r="AF98" s="468" t="str">
        <f t="shared" si="20"/>
        <v/>
      </c>
      <c r="AG98" s="468" t="str">
        <f t="shared" si="22"/>
        <v/>
      </c>
      <c r="AH98" s="468" t="str">
        <f t="shared" si="23"/>
        <v/>
      </c>
      <c r="AI98" s="468" t="str">
        <f t="shared" si="24"/>
        <v/>
      </c>
      <c r="AJ98" s="468" t="str">
        <f t="shared" si="25"/>
        <v/>
      </c>
      <c r="AK98" s="468" t="str">
        <f t="shared" si="26"/>
        <v/>
      </c>
      <c r="AL98" s="468" t="str">
        <f t="shared" si="27"/>
        <v/>
      </c>
      <c r="AM98" s="468" t="str">
        <f t="shared" si="28"/>
        <v/>
      </c>
      <c r="AZ98" s="462"/>
      <c r="BA98" s="462"/>
    </row>
    <row r="99" spans="1:53" ht="13.5" hidden="1" customHeight="1">
      <c r="A99" s="1232">
        <v>89</v>
      </c>
      <c r="B99" s="1233"/>
      <c r="C99" s="1230"/>
      <c r="D99" s="1234"/>
      <c r="E99" s="1231"/>
      <c r="F99" s="1230"/>
      <c r="G99" s="1234"/>
      <c r="H99" s="1231"/>
      <c r="I99" s="1230"/>
      <c r="J99" s="1231"/>
      <c r="K99" s="1230"/>
      <c r="L99" s="1231"/>
      <c r="M99" s="1230"/>
      <c r="N99" s="1231"/>
      <c r="O99" s="1228"/>
      <c r="P99" s="1229"/>
      <c r="Q99" s="1230"/>
      <c r="R99" s="1231"/>
      <c r="S99" s="1230"/>
      <c r="T99" s="1231"/>
      <c r="U99" s="1212" t="str">
        <f t="shared" si="21"/>
        <v/>
      </c>
      <c r="V99" s="1213"/>
      <c r="W99" s="1213"/>
      <c r="X99" s="1213"/>
      <c r="Y99" s="1213"/>
      <c r="Z99" s="1213"/>
      <c r="AA99" s="467" t="str">
        <f t="shared" si="29"/>
        <v/>
      </c>
      <c r="AB99" s="467" t="str">
        <f t="shared" si="30"/>
        <v/>
      </c>
      <c r="AC99" s="467" t="str">
        <f t="shared" si="31"/>
        <v/>
      </c>
      <c r="AD99" s="467" t="str">
        <f t="shared" si="32"/>
        <v/>
      </c>
      <c r="AE99" s="468" t="str">
        <f t="shared" si="19"/>
        <v>○</v>
      </c>
      <c r="AF99" s="468" t="str">
        <f t="shared" si="20"/>
        <v/>
      </c>
      <c r="AG99" s="468" t="str">
        <f t="shared" si="22"/>
        <v/>
      </c>
      <c r="AH99" s="468" t="str">
        <f t="shared" si="23"/>
        <v/>
      </c>
      <c r="AI99" s="468" t="str">
        <f t="shared" si="24"/>
        <v/>
      </c>
      <c r="AJ99" s="468" t="str">
        <f t="shared" si="25"/>
        <v/>
      </c>
      <c r="AK99" s="468" t="str">
        <f t="shared" si="26"/>
        <v/>
      </c>
      <c r="AL99" s="468" t="str">
        <f t="shared" si="27"/>
        <v/>
      </c>
      <c r="AM99" s="468" t="str">
        <f t="shared" si="28"/>
        <v/>
      </c>
      <c r="AZ99" s="462"/>
      <c r="BA99" s="462"/>
    </row>
    <row r="100" spans="1:53" ht="13.5" hidden="1" customHeight="1">
      <c r="A100" s="1232">
        <v>90</v>
      </c>
      <c r="B100" s="1233"/>
      <c r="C100" s="1230"/>
      <c r="D100" s="1234"/>
      <c r="E100" s="1231"/>
      <c r="F100" s="1230"/>
      <c r="G100" s="1234"/>
      <c r="H100" s="1231"/>
      <c r="I100" s="1230"/>
      <c r="J100" s="1231"/>
      <c r="K100" s="1230"/>
      <c r="L100" s="1231"/>
      <c r="M100" s="1230"/>
      <c r="N100" s="1231"/>
      <c r="O100" s="1228"/>
      <c r="P100" s="1229"/>
      <c r="Q100" s="1230"/>
      <c r="R100" s="1231"/>
      <c r="S100" s="1230"/>
      <c r="T100" s="1231"/>
      <c r="U100" s="1212" t="str">
        <f t="shared" si="21"/>
        <v/>
      </c>
      <c r="V100" s="1213"/>
      <c r="W100" s="1213"/>
      <c r="X100" s="1213"/>
      <c r="Y100" s="1213"/>
      <c r="Z100" s="1213"/>
      <c r="AA100" s="467" t="str">
        <f t="shared" si="29"/>
        <v/>
      </c>
      <c r="AB100" s="467" t="str">
        <f t="shared" si="30"/>
        <v/>
      </c>
      <c r="AC100" s="467" t="str">
        <f t="shared" si="31"/>
        <v/>
      </c>
      <c r="AD100" s="467" t="str">
        <f t="shared" si="32"/>
        <v/>
      </c>
      <c r="AE100" s="468" t="str">
        <f t="shared" si="19"/>
        <v>○</v>
      </c>
      <c r="AF100" s="468" t="str">
        <f t="shared" si="20"/>
        <v/>
      </c>
      <c r="AG100" s="468" t="str">
        <f t="shared" si="22"/>
        <v/>
      </c>
      <c r="AH100" s="468" t="str">
        <f t="shared" si="23"/>
        <v/>
      </c>
      <c r="AI100" s="468" t="str">
        <f t="shared" si="24"/>
        <v/>
      </c>
      <c r="AJ100" s="468" t="str">
        <f t="shared" si="25"/>
        <v/>
      </c>
      <c r="AK100" s="468" t="str">
        <f t="shared" si="26"/>
        <v/>
      </c>
      <c r="AL100" s="468" t="str">
        <f t="shared" si="27"/>
        <v/>
      </c>
      <c r="AM100" s="468" t="str">
        <f t="shared" si="28"/>
        <v/>
      </c>
      <c r="AZ100" s="462"/>
      <c r="BA100" s="462"/>
    </row>
    <row r="101" spans="1:53" ht="13.5" hidden="1" customHeight="1">
      <c r="A101" s="1232">
        <v>91</v>
      </c>
      <c r="B101" s="1233"/>
      <c r="C101" s="1230"/>
      <c r="D101" s="1234"/>
      <c r="E101" s="1231"/>
      <c r="F101" s="1230"/>
      <c r="G101" s="1234"/>
      <c r="H101" s="1231"/>
      <c r="I101" s="1230"/>
      <c r="J101" s="1231"/>
      <c r="K101" s="1230"/>
      <c r="L101" s="1231"/>
      <c r="M101" s="1230"/>
      <c r="N101" s="1231"/>
      <c r="O101" s="1228"/>
      <c r="P101" s="1229"/>
      <c r="Q101" s="1230"/>
      <c r="R101" s="1231"/>
      <c r="S101" s="1230"/>
      <c r="T101" s="1231"/>
      <c r="U101" s="1212" t="str">
        <f t="shared" si="21"/>
        <v/>
      </c>
      <c r="V101" s="1213"/>
      <c r="W101" s="1213"/>
      <c r="X101" s="1213"/>
      <c r="Y101" s="1213"/>
      <c r="Z101" s="1213"/>
      <c r="AA101" s="467" t="str">
        <f t="shared" si="29"/>
        <v/>
      </c>
      <c r="AB101" s="467" t="str">
        <f t="shared" si="30"/>
        <v/>
      </c>
      <c r="AC101" s="467" t="str">
        <f t="shared" si="31"/>
        <v/>
      </c>
      <c r="AD101" s="467" t="str">
        <f t="shared" si="32"/>
        <v/>
      </c>
      <c r="AE101" s="468" t="str">
        <f t="shared" si="19"/>
        <v>○</v>
      </c>
      <c r="AF101" s="468" t="str">
        <f t="shared" si="20"/>
        <v/>
      </c>
      <c r="AG101" s="468" t="str">
        <f t="shared" si="22"/>
        <v/>
      </c>
      <c r="AH101" s="468" t="str">
        <f t="shared" si="23"/>
        <v/>
      </c>
      <c r="AI101" s="468" t="str">
        <f t="shared" si="24"/>
        <v/>
      </c>
      <c r="AJ101" s="468" t="str">
        <f t="shared" si="25"/>
        <v/>
      </c>
      <c r="AK101" s="468" t="str">
        <f t="shared" si="26"/>
        <v/>
      </c>
      <c r="AL101" s="468" t="str">
        <f t="shared" si="27"/>
        <v/>
      </c>
      <c r="AM101" s="468" t="str">
        <f t="shared" si="28"/>
        <v/>
      </c>
      <c r="AZ101" s="462"/>
      <c r="BA101" s="462"/>
    </row>
    <row r="102" spans="1:53" ht="13.5" hidden="1" customHeight="1">
      <c r="A102" s="1232">
        <v>92</v>
      </c>
      <c r="B102" s="1233"/>
      <c r="C102" s="1230"/>
      <c r="D102" s="1234"/>
      <c r="E102" s="1231"/>
      <c r="F102" s="1230"/>
      <c r="G102" s="1234"/>
      <c r="H102" s="1231"/>
      <c r="I102" s="1230"/>
      <c r="J102" s="1231"/>
      <c r="K102" s="1230"/>
      <c r="L102" s="1231"/>
      <c r="M102" s="1230"/>
      <c r="N102" s="1231"/>
      <c r="O102" s="1228"/>
      <c r="P102" s="1229"/>
      <c r="Q102" s="1230"/>
      <c r="R102" s="1231"/>
      <c r="S102" s="1230"/>
      <c r="T102" s="1231"/>
      <c r="U102" s="1212" t="str">
        <f t="shared" si="21"/>
        <v/>
      </c>
      <c r="V102" s="1213"/>
      <c r="W102" s="1213"/>
      <c r="X102" s="1213"/>
      <c r="Y102" s="1213"/>
      <c r="Z102" s="1213"/>
      <c r="AA102" s="467" t="str">
        <f t="shared" si="29"/>
        <v/>
      </c>
      <c r="AB102" s="467" t="str">
        <f t="shared" si="30"/>
        <v/>
      </c>
      <c r="AC102" s="467" t="str">
        <f t="shared" si="31"/>
        <v/>
      </c>
      <c r="AD102" s="467" t="str">
        <f t="shared" si="32"/>
        <v/>
      </c>
      <c r="AE102" s="468" t="str">
        <f t="shared" si="19"/>
        <v>○</v>
      </c>
      <c r="AF102" s="468" t="str">
        <f t="shared" si="20"/>
        <v/>
      </c>
      <c r="AG102" s="468" t="str">
        <f t="shared" si="22"/>
        <v/>
      </c>
      <c r="AH102" s="468" t="str">
        <f t="shared" si="23"/>
        <v/>
      </c>
      <c r="AI102" s="468" t="str">
        <f t="shared" si="24"/>
        <v/>
      </c>
      <c r="AJ102" s="468" t="str">
        <f t="shared" si="25"/>
        <v/>
      </c>
      <c r="AK102" s="468" t="str">
        <f t="shared" si="26"/>
        <v/>
      </c>
      <c r="AL102" s="468" t="str">
        <f t="shared" si="27"/>
        <v/>
      </c>
      <c r="AM102" s="468" t="str">
        <f t="shared" si="28"/>
        <v/>
      </c>
      <c r="AZ102" s="462"/>
      <c r="BA102" s="462"/>
    </row>
    <row r="103" spans="1:53" ht="13.5" hidden="1" customHeight="1">
      <c r="A103" s="1232">
        <v>93</v>
      </c>
      <c r="B103" s="1233"/>
      <c r="C103" s="1230"/>
      <c r="D103" s="1234"/>
      <c r="E103" s="1231"/>
      <c r="F103" s="1230"/>
      <c r="G103" s="1234"/>
      <c r="H103" s="1231"/>
      <c r="I103" s="1230"/>
      <c r="J103" s="1231"/>
      <c r="K103" s="1230"/>
      <c r="L103" s="1231"/>
      <c r="M103" s="1230"/>
      <c r="N103" s="1231"/>
      <c r="O103" s="1228"/>
      <c r="P103" s="1229"/>
      <c r="Q103" s="1230"/>
      <c r="R103" s="1231"/>
      <c r="S103" s="1230"/>
      <c r="T103" s="1231"/>
      <c r="U103" s="1212" t="str">
        <f t="shared" si="21"/>
        <v/>
      </c>
      <c r="V103" s="1213"/>
      <c r="W103" s="1213"/>
      <c r="X103" s="1213"/>
      <c r="Y103" s="1213"/>
      <c r="Z103" s="1213"/>
      <c r="AA103" s="467" t="str">
        <f t="shared" si="29"/>
        <v/>
      </c>
      <c r="AB103" s="467" t="str">
        <f t="shared" si="30"/>
        <v/>
      </c>
      <c r="AC103" s="467" t="str">
        <f t="shared" si="31"/>
        <v/>
      </c>
      <c r="AD103" s="467" t="str">
        <f t="shared" si="32"/>
        <v/>
      </c>
      <c r="AE103" s="468" t="str">
        <f t="shared" si="19"/>
        <v>○</v>
      </c>
      <c r="AF103" s="468" t="str">
        <f t="shared" si="20"/>
        <v/>
      </c>
      <c r="AG103" s="468" t="str">
        <f t="shared" si="22"/>
        <v/>
      </c>
      <c r="AH103" s="468" t="str">
        <f t="shared" si="23"/>
        <v/>
      </c>
      <c r="AI103" s="468" t="str">
        <f t="shared" si="24"/>
        <v/>
      </c>
      <c r="AJ103" s="468" t="str">
        <f t="shared" si="25"/>
        <v/>
      </c>
      <c r="AK103" s="468" t="str">
        <f t="shared" si="26"/>
        <v/>
      </c>
      <c r="AL103" s="468" t="str">
        <f t="shared" si="27"/>
        <v/>
      </c>
      <c r="AM103" s="468" t="str">
        <f t="shared" si="28"/>
        <v/>
      </c>
      <c r="AZ103" s="462"/>
      <c r="BA103" s="462"/>
    </row>
    <row r="104" spans="1:53" ht="13.5" hidden="1" customHeight="1">
      <c r="A104" s="1232">
        <v>94</v>
      </c>
      <c r="B104" s="1233"/>
      <c r="C104" s="1230"/>
      <c r="D104" s="1234"/>
      <c r="E104" s="1231"/>
      <c r="F104" s="1230"/>
      <c r="G104" s="1234"/>
      <c r="H104" s="1231"/>
      <c r="I104" s="1230"/>
      <c r="J104" s="1231"/>
      <c r="K104" s="1230"/>
      <c r="L104" s="1231"/>
      <c r="M104" s="1230"/>
      <c r="N104" s="1231"/>
      <c r="O104" s="1228"/>
      <c r="P104" s="1229"/>
      <c r="Q104" s="1230"/>
      <c r="R104" s="1231"/>
      <c r="S104" s="1230"/>
      <c r="T104" s="1231"/>
      <c r="U104" s="1212" t="str">
        <f t="shared" si="21"/>
        <v/>
      </c>
      <c r="V104" s="1213"/>
      <c r="W104" s="1213"/>
      <c r="X104" s="1213"/>
      <c r="Y104" s="1213"/>
      <c r="Z104" s="1213"/>
      <c r="AA104" s="467" t="str">
        <f t="shared" si="29"/>
        <v/>
      </c>
      <c r="AB104" s="467" t="str">
        <f t="shared" si="30"/>
        <v/>
      </c>
      <c r="AC104" s="467" t="str">
        <f t="shared" si="31"/>
        <v/>
      </c>
      <c r="AD104" s="467" t="str">
        <f t="shared" si="32"/>
        <v/>
      </c>
      <c r="AE104" s="468" t="str">
        <f t="shared" si="19"/>
        <v>○</v>
      </c>
      <c r="AF104" s="468" t="str">
        <f t="shared" si="20"/>
        <v/>
      </c>
      <c r="AG104" s="468" t="str">
        <f t="shared" si="22"/>
        <v/>
      </c>
      <c r="AH104" s="468" t="str">
        <f t="shared" si="23"/>
        <v/>
      </c>
      <c r="AI104" s="468" t="str">
        <f t="shared" si="24"/>
        <v/>
      </c>
      <c r="AJ104" s="468" t="str">
        <f t="shared" si="25"/>
        <v/>
      </c>
      <c r="AK104" s="468" t="str">
        <f t="shared" si="26"/>
        <v/>
      </c>
      <c r="AL104" s="468" t="str">
        <f t="shared" si="27"/>
        <v/>
      </c>
      <c r="AM104" s="468" t="str">
        <f t="shared" si="28"/>
        <v/>
      </c>
      <c r="AZ104" s="462"/>
      <c r="BA104" s="462"/>
    </row>
    <row r="105" spans="1:53" ht="13.5" hidden="1" customHeight="1">
      <c r="A105" s="1232">
        <v>95</v>
      </c>
      <c r="B105" s="1233"/>
      <c r="C105" s="1230"/>
      <c r="D105" s="1234"/>
      <c r="E105" s="1231"/>
      <c r="F105" s="1230"/>
      <c r="G105" s="1234"/>
      <c r="H105" s="1231"/>
      <c r="I105" s="1230"/>
      <c r="J105" s="1231"/>
      <c r="K105" s="1230"/>
      <c r="L105" s="1231"/>
      <c r="M105" s="1230"/>
      <c r="N105" s="1231"/>
      <c r="O105" s="1228"/>
      <c r="P105" s="1229"/>
      <c r="Q105" s="1230"/>
      <c r="R105" s="1231"/>
      <c r="S105" s="1230"/>
      <c r="T105" s="1231"/>
      <c r="U105" s="1212" t="str">
        <f t="shared" si="21"/>
        <v/>
      </c>
      <c r="V105" s="1213"/>
      <c r="W105" s="1213"/>
      <c r="X105" s="1213"/>
      <c r="Y105" s="1213"/>
      <c r="Z105" s="1213"/>
      <c r="AA105" s="467" t="str">
        <f t="shared" si="29"/>
        <v/>
      </c>
      <c r="AB105" s="467" t="str">
        <f t="shared" si="30"/>
        <v/>
      </c>
      <c r="AC105" s="467" t="str">
        <f t="shared" si="31"/>
        <v/>
      </c>
      <c r="AD105" s="467" t="str">
        <f t="shared" si="32"/>
        <v/>
      </c>
      <c r="AE105" s="468" t="str">
        <f t="shared" si="19"/>
        <v>○</v>
      </c>
      <c r="AF105" s="468" t="str">
        <f t="shared" si="20"/>
        <v/>
      </c>
      <c r="AG105" s="468" t="str">
        <f t="shared" si="22"/>
        <v/>
      </c>
      <c r="AH105" s="468" t="str">
        <f t="shared" si="23"/>
        <v/>
      </c>
      <c r="AI105" s="468" t="str">
        <f t="shared" si="24"/>
        <v/>
      </c>
      <c r="AJ105" s="468" t="str">
        <f t="shared" si="25"/>
        <v/>
      </c>
      <c r="AK105" s="468" t="str">
        <f t="shared" si="26"/>
        <v/>
      </c>
      <c r="AL105" s="468" t="str">
        <f t="shared" si="27"/>
        <v/>
      </c>
      <c r="AM105" s="468" t="str">
        <f t="shared" si="28"/>
        <v/>
      </c>
      <c r="AZ105" s="462"/>
      <c r="BA105" s="462"/>
    </row>
    <row r="106" spans="1:53" ht="13.5" hidden="1" customHeight="1">
      <c r="A106" s="1232">
        <v>96</v>
      </c>
      <c r="B106" s="1233"/>
      <c r="C106" s="1230"/>
      <c r="D106" s="1234"/>
      <c r="E106" s="1231"/>
      <c r="F106" s="1230"/>
      <c r="G106" s="1234"/>
      <c r="H106" s="1231"/>
      <c r="I106" s="1230"/>
      <c r="J106" s="1231"/>
      <c r="K106" s="1230"/>
      <c r="L106" s="1231"/>
      <c r="M106" s="1230"/>
      <c r="N106" s="1231"/>
      <c r="O106" s="1228"/>
      <c r="P106" s="1229"/>
      <c r="Q106" s="1230"/>
      <c r="R106" s="1231"/>
      <c r="S106" s="1230"/>
      <c r="T106" s="1231"/>
      <c r="U106" s="1212" t="str">
        <f t="shared" si="21"/>
        <v/>
      </c>
      <c r="V106" s="1213"/>
      <c r="W106" s="1213"/>
      <c r="X106" s="1213"/>
      <c r="Y106" s="1213"/>
      <c r="Z106" s="1213"/>
      <c r="AA106" s="467" t="str">
        <f t="shared" si="29"/>
        <v/>
      </c>
      <c r="AB106" s="467" t="str">
        <f t="shared" si="30"/>
        <v/>
      </c>
      <c r="AC106" s="467" t="str">
        <f t="shared" si="31"/>
        <v/>
      </c>
      <c r="AD106" s="467" t="str">
        <f t="shared" si="32"/>
        <v/>
      </c>
      <c r="AE106" s="468" t="str">
        <f t="shared" si="19"/>
        <v>○</v>
      </c>
      <c r="AF106" s="468" t="str">
        <f t="shared" si="20"/>
        <v/>
      </c>
      <c r="AG106" s="468" t="str">
        <f t="shared" si="22"/>
        <v/>
      </c>
      <c r="AH106" s="468" t="str">
        <f t="shared" si="23"/>
        <v/>
      </c>
      <c r="AI106" s="468" t="str">
        <f t="shared" si="24"/>
        <v/>
      </c>
      <c r="AJ106" s="468" t="str">
        <f t="shared" si="25"/>
        <v/>
      </c>
      <c r="AK106" s="468" t="str">
        <f t="shared" si="26"/>
        <v/>
      </c>
      <c r="AL106" s="468" t="str">
        <f t="shared" si="27"/>
        <v/>
      </c>
      <c r="AM106" s="468" t="str">
        <f t="shared" si="28"/>
        <v/>
      </c>
      <c r="AZ106" s="462"/>
      <c r="BA106" s="462"/>
    </row>
    <row r="107" spans="1:53" ht="13.5" hidden="1" customHeight="1">
      <c r="A107" s="1232">
        <v>97</v>
      </c>
      <c r="B107" s="1233"/>
      <c r="C107" s="1230"/>
      <c r="D107" s="1234"/>
      <c r="E107" s="1231"/>
      <c r="F107" s="1230"/>
      <c r="G107" s="1234"/>
      <c r="H107" s="1231"/>
      <c r="I107" s="1230"/>
      <c r="J107" s="1231"/>
      <c r="K107" s="1230"/>
      <c r="L107" s="1231"/>
      <c r="M107" s="1230"/>
      <c r="N107" s="1231"/>
      <c r="O107" s="1228"/>
      <c r="P107" s="1229"/>
      <c r="Q107" s="1230"/>
      <c r="R107" s="1231"/>
      <c r="S107" s="1230"/>
      <c r="T107" s="1231"/>
      <c r="U107" s="1212" t="str">
        <f t="shared" si="21"/>
        <v/>
      </c>
      <c r="V107" s="1213"/>
      <c r="W107" s="1213"/>
      <c r="X107" s="1213"/>
      <c r="Y107" s="1213"/>
      <c r="Z107" s="1213"/>
      <c r="AA107" s="467" t="str">
        <f t="shared" si="29"/>
        <v/>
      </c>
      <c r="AB107" s="467" t="str">
        <f t="shared" si="30"/>
        <v/>
      </c>
      <c r="AC107" s="467" t="str">
        <f t="shared" si="31"/>
        <v/>
      </c>
      <c r="AD107" s="467" t="str">
        <f t="shared" si="32"/>
        <v/>
      </c>
      <c r="AE107" s="468" t="str">
        <f t="shared" si="19"/>
        <v>○</v>
      </c>
      <c r="AF107" s="468" t="str">
        <f t="shared" si="20"/>
        <v/>
      </c>
      <c r="AG107" s="468" t="str">
        <f t="shared" si="22"/>
        <v/>
      </c>
      <c r="AH107" s="468" t="str">
        <f t="shared" si="23"/>
        <v/>
      </c>
      <c r="AI107" s="468" t="str">
        <f t="shared" si="24"/>
        <v/>
      </c>
      <c r="AJ107" s="468" t="str">
        <f t="shared" si="25"/>
        <v/>
      </c>
      <c r="AK107" s="468" t="str">
        <f t="shared" si="26"/>
        <v/>
      </c>
      <c r="AL107" s="468" t="str">
        <f t="shared" si="27"/>
        <v/>
      </c>
      <c r="AM107" s="468" t="str">
        <f t="shared" si="28"/>
        <v/>
      </c>
      <c r="AZ107" s="462"/>
      <c r="BA107" s="462"/>
    </row>
    <row r="108" spans="1:53" ht="13.5" hidden="1" customHeight="1">
      <c r="A108" s="1232">
        <v>98</v>
      </c>
      <c r="B108" s="1233"/>
      <c r="C108" s="1230"/>
      <c r="D108" s="1234"/>
      <c r="E108" s="1231"/>
      <c r="F108" s="1230"/>
      <c r="G108" s="1234"/>
      <c r="H108" s="1231"/>
      <c r="I108" s="1230"/>
      <c r="J108" s="1231"/>
      <c r="K108" s="1230"/>
      <c r="L108" s="1231"/>
      <c r="M108" s="1230"/>
      <c r="N108" s="1231"/>
      <c r="O108" s="1228"/>
      <c r="P108" s="1229"/>
      <c r="Q108" s="1230"/>
      <c r="R108" s="1231"/>
      <c r="S108" s="1230"/>
      <c r="T108" s="1231"/>
      <c r="U108" s="1212" t="str">
        <f t="shared" si="21"/>
        <v/>
      </c>
      <c r="V108" s="1213"/>
      <c r="W108" s="1213"/>
      <c r="X108" s="1213"/>
      <c r="Y108" s="1213"/>
      <c r="Z108" s="1213"/>
      <c r="AA108" s="467" t="str">
        <f t="shared" si="29"/>
        <v/>
      </c>
      <c r="AB108" s="467" t="str">
        <f t="shared" si="30"/>
        <v/>
      </c>
      <c r="AC108" s="467" t="str">
        <f t="shared" si="31"/>
        <v/>
      </c>
      <c r="AD108" s="467" t="str">
        <f t="shared" si="32"/>
        <v/>
      </c>
      <c r="AE108" s="468" t="str">
        <f t="shared" si="19"/>
        <v>○</v>
      </c>
      <c r="AF108" s="468" t="str">
        <f t="shared" si="20"/>
        <v/>
      </c>
      <c r="AG108" s="468" t="str">
        <f t="shared" si="22"/>
        <v/>
      </c>
      <c r="AH108" s="468" t="str">
        <f t="shared" si="23"/>
        <v/>
      </c>
      <c r="AI108" s="468" t="str">
        <f t="shared" si="24"/>
        <v/>
      </c>
      <c r="AJ108" s="468" t="str">
        <f t="shared" si="25"/>
        <v/>
      </c>
      <c r="AK108" s="468" t="str">
        <f t="shared" si="26"/>
        <v/>
      </c>
      <c r="AL108" s="468" t="str">
        <f t="shared" si="27"/>
        <v/>
      </c>
      <c r="AM108" s="468" t="str">
        <f t="shared" si="28"/>
        <v/>
      </c>
      <c r="AZ108" s="462"/>
      <c r="BA108" s="462"/>
    </row>
    <row r="109" spans="1:53" ht="13.5" hidden="1" customHeight="1">
      <c r="A109" s="1232">
        <v>99</v>
      </c>
      <c r="B109" s="1233"/>
      <c r="C109" s="1230"/>
      <c r="D109" s="1234"/>
      <c r="E109" s="1231"/>
      <c r="F109" s="1230"/>
      <c r="G109" s="1234"/>
      <c r="H109" s="1231"/>
      <c r="I109" s="1230"/>
      <c r="J109" s="1231"/>
      <c r="K109" s="1230"/>
      <c r="L109" s="1231"/>
      <c r="M109" s="1230"/>
      <c r="N109" s="1231"/>
      <c r="O109" s="1228"/>
      <c r="P109" s="1229"/>
      <c r="Q109" s="1230"/>
      <c r="R109" s="1231"/>
      <c r="S109" s="1230"/>
      <c r="T109" s="1231"/>
      <c r="U109" s="1212" t="str">
        <f t="shared" si="21"/>
        <v/>
      </c>
      <c r="V109" s="1213"/>
      <c r="W109" s="1213"/>
      <c r="X109" s="1213"/>
      <c r="Y109" s="1213"/>
      <c r="Z109" s="1213"/>
      <c r="AA109" s="467" t="str">
        <f t="shared" si="29"/>
        <v/>
      </c>
      <c r="AB109" s="467" t="str">
        <f t="shared" si="30"/>
        <v/>
      </c>
      <c r="AC109" s="467" t="str">
        <f t="shared" si="31"/>
        <v/>
      </c>
      <c r="AD109" s="467" t="str">
        <f t="shared" si="32"/>
        <v/>
      </c>
      <c r="AE109" s="468" t="str">
        <f t="shared" si="19"/>
        <v>○</v>
      </c>
      <c r="AF109" s="468" t="str">
        <f t="shared" si="20"/>
        <v/>
      </c>
      <c r="AG109" s="468" t="str">
        <f t="shared" si="22"/>
        <v/>
      </c>
      <c r="AH109" s="468" t="str">
        <f t="shared" si="23"/>
        <v/>
      </c>
      <c r="AI109" s="468" t="str">
        <f t="shared" si="24"/>
        <v/>
      </c>
      <c r="AJ109" s="468" t="str">
        <f t="shared" si="25"/>
        <v/>
      </c>
      <c r="AK109" s="468" t="str">
        <f t="shared" si="26"/>
        <v/>
      </c>
      <c r="AL109" s="468" t="str">
        <f t="shared" si="27"/>
        <v/>
      </c>
      <c r="AM109" s="468" t="str">
        <f t="shared" si="28"/>
        <v/>
      </c>
      <c r="AZ109" s="462"/>
      <c r="BA109" s="462"/>
    </row>
    <row r="110" spans="1:53" ht="13.5" hidden="1" customHeight="1">
      <c r="A110" s="1232">
        <v>100</v>
      </c>
      <c r="B110" s="1233"/>
      <c r="C110" s="1230"/>
      <c r="D110" s="1234"/>
      <c r="E110" s="1231"/>
      <c r="F110" s="1230"/>
      <c r="G110" s="1234"/>
      <c r="H110" s="1231"/>
      <c r="I110" s="1230"/>
      <c r="J110" s="1231"/>
      <c r="K110" s="1230"/>
      <c r="L110" s="1231"/>
      <c r="M110" s="1230"/>
      <c r="N110" s="1231"/>
      <c r="O110" s="1228"/>
      <c r="P110" s="1229"/>
      <c r="Q110" s="1230"/>
      <c r="R110" s="1231"/>
      <c r="S110" s="1230"/>
      <c r="T110" s="1231"/>
      <c r="U110" s="1212" t="str">
        <f t="shared" si="21"/>
        <v/>
      </c>
      <c r="V110" s="1213"/>
      <c r="W110" s="1213"/>
      <c r="X110" s="1213"/>
      <c r="Y110" s="1213"/>
      <c r="Z110" s="1213"/>
      <c r="AA110" s="467" t="str">
        <f t="shared" si="29"/>
        <v/>
      </c>
      <c r="AB110" s="467" t="str">
        <f t="shared" si="30"/>
        <v/>
      </c>
      <c r="AC110" s="467" t="str">
        <f t="shared" si="31"/>
        <v/>
      </c>
      <c r="AD110" s="467" t="str">
        <f t="shared" si="32"/>
        <v/>
      </c>
      <c r="AE110" s="468" t="str">
        <f t="shared" si="19"/>
        <v>○</v>
      </c>
      <c r="AF110" s="468" t="str">
        <f t="shared" si="20"/>
        <v/>
      </c>
      <c r="AG110" s="468" t="str">
        <f t="shared" si="22"/>
        <v/>
      </c>
      <c r="AH110" s="468" t="str">
        <f t="shared" si="23"/>
        <v/>
      </c>
      <c r="AI110" s="468" t="str">
        <f t="shared" si="24"/>
        <v/>
      </c>
      <c r="AJ110" s="468" t="str">
        <f t="shared" si="25"/>
        <v/>
      </c>
      <c r="AK110" s="468" t="str">
        <f t="shared" si="26"/>
        <v/>
      </c>
      <c r="AL110" s="468" t="str">
        <f t="shared" si="27"/>
        <v/>
      </c>
      <c r="AM110" s="468" t="str">
        <f t="shared" si="28"/>
        <v/>
      </c>
      <c r="AZ110" s="462"/>
      <c r="BA110" s="462"/>
    </row>
    <row r="111" spans="1:53" ht="13.5" hidden="1" customHeight="1">
      <c r="A111" s="1232">
        <v>101</v>
      </c>
      <c r="B111" s="1233"/>
      <c r="C111" s="1230"/>
      <c r="D111" s="1234"/>
      <c r="E111" s="1231"/>
      <c r="F111" s="1230"/>
      <c r="G111" s="1234"/>
      <c r="H111" s="1231"/>
      <c r="I111" s="1230"/>
      <c r="J111" s="1231"/>
      <c r="K111" s="1230"/>
      <c r="L111" s="1231"/>
      <c r="M111" s="1230"/>
      <c r="N111" s="1231"/>
      <c r="O111" s="1228"/>
      <c r="P111" s="1229"/>
      <c r="Q111" s="1230"/>
      <c r="R111" s="1231"/>
      <c r="S111" s="1230"/>
      <c r="T111" s="1231"/>
      <c r="U111" s="1212" t="str">
        <f t="shared" si="21"/>
        <v/>
      </c>
      <c r="V111" s="1213"/>
      <c r="W111" s="1213"/>
      <c r="X111" s="1213"/>
      <c r="Y111" s="1213"/>
      <c r="Z111" s="1213"/>
      <c r="AA111" s="467" t="str">
        <f t="shared" si="29"/>
        <v/>
      </c>
      <c r="AB111" s="467" t="str">
        <f t="shared" si="30"/>
        <v/>
      </c>
      <c r="AC111" s="467" t="str">
        <f t="shared" si="31"/>
        <v/>
      </c>
      <c r="AD111" s="467" t="str">
        <f t="shared" si="32"/>
        <v/>
      </c>
      <c r="AE111" s="468" t="str">
        <f t="shared" si="19"/>
        <v>○</v>
      </c>
      <c r="AF111" s="468" t="str">
        <f t="shared" si="20"/>
        <v/>
      </c>
      <c r="AG111" s="468" t="str">
        <f t="shared" si="22"/>
        <v/>
      </c>
      <c r="AH111" s="468" t="str">
        <f t="shared" si="23"/>
        <v/>
      </c>
      <c r="AI111" s="468" t="str">
        <f t="shared" si="24"/>
        <v/>
      </c>
      <c r="AJ111" s="468" t="str">
        <f t="shared" si="25"/>
        <v/>
      </c>
      <c r="AK111" s="468" t="str">
        <f t="shared" si="26"/>
        <v/>
      </c>
      <c r="AL111" s="468" t="str">
        <f t="shared" si="27"/>
        <v/>
      </c>
      <c r="AM111" s="468" t="str">
        <f t="shared" si="28"/>
        <v/>
      </c>
      <c r="AZ111" s="462"/>
      <c r="BA111" s="462"/>
    </row>
    <row r="112" spans="1:53" ht="13.5" hidden="1" customHeight="1">
      <c r="A112" s="1232">
        <v>102</v>
      </c>
      <c r="B112" s="1233"/>
      <c r="C112" s="1230"/>
      <c r="D112" s="1234"/>
      <c r="E112" s="1231"/>
      <c r="F112" s="1230"/>
      <c r="G112" s="1234"/>
      <c r="H112" s="1231"/>
      <c r="I112" s="1230"/>
      <c r="J112" s="1231"/>
      <c r="K112" s="1230"/>
      <c r="L112" s="1231"/>
      <c r="M112" s="1230"/>
      <c r="N112" s="1231"/>
      <c r="O112" s="1228"/>
      <c r="P112" s="1229"/>
      <c r="Q112" s="1230"/>
      <c r="R112" s="1231"/>
      <c r="S112" s="1230"/>
      <c r="T112" s="1231"/>
      <c r="U112" s="1212" t="str">
        <f t="shared" si="21"/>
        <v/>
      </c>
      <c r="V112" s="1213"/>
      <c r="W112" s="1213"/>
      <c r="X112" s="1213"/>
      <c r="Y112" s="1213"/>
      <c r="Z112" s="1213"/>
      <c r="AA112" s="467" t="str">
        <f t="shared" si="29"/>
        <v/>
      </c>
      <c r="AB112" s="467" t="str">
        <f t="shared" si="30"/>
        <v/>
      </c>
      <c r="AC112" s="467" t="str">
        <f t="shared" si="31"/>
        <v/>
      </c>
      <c r="AD112" s="467" t="str">
        <f t="shared" si="32"/>
        <v/>
      </c>
      <c r="AE112" s="468" t="str">
        <f t="shared" si="19"/>
        <v>○</v>
      </c>
      <c r="AF112" s="468" t="str">
        <f t="shared" si="20"/>
        <v/>
      </c>
      <c r="AG112" s="468" t="str">
        <f t="shared" si="22"/>
        <v/>
      </c>
      <c r="AH112" s="468" t="str">
        <f t="shared" si="23"/>
        <v/>
      </c>
      <c r="AI112" s="468" t="str">
        <f t="shared" si="24"/>
        <v/>
      </c>
      <c r="AJ112" s="468" t="str">
        <f t="shared" si="25"/>
        <v/>
      </c>
      <c r="AK112" s="468" t="str">
        <f t="shared" si="26"/>
        <v/>
      </c>
      <c r="AL112" s="468" t="str">
        <f t="shared" si="27"/>
        <v/>
      </c>
      <c r="AM112" s="468" t="str">
        <f t="shared" si="28"/>
        <v/>
      </c>
      <c r="AZ112" s="462"/>
      <c r="BA112" s="462"/>
    </row>
    <row r="113" spans="1:53" ht="13.5" hidden="1" customHeight="1">
      <c r="A113" s="1232">
        <v>103</v>
      </c>
      <c r="B113" s="1233"/>
      <c r="C113" s="1230"/>
      <c r="D113" s="1234"/>
      <c r="E113" s="1231"/>
      <c r="F113" s="1230"/>
      <c r="G113" s="1234"/>
      <c r="H113" s="1231"/>
      <c r="I113" s="1230"/>
      <c r="J113" s="1231"/>
      <c r="K113" s="1230"/>
      <c r="L113" s="1231"/>
      <c r="M113" s="1230"/>
      <c r="N113" s="1231"/>
      <c r="O113" s="1228"/>
      <c r="P113" s="1229"/>
      <c r="Q113" s="1230"/>
      <c r="R113" s="1231"/>
      <c r="S113" s="1230"/>
      <c r="T113" s="1231"/>
      <c r="U113" s="1212" t="str">
        <f t="shared" si="21"/>
        <v/>
      </c>
      <c r="V113" s="1213"/>
      <c r="W113" s="1213"/>
      <c r="X113" s="1213"/>
      <c r="Y113" s="1213"/>
      <c r="Z113" s="1213"/>
      <c r="AA113" s="467" t="str">
        <f t="shared" si="29"/>
        <v/>
      </c>
      <c r="AB113" s="467" t="str">
        <f t="shared" si="30"/>
        <v/>
      </c>
      <c r="AC113" s="467" t="str">
        <f t="shared" si="31"/>
        <v/>
      </c>
      <c r="AD113" s="467" t="str">
        <f t="shared" si="32"/>
        <v/>
      </c>
      <c r="AE113" s="468" t="str">
        <f t="shared" si="19"/>
        <v>○</v>
      </c>
      <c r="AF113" s="468" t="str">
        <f t="shared" si="20"/>
        <v/>
      </c>
      <c r="AG113" s="468" t="str">
        <f t="shared" si="22"/>
        <v/>
      </c>
      <c r="AH113" s="468" t="str">
        <f t="shared" si="23"/>
        <v/>
      </c>
      <c r="AI113" s="468" t="str">
        <f t="shared" si="24"/>
        <v/>
      </c>
      <c r="AJ113" s="468" t="str">
        <f t="shared" si="25"/>
        <v/>
      </c>
      <c r="AK113" s="468" t="str">
        <f t="shared" si="26"/>
        <v/>
      </c>
      <c r="AL113" s="468" t="str">
        <f t="shared" si="27"/>
        <v/>
      </c>
      <c r="AM113" s="468" t="str">
        <f t="shared" si="28"/>
        <v/>
      </c>
      <c r="AZ113" s="462"/>
      <c r="BA113" s="462"/>
    </row>
    <row r="114" spans="1:53" ht="13.5" hidden="1" customHeight="1">
      <c r="A114" s="1232">
        <v>104</v>
      </c>
      <c r="B114" s="1233"/>
      <c r="C114" s="1230"/>
      <c r="D114" s="1234"/>
      <c r="E114" s="1231"/>
      <c r="F114" s="1230"/>
      <c r="G114" s="1234"/>
      <c r="H114" s="1231"/>
      <c r="I114" s="1230"/>
      <c r="J114" s="1231"/>
      <c r="K114" s="1230"/>
      <c r="L114" s="1231"/>
      <c r="M114" s="1230"/>
      <c r="N114" s="1231"/>
      <c r="O114" s="1228"/>
      <c r="P114" s="1229"/>
      <c r="Q114" s="1230"/>
      <c r="R114" s="1231"/>
      <c r="S114" s="1230"/>
      <c r="T114" s="1231"/>
      <c r="U114" s="1212" t="str">
        <f t="shared" si="21"/>
        <v/>
      </c>
      <c r="V114" s="1213"/>
      <c r="W114" s="1213"/>
      <c r="X114" s="1213"/>
      <c r="Y114" s="1213"/>
      <c r="Z114" s="1213"/>
      <c r="AA114" s="467" t="str">
        <f t="shared" si="29"/>
        <v/>
      </c>
      <c r="AB114" s="467" t="str">
        <f t="shared" si="30"/>
        <v/>
      </c>
      <c r="AC114" s="467" t="str">
        <f t="shared" si="31"/>
        <v/>
      </c>
      <c r="AD114" s="467" t="str">
        <f t="shared" si="32"/>
        <v/>
      </c>
      <c r="AE114" s="468" t="str">
        <f t="shared" si="19"/>
        <v>○</v>
      </c>
      <c r="AF114" s="468" t="str">
        <f t="shared" si="20"/>
        <v/>
      </c>
      <c r="AG114" s="468" t="str">
        <f t="shared" si="22"/>
        <v/>
      </c>
      <c r="AH114" s="468" t="str">
        <f t="shared" si="23"/>
        <v/>
      </c>
      <c r="AI114" s="468" t="str">
        <f t="shared" si="24"/>
        <v/>
      </c>
      <c r="AJ114" s="468" t="str">
        <f t="shared" si="25"/>
        <v/>
      </c>
      <c r="AK114" s="468" t="str">
        <f t="shared" si="26"/>
        <v/>
      </c>
      <c r="AL114" s="468" t="str">
        <f t="shared" si="27"/>
        <v/>
      </c>
      <c r="AM114" s="468" t="str">
        <f t="shared" si="28"/>
        <v/>
      </c>
      <c r="AZ114" s="462"/>
      <c r="BA114" s="462"/>
    </row>
    <row r="115" spans="1:53" ht="13.5" hidden="1" customHeight="1">
      <c r="A115" s="1232">
        <v>105</v>
      </c>
      <c r="B115" s="1233"/>
      <c r="C115" s="1230"/>
      <c r="D115" s="1234"/>
      <c r="E115" s="1231"/>
      <c r="F115" s="1230"/>
      <c r="G115" s="1234"/>
      <c r="H115" s="1231"/>
      <c r="I115" s="1230"/>
      <c r="J115" s="1231"/>
      <c r="K115" s="1230"/>
      <c r="L115" s="1231"/>
      <c r="M115" s="1230"/>
      <c r="N115" s="1231"/>
      <c r="O115" s="1228"/>
      <c r="P115" s="1229"/>
      <c r="Q115" s="1230"/>
      <c r="R115" s="1231"/>
      <c r="S115" s="1230"/>
      <c r="T115" s="1231"/>
      <c r="U115" s="1212" t="str">
        <f t="shared" si="21"/>
        <v/>
      </c>
      <c r="V115" s="1213"/>
      <c r="W115" s="1213"/>
      <c r="X115" s="1213"/>
      <c r="Y115" s="1213"/>
      <c r="Z115" s="1213"/>
      <c r="AA115" s="467" t="str">
        <f t="shared" si="29"/>
        <v/>
      </c>
      <c r="AB115" s="467" t="str">
        <f t="shared" si="30"/>
        <v/>
      </c>
      <c r="AC115" s="467" t="str">
        <f t="shared" si="31"/>
        <v/>
      </c>
      <c r="AD115" s="467" t="str">
        <f t="shared" si="32"/>
        <v/>
      </c>
      <c r="AE115" s="468" t="str">
        <f t="shared" si="19"/>
        <v>○</v>
      </c>
      <c r="AF115" s="468" t="str">
        <f t="shared" si="20"/>
        <v/>
      </c>
      <c r="AG115" s="468" t="str">
        <f t="shared" si="22"/>
        <v/>
      </c>
      <c r="AH115" s="468" t="str">
        <f t="shared" si="23"/>
        <v/>
      </c>
      <c r="AI115" s="468" t="str">
        <f t="shared" si="24"/>
        <v/>
      </c>
      <c r="AJ115" s="468" t="str">
        <f t="shared" si="25"/>
        <v/>
      </c>
      <c r="AK115" s="468" t="str">
        <f t="shared" si="26"/>
        <v/>
      </c>
      <c r="AL115" s="468" t="str">
        <f t="shared" si="27"/>
        <v/>
      </c>
      <c r="AM115" s="468" t="str">
        <f t="shared" si="28"/>
        <v/>
      </c>
      <c r="AZ115" s="462"/>
      <c r="BA115" s="462"/>
    </row>
    <row r="116" spans="1:53" ht="13.5" hidden="1" customHeight="1">
      <c r="A116" s="1232">
        <v>106</v>
      </c>
      <c r="B116" s="1233"/>
      <c r="C116" s="1230"/>
      <c r="D116" s="1234"/>
      <c r="E116" s="1231"/>
      <c r="F116" s="1230"/>
      <c r="G116" s="1234"/>
      <c r="H116" s="1231"/>
      <c r="I116" s="1230"/>
      <c r="J116" s="1231"/>
      <c r="K116" s="1230"/>
      <c r="L116" s="1231"/>
      <c r="M116" s="1230"/>
      <c r="N116" s="1231"/>
      <c r="O116" s="1228"/>
      <c r="P116" s="1229"/>
      <c r="Q116" s="1230"/>
      <c r="R116" s="1231"/>
      <c r="S116" s="1230"/>
      <c r="T116" s="1231"/>
      <c r="U116" s="1212" t="str">
        <f t="shared" si="21"/>
        <v/>
      </c>
      <c r="V116" s="1213"/>
      <c r="W116" s="1213"/>
      <c r="X116" s="1213"/>
      <c r="Y116" s="1213"/>
      <c r="Z116" s="1213"/>
      <c r="AA116" s="467" t="str">
        <f t="shared" si="29"/>
        <v/>
      </c>
      <c r="AB116" s="467" t="str">
        <f t="shared" si="30"/>
        <v/>
      </c>
      <c r="AC116" s="467" t="str">
        <f t="shared" si="31"/>
        <v/>
      </c>
      <c r="AD116" s="467" t="str">
        <f t="shared" si="32"/>
        <v/>
      </c>
      <c r="AE116" s="468" t="str">
        <f t="shared" si="19"/>
        <v>○</v>
      </c>
      <c r="AF116" s="468" t="str">
        <f t="shared" si="20"/>
        <v/>
      </c>
      <c r="AG116" s="468" t="str">
        <f t="shared" si="22"/>
        <v/>
      </c>
      <c r="AH116" s="468" t="str">
        <f t="shared" si="23"/>
        <v/>
      </c>
      <c r="AI116" s="468" t="str">
        <f t="shared" si="24"/>
        <v/>
      </c>
      <c r="AJ116" s="468" t="str">
        <f t="shared" si="25"/>
        <v/>
      </c>
      <c r="AK116" s="468" t="str">
        <f t="shared" si="26"/>
        <v/>
      </c>
      <c r="AL116" s="468" t="str">
        <f t="shared" si="27"/>
        <v/>
      </c>
      <c r="AM116" s="468" t="str">
        <f t="shared" si="28"/>
        <v/>
      </c>
      <c r="AZ116" s="462"/>
      <c r="BA116" s="462"/>
    </row>
    <row r="117" spans="1:53" ht="13.5" hidden="1" customHeight="1">
      <c r="A117" s="1232">
        <v>107</v>
      </c>
      <c r="B117" s="1233"/>
      <c r="C117" s="1230"/>
      <c r="D117" s="1234"/>
      <c r="E117" s="1231"/>
      <c r="F117" s="1230"/>
      <c r="G117" s="1234"/>
      <c r="H117" s="1231"/>
      <c r="I117" s="1230"/>
      <c r="J117" s="1231"/>
      <c r="K117" s="1230"/>
      <c r="L117" s="1231"/>
      <c r="M117" s="1230"/>
      <c r="N117" s="1231"/>
      <c r="O117" s="1228"/>
      <c r="P117" s="1229"/>
      <c r="Q117" s="1230"/>
      <c r="R117" s="1231"/>
      <c r="S117" s="1230"/>
      <c r="T117" s="1231"/>
      <c r="U117" s="1212" t="str">
        <f t="shared" si="21"/>
        <v/>
      </c>
      <c r="V117" s="1213"/>
      <c r="W117" s="1213"/>
      <c r="X117" s="1213"/>
      <c r="Y117" s="1213"/>
      <c r="Z117" s="1213"/>
      <c r="AA117" s="467" t="str">
        <f t="shared" si="29"/>
        <v/>
      </c>
      <c r="AB117" s="467" t="str">
        <f t="shared" si="30"/>
        <v/>
      </c>
      <c r="AC117" s="467" t="str">
        <f t="shared" si="31"/>
        <v/>
      </c>
      <c r="AD117" s="467" t="str">
        <f t="shared" si="32"/>
        <v/>
      </c>
      <c r="AE117" s="468" t="str">
        <f t="shared" si="19"/>
        <v>○</v>
      </c>
      <c r="AF117" s="468" t="str">
        <f t="shared" si="20"/>
        <v/>
      </c>
      <c r="AG117" s="468" t="str">
        <f t="shared" si="22"/>
        <v/>
      </c>
      <c r="AH117" s="468" t="str">
        <f t="shared" si="23"/>
        <v/>
      </c>
      <c r="AI117" s="468" t="str">
        <f t="shared" si="24"/>
        <v/>
      </c>
      <c r="AJ117" s="468" t="str">
        <f t="shared" si="25"/>
        <v/>
      </c>
      <c r="AK117" s="468" t="str">
        <f t="shared" si="26"/>
        <v/>
      </c>
      <c r="AL117" s="468" t="str">
        <f t="shared" si="27"/>
        <v/>
      </c>
      <c r="AM117" s="468" t="str">
        <f t="shared" si="28"/>
        <v/>
      </c>
      <c r="AZ117" s="462"/>
      <c r="BA117" s="462"/>
    </row>
    <row r="118" spans="1:53" ht="13.5" hidden="1" customHeight="1">
      <c r="A118" s="1232">
        <v>108</v>
      </c>
      <c r="B118" s="1233"/>
      <c r="C118" s="1230"/>
      <c r="D118" s="1234"/>
      <c r="E118" s="1231"/>
      <c r="F118" s="1230"/>
      <c r="G118" s="1234"/>
      <c r="H118" s="1231"/>
      <c r="I118" s="1230"/>
      <c r="J118" s="1231"/>
      <c r="K118" s="1230"/>
      <c r="L118" s="1231"/>
      <c r="M118" s="1230"/>
      <c r="N118" s="1231"/>
      <c r="O118" s="1228"/>
      <c r="P118" s="1229"/>
      <c r="Q118" s="1230"/>
      <c r="R118" s="1231"/>
      <c r="S118" s="1230"/>
      <c r="T118" s="1231"/>
      <c r="U118" s="1212" t="str">
        <f t="shared" si="21"/>
        <v/>
      </c>
      <c r="V118" s="1213"/>
      <c r="W118" s="1213"/>
      <c r="X118" s="1213"/>
      <c r="Y118" s="1213"/>
      <c r="Z118" s="1213"/>
      <c r="AA118" s="467" t="str">
        <f t="shared" si="29"/>
        <v/>
      </c>
      <c r="AB118" s="467" t="str">
        <f t="shared" si="30"/>
        <v/>
      </c>
      <c r="AC118" s="467" t="str">
        <f t="shared" si="31"/>
        <v/>
      </c>
      <c r="AD118" s="467" t="str">
        <f t="shared" si="32"/>
        <v/>
      </c>
      <c r="AE118" s="468" t="str">
        <f t="shared" si="19"/>
        <v>○</v>
      </c>
      <c r="AF118" s="468" t="str">
        <f t="shared" si="20"/>
        <v/>
      </c>
      <c r="AG118" s="468" t="str">
        <f t="shared" si="22"/>
        <v/>
      </c>
      <c r="AH118" s="468" t="str">
        <f t="shared" si="23"/>
        <v/>
      </c>
      <c r="AI118" s="468" t="str">
        <f t="shared" si="24"/>
        <v/>
      </c>
      <c r="AJ118" s="468" t="str">
        <f t="shared" si="25"/>
        <v/>
      </c>
      <c r="AK118" s="468" t="str">
        <f t="shared" si="26"/>
        <v/>
      </c>
      <c r="AL118" s="468" t="str">
        <f t="shared" si="27"/>
        <v/>
      </c>
      <c r="AM118" s="468" t="str">
        <f t="shared" si="28"/>
        <v/>
      </c>
      <c r="AZ118" s="462"/>
      <c r="BA118" s="462"/>
    </row>
    <row r="119" spans="1:53" ht="13.5" hidden="1" customHeight="1">
      <c r="A119" s="1232">
        <v>109</v>
      </c>
      <c r="B119" s="1233"/>
      <c r="C119" s="1230"/>
      <c r="D119" s="1234"/>
      <c r="E119" s="1231"/>
      <c r="F119" s="1230"/>
      <c r="G119" s="1234"/>
      <c r="H119" s="1231"/>
      <c r="I119" s="1230"/>
      <c r="J119" s="1231"/>
      <c r="K119" s="1230"/>
      <c r="L119" s="1231"/>
      <c r="M119" s="1230"/>
      <c r="N119" s="1231"/>
      <c r="O119" s="1228"/>
      <c r="P119" s="1229"/>
      <c r="Q119" s="1230"/>
      <c r="R119" s="1231"/>
      <c r="S119" s="1230"/>
      <c r="T119" s="1231"/>
      <c r="U119" s="1212" t="str">
        <f t="shared" si="21"/>
        <v/>
      </c>
      <c r="V119" s="1213"/>
      <c r="W119" s="1213"/>
      <c r="X119" s="1213"/>
      <c r="Y119" s="1213"/>
      <c r="Z119" s="1213"/>
      <c r="AA119" s="467" t="str">
        <f t="shared" si="29"/>
        <v/>
      </c>
      <c r="AB119" s="467" t="str">
        <f t="shared" si="30"/>
        <v/>
      </c>
      <c r="AC119" s="467" t="str">
        <f t="shared" si="31"/>
        <v/>
      </c>
      <c r="AD119" s="467" t="str">
        <f t="shared" si="32"/>
        <v/>
      </c>
      <c r="AE119" s="468" t="str">
        <f t="shared" si="19"/>
        <v>○</v>
      </c>
      <c r="AF119" s="468" t="str">
        <f t="shared" si="20"/>
        <v/>
      </c>
      <c r="AG119" s="468" t="str">
        <f t="shared" si="22"/>
        <v/>
      </c>
      <c r="AH119" s="468" t="str">
        <f t="shared" si="23"/>
        <v/>
      </c>
      <c r="AI119" s="468" t="str">
        <f t="shared" si="24"/>
        <v/>
      </c>
      <c r="AJ119" s="468" t="str">
        <f t="shared" si="25"/>
        <v/>
      </c>
      <c r="AK119" s="468" t="str">
        <f t="shared" si="26"/>
        <v/>
      </c>
      <c r="AL119" s="468" t="str">
        <f t="shared" si="27"/>
        <v/>
      </c>
      <c r="AM119" s="468" t="str">
        <f t="shared" si="28"/>
        <v/>
      </c>
      <c r="AZ119" s="462"/>
      <c r="BA119" s="462"/>
    </row>
    <row r="120" spans="1:53" ht="13.5" hidden="1" customHeight="1">
      <c r="A120" s="1232">
        <v>110</v>
      </c>
      <c r="B120" s="1233"/>
      <c r="C120" s="1230"/>
      <c r="D120" s="1234"/>
      <c r="E120" s="1231"/>
      <c r="F120" s="1230"/>
      <c r="G120" s="1234"/>
      <c r="H120" s="1231"/>
      <c r="I120" s="1230"/>
      <c r="J120" s="1231"/>
      <c r="K120" s="1230"/>
      <c r="L120" s="1231"/>
      <c r="M120" s="1230"/>
      <c r="N120" s="1231"/>
      <c r="O120" s="1228"/>
      <c r="P120" s="1229"/>
      <c r="Q120" s="1230"/>
      <c r="R120" s="1231"/>
      <c r="S120" s="1230"/>
      <c r="T120" s="1231"/>
      <c r="U120" s="1212" t="str">
        <f t="shared" si="21"/>
        <v/>
      </c>
      <c r="V120" s="1213"/>
      <c r="W120" s="1213"/>
      <c r="X120" s="1213"/>
      <c r="Y120" s="1213"/>
      <c r="Z120" s="1213"/>
      <c r="AA120" s="467" t="str">
        <f t="shared" si="29"/>
        <v/>
      </c>
      <c r="AB120" s="467" t="str">
        <f t="shared" si="30"/>
        <v/>
      </c>
      <c r="AC120" s="467" t="str">
        <f t="shared" si="31"/>
        <v/>
      </c>
      <c r="AD120" s="467" t="str">
        <f t="shared" si="32"/>
        <v/>
      </c>
      <c r="AE120" s="468" t="str">
        <f t="shared" si="19"/>
        <v>○</v>
      </c>
      <c r="AF120" s="468" t="str">
        <f t="shared" si="20"/>
        <v/>
      </c>
      <c r="AG120" s="468" t="str">
        <f t="shared" si="22"/>
        <v/>
      </c>
      <c r="AH120" s="468" t="str">
        <f t="shared" si="23"/>
        <v/>
      </c>
      <c r="AI120" s="468" t="str">
        <f t="shared" si="24"/>
        <v/>
      </c>
      <c r="AJ120" s="468" t="str">
        <f t="shared" si="25"/>
        <v/>
      </c>
      <c r="AK120" s="468" t="str">
        <f t="shared" si="26"/>
        <v/>
      </c>
      <c r="AL120" s="468" t="str">
        <f t="shared" si="27"/>
        <v/>
      </c>
      <c r="AM120" s="468" t="str">
        <f t="shared" si="28"/>
        <v/>
      </c>
      <c r="AZ120" s="462"/>
      <c r="BA120" s="462"/>
    </row>
    <row r="121" spans="1:53" ht="13.5" hidden="1" customHeight="1">
      <c r="A121" s="1232">
        <v>111</v>
      </c>
      <c r="B121" s="1233"/>
      <c r="C121" s="1230"/>
      <c r="D121" s="1234"/>
      <c r="E121" s="1231"/>
      <c r="F121" s="1230"/>
      <c r="G121" s="1234"/>
      <c r="H121" s="1231"/>
      <c r="I121" s="1230"/>
      <c r="J121" s="1231"/>
      <c r="K121" s="1230"/>
      <c r="L121" s="1231"/>
      <c r="M121" s="1230"/>
      <c r="N121" s="1231"/>
      <c r="O121" s="1228"/>
      <c r="P121" s="1229"/>
      <c r="Q121" s="1230"/>
      <c r="R121" s="1231"/>
      <c r="S121" s="1230"/>
      <c r="T121" s="1231"/>
      <c r="U121" s="1212" t="str">
        <f t="shared" si="21"/>
        <v/>
      </c>
      <c r="V121" s="1213"/>
      <c r="W121" s="1213"/>
      <c r="X121" s="1213"/>
      <c r="Y121" s="1213"/>
      <c r="Z121" s="1213"/>
      <c r="AA121" s="467" t="str">
        <f t="shared" si="29"/>
        <v/>
      </c>
      <c r="AB121" s="467" t="str">
        <f t="shared" si="30"/>
        <v/>
      </c>
      <c r="AC121" s="467" t="str">
        <f t="shared" si="31"/>
        <v/>
      </c>
      <c r="AD121" s="467" t="str">
        <f t="shared" si="32"/>
        <v/>
      </c>
      <c r="AE121" s="468" t="str">
        <f t="shared" si="19"/>
        <v>○</v>
      </c>
      <c r="AF121" s="468" t="str">
        <f t="shared" si="20"/>
        <v/>
      </c>
      <c r="AG121" s="468" t="str">
        <f t="shared" si="22"/>
        <v/>
      </c>
      <c r="AH121" s="468" t="str">
        <f t="shared" si="23"/>
        <v/>
      </c>
      <c r="AI121" s="468" t="str">
        <f t="shared" si="24"/>
        <v/>
      </c>
      <c r="AJ121" s="468" t="str">
        <f t="shared" si="25"/>
        <v/>
      </c>
      <c r="AK121" s="468" t="str">
        <f t="shared" si="26"/>
        <v/>
      </c>
      <c r="AL121" s="468" t="str">
        <f t="shared" si="27"/>
        <v/>
      </c>
      <c r="AM121" s="468" t="str">
        <f t="shared" si="28"/>
        <v/>
      </c>
      <c r="AZ121" s="462"/>
      <c r="BA121" s="462"/>
    </row>
    <row r="122" spans="1:53" ht="13.5" hidden="1" customHeight="1">
      <c r="A122" s="1232">
        <v>112</v>
      </c>
      <c r="B122" s="1233"/>
      <c r="C122" s="1230"/>
      <c r="D122" s="1234"/>
      <c r="E122" s="1231"/>
      <c r="F122" s="1230"/>
      <c r="G122" s="1234"/>
      <c r="H122" s="1231"/>
      <c r="I122" s="1230"/>
      <c r="J122" s="1231"/>
      <c r="K122" s="1230"/>
      <c r="L122" s="1231"/>
      <c r="M122" s="1230"/>
      <c r="N122" s="1231"/>
      <c r="O122" s="1228"/>
      <c r="P122" s="1229"/>
      <c r="Q122" s="1230"/>
      <c r="R122" s="1231"/>
      <c r="S122" s="1230"/>
      <c r="T122" s="1231"/>
      <c r="U122" s="1212" t="str">
        <f t="shared" si="21"/>
        <v/>
      </c>
      <c r="V122" s="1213"/>
      <c r="W122" s="1213"/>
      <c r="X122" s="1213"/>
      <c r="Y122" s="1213"/>
      <c r="Z122" s="1213"/>
      <c r="AA122" s="467" t="str">
        <f t="shared" si="29"/>
        <v/>
      </c>
      <c r="AB122" s="467" t="str">
        <f t="shared" si="30"/>
        <v/>
      </c>
      <c r="AC122" s="467" t="str">
        <f t="shared" si="31"/>
        <v/>
      </c>
      <c r="AD122" s="467" t="str">
        <f t="shared" si="32"/>
        <v/>
      </c>
      <c r="AE122" s="468" t="str">
        <f t="shared" si="19"/>
        <v>○</v>
      </c>
      <c r="AF122" s="468" t="str">
        <f t="shared" si="20"/>
        <v/>
      </c>
      <c r="AG122" s="468" t="str">
        <f t="shared" si="22"/>
        <v/>
      </c>
      <c r="AH122" s="468" t="str">
        <f t="shared" si="23"/>
        <v/>
      </c>
      <c r="AI122" s="468" t="str">
        <f t="shared" si="24"/>
        <v/>
      </c>
      <c r="AJ122" s="468" t="str">
        <f t="shared" si="25"/>
        <v/>
      </c>
      <c r="AK122" s="468" t="str">
        <f t="shared" si="26"/>
        <v/>
      </c>
      <c r="AL122" s="468" t="str">
        <f t="shared" si="27"/>
        <v/>
      </c>
      <c r="AM122" s="468" t="str">
        <f t="shared" si="28"/>
        <v/>
      </c>
      <c r="AZ122" s="462"/>
      <c r="BA122" s="462"/>
    </row>
    <row r="123" spans="1:53" ht="13.5" hidden="1" customHeight="1">
      <c r="A123" s="1232">
        <v>113</v>
      </c>
      <c r="B123" s="1233"/>
      <c r="C123" s="1230"/>
      <c r="D123" s="1234"/>
      <c r="E123" s="1231"/>
      <c r="F123" s="1230"/>
      <c r="G123" s="1234"/>
      <c r="H123" s="1231"/>
      <c r="I123" s="1230"/>
      <c r="J123" s="1231"/>
      <c r="K123" s="1230"/>
      <c r="L123" s="1231"/>
      <c r="M123" s="1230"/>
      <c r="N123" s="1231"/>
      <c r="O123" s="1228"/>
      <c r="P123" s="1229"/>
      <c r="Q123" s="1230"/>
      <c r="R123" s="1231"/>
      <c r="S123" s="1230"/>
      <c r="T123" s="1231"/>
      <c r="U123" s="1212" t="str">
        <f t="shared" si="21"/>
        <v/>
      </c>
      <c r="V123" s="1213"/>
      <c r="W123" s="1213"/>
      <c r="X123" s="1213"/>
      <c r="Y123" s="1213"/>
      <c r="Z123" s="1213"/>
      <c r="AA123" s="467" t="str">
        <f t="shared" si="29"/>
        <v/>
      </c>
      <c r="AB123" s="467" t="str">
        <f t="shared" si="30"/>
        <v/>
      </c>
      <c r="AC123" s="467" t="str">
        <f t="shared" si="31"/>
        <v/>
      </c>
      <c r="AD123" s="467" t="str">
        <f t="shared" si="32"/>
        <v/>
      </c>
      <c r="AE123" s="468" t="str">
        <f t="shared" si="19"/>
        <v>○</v>
      </c>
      <c r="AF123" s="468" t="str">
        <f t="shared" si="20"/>
        <v/>
      </c>
      <c r="AG123" s="468" t="str">
        <f t="shared" si="22"/>
        <v/>
      </c>
      <c r="AH123" s="468" t="str">
        <f t="shared" si="23"/>
        <v/>
      </c>
      <c r="AI123" s="468" t="str">
        <f t="shared" si="24"/>
        <v/>
      </c>
      <c r="AJ123" s="468" t="str">
        <f t="shared" si="25"/>
        <v/>
      </c>
      <c r="AK123" s="468" t="str">
        <f t="shared" si="26"/>
        <v/>
      </c>
      <c r="AL123" s="468" t="str">
        <f t="shared" si="27"/>
        <v/>
      </c>
      <c r="AM123" s="468" t="str">
        <f t="shared" si="28"/>
        <v/>
      </c>
      <c r="AZ123" s="462"/>
      <c r="BA123" s="462"/>
    </row>
    <row r="124" spans="1:53" ht="13.5" hidden="1" customHeight="1">
      <c r="A124" s="1232">
        <v>114</v>
      </c>
      <c r="B124" s="1233"/>
      <c r="C124" s="1230"/>
      <c r="D124" s="1234"/>
      <c r="E124" s="1231"/>
      <c r="F124" s="1230"/>
      <c r="G124" s="1234"/>
      <c r="H124" s="1231"/>
      <c r="I124" s="1230"/>
      <c r="J124" s="1231"/>
      <c r="K124" s="1230"/>
      <c r="L124" s="1231"/>
      <c r="M124" s="1230"/>
      <c r="N124" s="1231"/>
      <c r="O124" s="1228"/>
      <c r="P124" s="1229"/>
      <c r="Q124" s="1230"/>
      <c r="R124" s="1231"/>
      <c r="S124" s="1230"/>
      <c r="T124" s="1231"/>
      <c r="U124" s="1212" t="str">
        <f t="shared" si="21"/>
        <v/>
      </c>
      <c r="V124" s="1213"/>
      <c r="W124" s="1213"/>
      <c r="X124" s="1213"/>
      <c r="Y124" s="1213"/>
      <c r="Z124" s="1213"/>
      <c r="AA124" s="467" t="str">
        <f t="shared" si="29"/>
        <v/>
      </c>
      <c r="AB124" s="467" t="str">
        <f t="shared" si="30"/>
        <v/>
      </c>
      <c r="AC124" s="467" t="str">
        <f t="shared" si="31"/>
        <v/>
      </c>
      <c r="AD124" s="467" t="str">
        <f t="shared" si="32"/>
        <v/>
      </c>
      <c r="AE124" s="468" t="str">
        <f t="shared" si="19"/>
        <v>○</v>
      </c>
      <c r="AF124" s="468" t="str">
        <f t="shared" si="20"/>
        <v/>
      </c>
      <c r="AG124" s="468" t="str">
        <f t="shared" si="22"/>
        <v/>
      </c>
      <c r="AH124" s="468" t="str">
        <f t="shared" si="23"/>
        <v/>
      </c>
      <c r="AI124" s="468" t="str">
        <f t="shared" si="24"/>
        <v/>
      </c>
      <c r="AJ124" s="468" t="str">
        <f t="shared" si="25"/>
        <v/>
      </c>
      <c r="AK124" s="468" t="str">
        <f t="shared" si="26"/>
        <v/>
      </c>
      <c r="AL124" s="468" t="str">
        <f t="shared" si="27"/>
        <v/>
      </c>
      <c r="AM124" s="468" t="str">
        <f t="shared" si="28"/>
        <v/>
      </c>
      <c r="AZ124" s="462"/>
      <c r="BA124" s="462"/>
    </row>
    <row r="125" spans="1:53" ht="13.5" hidden="1" customHeight="1">
      <c r="A125" s="1232">
        <v>115</v>
      </c>
      <c r="B125" s="1233"/>
      <c r="C125" s="1230"/>
      <c r="D125" s="1234"/>
      <c r="E125" s="1231"/>
      <c r="F125" s="1230"/>
      <c r="G125" s="1234"/>
      <c r="H125" s="1231"/>
      <c r="I125" s="1230"/>
      <c r="J125" s="1231"/>
      <c r="K125" s="1230"/>
      <c r="L125" s="1231"/>
      <c r="M125" s="1230"/>
      <c r="N125" s="1231"/>
      <c r="O125" s="1228"/>
      <c r="P125" s="1229"/>
      <c r="Q125" s="1230"/>
      <c r="R125" s="1231"/>
      <c r="S125" s="1230"/>
      <c r="T125" s="1231"/>
      <c r="U125" s="1212" t="str">
        <f t="shared" si="21"/>
        <v/>
      </c>
      <c r="V125" s="1213"/>
      <c r="W125" s="1213"/>
      <c r="X125" s="1213"/>
      <c r="Y125" s="1213"/>
      <c r="Z125" s="1213"/>
      <c r="AA125" s="467" t="str">
        <f t="shared" si="29"/>
        <v/>
      </c>
      <c r="AB125" s="467" t="str">
        <f t="shared" si="30"/>
        <v/>
      </c>
      <c r="AC125" s="467" t="str">
        <f t="shared" si="31"/>
        <v/>
      </c>
      <c r="AD125" s="467" t="str">
        <f t="shared" si="32"/>
        <v/>
      </c>
      <c r="AE125" s="468" t="str">
        <f t="shared" si="19"/>
        <v>○</v>
      </c>
      <c r="AF125" s="468" t="str">
        <f t="shared" si="20"/>
        <v/>
      </c>
      <c r="AG125" s="468" t="str">
        <f t="shared" si="22"/>
        <v/>
      </c>
      <c r="AH125" s="468" t="str">
        <f t="shared" si="23"/>
        <v/>
      </c>
      <c r="AI125" s="468" t="str">
        <f t="shared" si="24"/>
        <v/>
      </c>
      <c r="AJ125" s="468" t="str">
        <f t="shared" si="25"/>
        <v/>
      </c>
      <c r="AK125" s="468" t="str">
        <f t="shared" si="26"/>
        <v/>
      </c>
      <c r="AL125" s="468" t="str">
        <f t="shared" si="27"/>
        <v/>
      </c>
      <c r="AM125" s="468" t="str">
        <f t="shared" si="28"/>
        <v/>
      </c>
      <c r="AZ125" s="462"/>
      <c r="BA125" s="462"/>
    </row>
    <row r="126" spans="1:53" ht="13.5" hidden="1" customHeight="1">
      <c r="A126" s="1232">
        <v>116</v>
      </c>
      <c r="B126" s="1233"/>
      <c r="C126" s="1230"/>
      <c r="D126" s="1234"/>
      <c r="E126" s="1231"/>
      <c r="F126" s="1230"/>
      <c r="G126" s="1234"/>
      <c r="H126" s="1231"/>
      <c r="I126" s="1230"/>
      <c r="J126" s="1231"/>
      <c r="K126" s="1230"/>
      <c r="L126" s="1231"/>
      <c r="M126" s="1230"/>
      <c r="N126" s="1231"/>
      <c r="O126" s="1228"/>
      <c r="P126" s="1229"/>
      <c r="Q126" s="1230"/>
      <c r="R126" s="1231"/>
      <c r="S126" s="1230"/>
      <c r="T126" s="1231"/>
      <c r="U126" s="1212" t="str">
        <f t="shared" si="21"/>
        <v/>
      </c>
      <c r="V126" s="1213"/>
      <c r="W126" s="1213"/>
      <c r="X126" s="1213"/>
      <c r="Y126" s="1213"/>
      <c r="Z126" s="1213"/>
      <c r="AA126" s="467" t="str">
        <f t="shared" si="29"/>
        <v/>
      </c>
      <c r="AB126" s="467" t="str">
        <f t="shared" si="30"/>
        <v/>
      </c>
      <c r="AC126" s="467" t="str">
        <f t="shared" si="31"/>
        <v/>
      </c>
      <c r="AD126" s="467" t="str">
        <f t="shared" si="32"/>
        <v/>
      </c>
      <c r="AE126" s="468" t="str">
        <f t="shared" si="19"/>
        <v>○</v>
      </c>
      <c r="AF126" s="468" t="str">
        <f t="shared" si="20"/>
        <v/>
      </c>
      <c r="AG126" s="468" t="str">
        <f t="shared" si="22"/>
        <v/>
      </c>
      <c r="AH126" s="468" t="str">
        <f t="shared" si="23"/>
        <v/>
      </c>
      <c r="AI126" s="468" t="str">
        <f t="shared" si="24"/>
        <v/>
      </c>
      <c r="AJ126" s="468" t="str">
        <f t="shared" si="25"/>
        <v/>
      </c>
      <c r="AK126" s="468" t="str">
        <f t="shared" si="26"/>
        <v/>
      </c>
      <c r="AL126" s="468" t="str">
        <f t="shared" si="27"/>
        <v/>
      </c>
      <c r="AM126" s="468" t="str">
        <f t="shared" si="28"/>
        <v/>
      </c>
      <c r="AZ126" s="462"/>
      <c r="BA126" s="462"/>
    </row>
    <row r="127" spans="1:53" ht="13.5" hidden="1" customHeight="1">
      <c r="A127" s="1232">
        <v>117</v>
      </c>
      <c r="B127" s="1233"/>
      <c r="C127" s="1230"/>
      <c r="D127" s="1234"/>
      <c r="E127" s="1231"/>
      <c r="F127" s="1230"/>
      <c r="G127" s="1234"/>
      <c r="H127" s="1231"/>
      <c r="I127" s="1230"/>
      <c r="J127" s="1231"/>
      <c r="K127" s="1230"/>
      <c r="L127" s="1231"/>
      <c r="M127" s="1230"/>
      <c r="N127" s="1231"/>
      <c r="O127" s="1228"/>
      <c r="P127" s="1229"/>
      <c r="Q127" s="1230"/>
      <c r="R127" s="1231"/>
      <c r="S127" s="1230"/>
      <c r="T127" s="1231"/>
      <c r="U127" s="1212" t="str">
        <f t="shared" si="21"/>
        <v/>
      </c>
      <c r="V127" s="1213"/>
      <c r="W127" s="1213"/>
      <c r="X127" s="1213"/>
      <c r="Y127" s="1213"/>
      <c r="Z127" s="1213"/>
      <c r="AA127" s="467" t="str">
        <f t="shared" si="29"/>
        <v/>
      </c>
      <c r="AB127" s="467" t="str">
        <f t="shared" si="30"/>
        <v/>
      </c>
      <c r="AC127" s="467" t="str">
        <f t="shared" si="31"/>
        <v/>
      </c>
      <c r="AD127" s="467" t="str">
        <f t="shared" si="32"/>
        <v/>
      </c>
      <c r="AE127" s="468" t="str">
        <f t="shared" si="19"/>
        <v>○</v>
      </c>
      <c r="AF127" s="468" t="str">
        <f t="shared" si="20"/>
        <v/>
      </c>
      <c r="AG127" s="468" t="str">
        <f t="shared" si="22"/>
        <v/>
      </c>
      <c r="AH127" s="468" t="str">
        <f t="shared" si="23"/>
        <v/>
      </c>
      <c r="AI127" s="468" t="str">
        <f t="shared" si="24"/>
        <v/>
      </c>
      <c r="AJ127" s="468" t="str">
        <f t="shared" si="25"/>
        <v/>
      </c>
      <c r="AK127" s="468" t="str">
        <f t="shared" si="26"/>
        <v/>
      </c>
      <c r="AL127" s="468" t="str">
        <f t="shared" si="27"/>
        <v/>
      </c>
      <c r="AM127" s="468" t="str">
        <f t="shared" si="28"/>
        <v/>
      </c>
      <c r="AZ127" s="462"/>
      <c r="BA127" s="462"/>
    </row>
    <row r="128" spans="1:53" ht="13.5" hidden="1" customHeight="1">
      <c r="A128" s="1232">
        <v>118</v>
      </c>
      <c r="B128" s="1233"/>
      <c r="C128" s="1230"/>
      <c r="D128" s="1234"/>
      <c r="E128" s="1231"/>
      <c r="F128" s="1230"/>
      <c r="G128" s="1234"/>
      <c r="H128" s="1231"/>
      <c r="I128" s="1230"/>
      <c r="J128" s="1231"/>
      <c r="K128" s="1230"/>
      <c r="L128" s="1231"/>
      <c r="M128" s="1230"/>
      <c r="N128" s="1231"/>
      <c r="O128" s="1228"/>
      <c r="P128" s="1229"/>
      <c r="Q128" s="1230"/>
      <c r="R128" s="1231"/>
      <c r="S128" s="1230"/>
      <c r="T128" s="1231"/>
      <c r="U128" s="1212" t="str">
        <f t="shared" si="21"/>
        <v/>
      </c>
      <c r="V128" s="1213"/>
      <c r="W128" s="1213"/>
      <c r="X128" s="1213"/>
      <c r="Y128" s="1213"/>
      <c r="Z128" s="1213"/>
      <c r="AA128" s="467" t="str">
        <f t="shared" si="29"/>
        <v/>
      </c>
      <c r="AB128" s="467" t="str">
        <f t="shared" si="30"/>
        <v/>
      </c>
      <c r="AC128" s="467" t="str">
        <f t="shared" si="31"/>
        <v/>
      </c>
      <c r="AD128" s="467" t="str">
        <f t="shared" si="32"/>
        <v/>
      </c>
      <c r="AE128" s="468" t="str">
        <f t="shared" si="19"/>
        <v>○</v>
      </c>
      <c r="AF128" s="468" t="str">
        <f t="shared" si="20"/>
        <v/>
      </c>
      <c r="AG128" s="468" t="str">
        <f t="shared" si="22"/>
        <v/>
      </c>
      <c r="AH128" s="468" t="str">
        <f t="shared" si="23"/>
        <v/>
      </c>
      <c r="AI128" s="468" t="str">
        <f t="shared" si="24"/>
        <v/>
      </c>
      <c r="AJ128" s="468" t="str">
        <f t="shared" si="25"/>
        <v/>
      </c>
      <c r="AK128" s="468" t="str">
        <f t="shared" si="26"/>
        <v/>
      </c>
      <c r="AL128" s="468" t="str">
        <f t="shared" si="27"/>
        <v/>
      </c>
      <c r="AM128" s="468" t="str">
        <f t="shared" si="28"/>
        <v/>
      </c>
      <c r="AZ128" s="462"/>
      <c r="BA128" s="462"/>
    </row>
    <row r="129" spans="1:53" ht="13.5" hidden="1" customHeight="1">
      <c r="A129" s="1232">
        <v>119</v>
      </c>
      <c r="B129" s="1233"/>
      <c r="C129" s="1230"/>
      <c r="D129" s="1234"/>
      <c r="E129" s="1231"/>
      <c r="F129" s="1230"/>
      <c r="G129" s="1234"/>
      <c r="H129" s="1231"/>
      <c r="I129" s="1230"/>
      <c r="J129" s="1231"/>
      <c r="K129" s="1230"/>
      <c r="L129" s="1231"/>
      <c r="M129" s="1230"/>
      <c r="N129" s="1231"/>
      <c r="O129" s="1228"/>
      <c r="P129" s="1229"/>
      <c r="Q129" s="1230"/>
      <c r="R129" s="1231"/>
      <c r="S129" s="1230"/>
      <c r="T129" s="1231"/>
      <c r="U129" s="1212" t="str">
        <f t="shared" si="21"/>
        <v/>
      </c>
      <c r="V129" s="1213"/>
      <c r="W129" s="1213"/>
      <c r="X129" s="1213"/>
      <c r="Y129" s="1213"/>
      <c r="Z129" s="1213"/>
      <c r="AA129" s="467" t="str">
        <f t="shared" si="29"/>
        <v/>
      </c>
      <c r="AB129" s="467" t="str">
        <f t="shared" si="30"/>
        <v/>
      </c>
      <c r="AC129" s="467" t="str">
        <f t="shared" si="31"/>
        <v/>
      </c>
      <c r="AD129" s="467" t="str">
        <f t="shared" si="32"/>
        <v/>
      </c>
      <c r="AE129" s="468" t="str">
        <f t="shared" si="19"/>
        <v>○</v>
      </c>
      <c r="AF129" s="468" t="str">
        <f t="shared" si="20"/>
        <v/>
      </c>
      <c r="AG129" s="468" t="str">
        <f t="shared" si="22"/>
        <v/>
      </c>
      <c r="AH129" s="468" t="str">
        <f t="shared" si="23"/>
        <v/>
      </c>
      <c r="AI129" s="468" t="str">
        <f t="shared" si="24"/>
        <v/>
      </c>
      <c r="AJ129" s="468" t="str">
        <f t="shared" si="25"/>
        <v/>
      </c>
      <c r="AK129" s="468" t="str">
        <f t="shared" si="26"/>
        <v/>
      </c>
      <c r="AL129" s="468" t="str">
        <f t="shared" si="27"/>
        <v/>
      </c>
      <c r="AM129" s="468" t="str">
        <f t="shared" si="28"/>
        <v/>
      </c>
      <c r="AZ129" s="462"/>
      <c r="BA129" s="462"/>
    </row>
    <row r="130" spans="1:53" ht="13.5" hidden="1" customHeight="1">
      <c r="A130" s="1232">
        <v>120</v>
      </c>
      <c r="B130" s="1233"/>
      <c r="C130" s="1230"/>
      <c r="D130" s="1234"/>
      <c r="E130" s="1231"/>
      <c r="F130" s="1230"/>
      <c r="G130" s="1234"/>
      <c r="H130" s="1231"/>
      <c r="I130" s="1230"/>
      <c r="J130" s="1231"/>
      <c r="K130" s="1230"/>
      <c r="L130" s="1231"/>
      <c r="M130" s="1230"/>
      <c r="N130" s="1231"/>
      <c r="O130" s="1228"/>
      <c r="P130" s="1229"/>
      <c r="Q130" s="1230"/>
      <c r="R130" s="1231"/>
      <c r="S130" s="1230"/>
      <c r="T130" s="1231"/>
      <c r="U130" s="1212" t="str">
        <f t="shared" si="21"/>
        <v/>
      </c>
      <c r="V130" s="1213"/>
      <c r="W130" s="1213"/>
      <c r="X130" s="1213"/>
      <c r="Y130" s="1213"/>
      <c r="Z130" s="1213"/>
      <c r="AA130" s="467" t="str">
        <f t="shared" si="29"/>
        <v/>
      </c>
      <c r="AB130" s="467" t="str">
        <f t="shared" si="30"/>
        <v/>
      </c>
      <c r="AC130" s="467" t="str">
        <f t="shared" si="31"/>
        <v/>
      </c>
      <c r="AD130" s="467" t="str">
        <f t="shared" si="32"/>
        <v/>
      </c>
      <c r="AE130" s="468" t="str">
        <f t="shared" si="19"/>
        <v>○</v>
      </c>
      <c r="AF130" s="468" t="str">
        <f t="shared" si="20"/>
        <v/>
      </c>
      <c r="AG130" s="468" t="str">
        <f t="shared" si="22"/>
        <v/>
      </c>
      <c r="AH130" s="468" t="str">
        <f t="shared" si="23"/>
        <v/>
      </c>
      <c r="AI130" s="468" t="str">
        <f t="shared" si="24"/>
        <v/>
      </c>
      <c r="AJ130" s="468" t="str">
        <f t="shared" si="25"/>
        <v/>
      </c>
      <c r="AK130" s="468" t="str">
        <f t="shared" si="26"/>
        <v/>
      </c>
      <c r="AL130" s="468" t="str">
        <f t="shared" si="27"/>
        <v/>
      </c>
      <c r="AM130" s="468" t="str">
        <f t="shared" si="28"/>
        <v/>
      </c>
      <c r="AZ130" s="462"/>
      <c r="BA130" s="462"/>
    </row>
    <row r="131" spans="1:53" ht="13.5" customHeight="1">
      <c r="A131" s="473"/>
      <c r="B131" s="474"/>
      <c r="C131" s="474"/>
      <c r="D131" s="474"/>
      <c r="E131" s="474"/>
      <c r="F131" s="474"/>
      <c r="G131" s="474"/>
      <c r="H131" s="474"/>
      <c r="I131" s="474"/>
      <c r="J131" s="474"/>
      <c r="K131" s="474"/>
      <c r="L131" s="474"/>
      <c r="M131" s="474"/>
      <c r="N131" s="474"/>
      <c r="O131" s="473"/>
      <c r="P131" s="473"/>
      <c r="Q131" s="475"/>
      <c r="R131" s="476"/>
      <c r="S131" s="477"/>
      <c r="T131" s="478"/>
      <c r="U131" s="479"/>
      <c r="V131" s="480"/>
      <c r="W131" s="480"/>
      <c r="X131" s="480"/>
      <c r="Y131" s="480"/>
      <c r="Z131" s="480"/>
    </row>
    <row r="132" spans="1:53" ht="13.5" customHeight="1">
      <c r="A132" s="481" t="s">
        <v>582</v>
      </c>
      <c r="B132" s="482"/>
      <c r="C132" s="482"/>
      <c r="D132" s="482"/>
      <c r="E132" s="482"/>
      <c r="F132" s="482"/>
      <c r="G132" s="482"/>
      <c r="H132" s="482"/>
      <c r="I132" s="482"/>
      <c r="J132" s="482"/>
      <c r="K132" s="482"/>
      <c r="L132" s="482"/>
      <c r="M132" s="482"/>
      <c r="N132" s="482"/>
      <c r="O132" s="1253" t="s">
        <v>583</v>
      </c>
      <c r="P132" s="1254"/>
      <c r="Q132" s="1253" t="s">
        <v>584</v>
      </c>
      <c r="R132" s="1254"/>
      <c r="S132" s="1218" t="s">
        <v>585</v>
      </c>
      <c r="T132" s="1218"/>
      <c r="U132" s="1217" t="s">
        <v>586</v>
      </c>
      <c r="V132" s="1255"/>
      <c r="AE132" s="483"/>
      <c r="AF132" s="483"/>
      <c r="AG132" s="483"/>
      <c r="AH132" s="483"/>
      <c r="AI132" s="483"/>
      <c r="AJ132" s="483"/>
      <c r="AK132" s="483"/>
      <c r="AL132" s="483"/>
      <c r="AM132" s="483"/>
      <c r="AZ132" s="462"/>
      <c r="BA132" s="462"/>
    </row>
    <row r="133" spans="1:53" ht="13.5" customHeight="1">
      <c r="A133" s="1256" t="s">
        <v>627</v>
      </c>
      <c r="B133" s="1257"/>
      <c r="C133" s="1257"/>
      <c r="D133" s="1257"/>
      <c r="E133" s="1257"/>
      <c r="F133" s="1257"/>
      <c r="G133" s="1257"/>
      <c r="H133" s="1257"/>
      <c r="I133" s="1257"/>
      <c r="J133" s="1257"/>
      <c r="K133" s="1257"/>
      <c r="L133" s="1257"/>
      <c r="M133" s="1257"/>
      <c r="N133" s="1257"/>
      <c r="O133" s="1260">
        <f>COUNTIF(AF11:AF130,"○")</f>
        <v>0</v>
      </c>
      <c r="P133" s="1261"/>
      <c r="Q133" s="1260">
        <f>COUNTIF(AG11:AG130,"○")</f>
        <v>0</v>
      </c>
      <c r="R133" s="1261"/>
      <c r="S133" s="1260">
        <f>COUNTIF(AH11:AH130,"○")</f>
        <v>0</v>
      </c>
      <c r="T133" s="1261"/>
      <c r="U133" s="1260">
        <f>COUNTIF(AI11:AI130,"○")</f>
        <v>0</v>
      </c>
      <c r="V133" s="1261"/>
      <c r="W133" s="484"/>
      <c r="X133" s="484"/>
      <c r="Y133" s="484"/>
      <c r="Z133" s="484"/>
      <c r="AA133" s="485"/>
      <c r="AB133" s="485"/>
      <c r="AC133" s="483"/>
      <c r="AD133" s="483"/>
      <c r="AE133" s="483"/>
      <c r="AF133" s="483"/>
      <c r="AG133" s="483"/>
      <c r="AH133" s="483"/>
      <c r="AI133" s="483"/>
      <c r="AJ133" s="483"/>
      <c r="AK133" s="483"/>
      <c r="AL133" s="483"/>
      <c r="AM133" s="483"/>
      <c r="AZ133" s="462"/>
      <c r="BA133" s="462"/>
    </row>
    <row r="134" spans="1:53" ht="13.5" customHeight="1">
      <c r="A134" s="1258"/>
      <c r="B134" s="1259"/>
      <c r="C134" s="1259"/>
      <c r="D134" s="1259"/>
      <c r="E134" s="1259"/>
      <c r="F134" s="1259"/>
      <c r="G134" s="1259"/>
      <c r="H134" s="1259"/>
      <c r="I134" s="1259"/>
      <c r="J134" s="1259"/>
      <c r="K134" s="1259"/>
      <c r="L134" s="1259"/>
      <c r="M134" s="1259"/>
      <c r="N134" s="1259"/>
      <c r="O134" s="1262"/>
      <c r="P134" s="1263"/>
      <c r="Q134" s="1262"/>
      <c r="R134" s="1263"/>
      <c r="S134" s="1262"/>
      <c r="T134" s="1263"/>
      <c r="U134" s="1262"/>
      <c r="V134" s="1263"/>
      <c r="W134" s="484"/>
      <c r="X134" s="484"/>
      <c r="Y134" s="484"/>
      <c r="Z134" s="484"/>
      <c r="AA134" s="485"/>
      <c r="AB134" s="485"/>
      <c r="AC134" s="483"/>
      <c r="AD134" s="483"/>
      <c r="AE134" s="483"/>
      <c r="AF134" s="483"/>
      <c r="AG134" s="483"/>
      <c r="AH134" s="483"/>
      <c r="AI134" s="483"/>
      <c r="AJ134" s="483"/>
      <c r="AK134" s="483"/>
      <c r="AL134" s="483"/>
      <c r="AM134" s="483"/>
      <c r="AZ134" s="462"/>
      <c r="BA134" s="462"/>
    </row>
    <row r="135" spans="1:53" ht="13.5" customHeight="1">
      <c r="A135" s="1256" t="s">
        <v>628</v>
      </c>
      <c r="B135" s="1257"/>
      <c r="C135" s="1257"/>
      <c r="D135" s="1257"/>
      <c r="E135" s="1257"/>
      <c r="F135" s="1257"/>
      <c r="G135" s="1257"/>
      <c r="H135" s="1257"/>
      <c r="I135" s="1257"/>
      <c r="J135" s="1257"/>
      <c r="K135" s="1257"/>
      <c r="L135" s="1257"/>
      <c r="M135" s="1257"/>
      <c r="N135" s="1257"/>
      <c r="O135" s="1260">
        <f>COUNTIF(AJ11:AJ130,"○")</f>
        <v>0</v>
      </c>
      <c r="P135" s="1261"/>
      <c r="Q135" s="1260">
        <f>COUNTIF(AK11:AK130,"○")</f>
        <v>0</v>
      </c>
      <c r="R135" s="1261"/>
      <c r="S135" s="1260">
        <f>COUNTIF(AL11:AL130,"○")</f>
        <v>0</v>
      </c>
      <c r="T135" s="1261"/>
      <c r="U135" s="1260">
        <f>COUNTIF(AM11:AM130,"○")</f>
        <v>0</v>
      </c>
      <c r="V135" s="1261"/>
      <c r="W135" s="484"/>
      <c r="X135" s="484"/>
      <c r="Y135" s="484"/>
      <c r="Z135" s="484"/>
      <c r="AA135" s="485"/>
      <c r="AB135" s="485"/>
      <c r="AC135" s="483"/>
      <c r="AD135" s="483"/>
      <c r="AE135" s="483"/>
      <c r="AF135" s="483"/>
      <c r="AG135" s="483"/>
      <c r="AH135" s="483"/>
      <c r="AI135" s="483"/>
      <c r="AJ135" s="483"/>
      <c r="AK135" s="483"/>
      <c r="AL135" s="483"/>
      <c r="AM135" s="483"/>
      <c r="AZ135" s="462"/>
      <c r="BA135" s="462"/>
    </row>
    <row r="136" spans="1:53" ht="13.5" customHeight="1">
      <c r="A136" s="1258"/>
      <c r="B136" s="1259"/>
      <c r="C136" s="1259"/>
      <c r="D136" s="1259"/>
      <c r="E136" s="1259"/>
      <c r="F136" s="1259"/>
      <c r="G136" s="1259"/>
      <c r="H136" s="1259"/>
      <c r="I136" s="1259"/>
      <c r="J136" s="1259"/>
      <c r="K136" s="1259"/>
      <c r="L136" s="1259"/>
      <c r="M136" s="1259"/>
      <c r="N136" s="1259"/>
      <c r="O136" s="1262"/>
      <c r="P136" s="1263"/>
      <c r="Q136" s="1262"/>
      <c r="R136" s="1263"/>
      <c r="S136" s="1262"/>
      <c r="T136" s="1263"/>
      <c r="U136" s="1262"/>
      <c r="V136" s="1263"/>
      <c r="W136" s="484"/>
      <c r="X136" s="484"/>
      <c r="Y136" s="484"/>
      <c r="Z136" s="484"/>
      <c r="AA136" s="485"/>
      <c r="AB136" s="485"/>
      <c r="AC136" s="483"/>
      <c r="AD136" s="483"/>
      <c r="AE136" s="483"/>
      <c r="AF136" s="483"/>
      <c r="AG136" s="483"/>
      <c r="AH136" s="483"/>
      <c r="AI136" s="483"/>
      <c r="AJ136" s="483"/>
      <c r="AK136" s="483"/>
      <c r="AL136" s="483"/>
      <c r="AM136" s="483"/>
      <c r="AZ136" s="462"/>
      <c r="BA136" s="462"/>
    </row>
    <row r="137" spans="1:53" ht="13.5" customHeight="1">
      <c r="A137" s="1256" t="s">
        <v>587</v>
      </c>
      <c r="B137" s="1257"/>
      <c r="C137" s="1257"/>
      <c r="D137" s="1257"/>
      <c r="E137" s="1257"/>
      <c r="F137" s="1257"/>
      <c r="G137" s="1257"/>
      <c r="H137" s="1257"/>
      <c r="I137" s="1257"/>
      <c r="J137" s="1257"/>
      <c r="K137" s="1257"/>
      <c r="L137" s="1257"/>
      <c r="M137" s="1257"/>
      <c r="N137" s="1257"/>
      <c r="O137" s="1260">
        <f>COUNTIF(I11:J130,"５歳")-O133-O135</f>
        <v>0</v>
      </c>
      <c r="P137" s="1261"/>
      <c r="Q137" s="1260">
        <f>COUNTIF(I11:J130,"４歳")-Q133-Q135</f>
        <v>0</v>
      </c>
      <c r="R137" s="1261"/>
      <c r="S137" s="1260">
        <f>COUNTIF(I11:J130,"３歳")-S133-S135</f>
        <v>0</v>
      </c>
      <c r="T137" s="1261"/>
      <c r="U137" s="1260">
        <f>COUNTIF(I11:J130,"満３歳")-U133-U135</f>
        <v>0</v>
      </c>
      <c r="V137" s="1261"/>
      <c r="W137" s="484"/>
      <c r="X137" s="484"/>
      <c r="Y137" s="484"/>
      <c r="Z137" s="484"/>
      <c r="AA137" s="485"/>
      <c r="AB137" s="485"/>
      <c r="AC137" s="483"/>
      <c r="AD137" s="483"/>
      <c r="AE137" s="483"/>
      <c r="AF137" s="483"/>
      <c r="AG137" s="483"/>
      <c r="AH137" s="483"/>
      <c r="AI137" s="483"/>
      <c r="AJ137" s="483"/>
      <c r="AK137" s="483"/>
      <c r="AL137" s="483"/>
      <c r="AM137" s="483"/>
      <c r="AZ137" s="462"/>
      <c r="BA137" s="462"/>
    </row>
    <row r="138" spans="1:53" ht="13.5" customHeight="1">
      <c r="A138" s="1258"/>
      <c r="B138" s="1259"/>
      <c r="C138" s="1259"/>
      <c r="D138" s="1259"/>
      <c r="E138" s="1259"/>
      <c r="F138" s="1259"/>
      <c r="G138" s="1259"/>
      <c r="H138" s="1259"/>
      <c r="I138" s="1259"/>
      <c r="J138" s="1259"/>
      <c r="K138" s="1259"/>
      <c r="L138" s="1259"/>
      <c r="M138" s="1259"/>
      <c r="N138" s="1259"/>
      <c r="O138" s="1262"/>
      <c r="P138" s="1263"/>
      <c r="Q138" s="1262"/>
      <c r="R138" s="1263"/>
      <c r="S138" s="1262"/>
      <c r="T138" s="1263"/>
      <c r="U138" s="1262"/>
      <c r="V138" s="1263"/>
      <c r="W138" s="484"/>
      <c r="X138" s="484"/>
      <c r="Y138" s="484"/>
      <c r="Z138" s="484"/>
      <c r="AA138" s="485"/>
      <c r="AB138" s="485"/>
      <c r="AC138" s="483"/>
      <c r="AD138" s="483"/>
      <c r="AE138" s="486"/>
      <c r="AF138" s="486"/>
      <c r="AG138" s="486"/>
      <c r="AH138" s="486"/>
      <c r="AI138" s="486"/>
      <c r="AJ138" s="486"/>
      <c r="AK138" s="486"/>
      <c r="AL138" s="486"/>
      <c r="AM138" s="486"/>
      <c r="AZ138" s="462"/>
      <c r="BA138" s="462"/>
    </row>
    <row r="139" spans="1:53" ht="13.5" customHeight="1">
      <c r="A139" s="487"/>
      <c r="B139" s="487"/>
      <c r="C139" s="487"/>
      <c r="D139" s="487"/>
      <c r="E139" s="487"/>
      <c r="F139" s="487"/>
      <c r="G139" s="487"/>
      <c r="H139" s="487"/>
      <c r="I139" s="487"/>
      <c r="J139" s="487"/>
      <c r="K139" s="487"/>
      <c r="L139" s="487"/>
      <c r="M139" s="487"/>
      <c r="N139" s="487"/>
      <c r="O139" s="487"/>
      <c r="P139" s="487"/>
      <c r="Q139" s="488"/>
      <c r="R139" s="488"/>
      <c r="S139" s="488"/>
      <c r="T139" s="488"/>
      <c r="U139" s="488"/>
      <c r="V139" s="488"/>
      <c r="W139" s="474"/>
      <c r="X139" s="474"/>
      <c r="Y139" s="474"/>
      <c r="Z139" s="474"/>
      <c r="AA139" s="486"/>
      <c r="AB139" s="486"/>
      <c r="AC139" s="486"/>
      <c r="AD139" s="486"/>
      <c r="AE139" s="486"/>
      <c r="AF139" s="486"/>
      <c r="AG139" s="486"/>
      <c r="AH139" s="486"/>
      <c r="AI139" s="486"/>
      <c r="AJ139" s="486"/>
      <c r="AK139" s="486"/>
      <c r="AL139" s="486"/>
      <c r="AM139" s="486"/>
      <c r="AZ139" s="462"/>
      <c r="BA139" s="462"/>
    </row>
    <row r="140" spans="1:53" ht="13.5" customHeight="1">
      <c r="A140" s="481" t="s">
        <v>588</v>
      </c>
      <c r="B140" s="482"/>
      <c r="C140" s="482"/>
      <c r="D140" s="482"/>
      <c r="E140" s="482"/>
      <c r="F140" s="482"/>
      <c r="G140" s="482"/>
      <c r="H140" s="489"/>
      <c r="I140" s="489"/>
      <c r="J140" s="489"/>
      <c r="K140" s="489"/>
      <c r="L140" s="489"/>
      <c r="M140" s="489"/>
      <c r="N140" s="489"/>
      <c r="O140" s="1253" t="s">
        <v>583</v>
      </c>
      <c r="P140" s="1254"/>
      <c r="Q140" s="1253" t="s">
        <v>584</v>
      </c>
      <c r="R140" s="1254"/>
      <c r="S140" s="1218" t="s">
        <v>585</v>
      </c>
      <c r="T140" s="1218"/>
      <c r="U140" s="1217" t="s">
        <v>586</v>
      </c>
      <c r="V140" s="1255"/>
      <c r="AA140" s="486"/>
      <c r="AB140" s="486"/>
      <c r="AC140" s="486"/>
      <c r="AD140" s="486"/>
      <c r="AE140" s="490"/>
      <c r="AF140" s="490"/>
      <c r="AG140" s="490"/>
      <c r="AH140" s="490"/>
      <c r="AI140" s="490"/>
      <c r="AJ140" s="490"/>
      <c r="AK140" s="490"/>
      <c r="AL140" s="490"/>
      <c r="AM140" s="490"/>
      <c r="AZ140" s="462"/>
      <c r="BA140" s="462"/>
    </row>
    <row r="141" spans="1:53" ht="13.5" customHeight="1">
      <c r="A141" s="1271" t="s">
        <v>589</v>
      </c>
      <c r="B141" s="1272"/>
      <c r="C141" s="1272"/>
      <c r="D141" s="1272"/>
      <c r="E141" s="1272"/>
      <c r="F141" s="1272"/>
      <c r="G141" s="1272"/>
      <c r="H141" s="1272"/>
      <c r="I141" s="1272"/>
      <c r="J141" s="1272"/>
      <c r="K141" s="1272"/>
      <c r="L141" s="1272"/>
      <c r="M141" s="1272"/>
      <c r="N141" s="1273"/>
      <c r="O141" s="1264"/>
      <c r="P141" s="1265"/>
      <c r="Q141" s="1274"/>
      <c r="R141" s="1265"/>
      <c r="S141" s="1264"/>
      <c r="T141" s="1265"/>
      <c r="U141" s="1264"/>
      <c r="V141" s="1265"/>
      <c r="W141" s="500"/>
      <c r="X141" s="500"/>
      <c r="Y141" s="500"/>
      <c r="Z141" s="500"/>
      <c r="AA141" s="490" t="s">
        <v>120</v>
      </c>
      <c r="AB141" s="490"/>
      <c r="AC141" s="490"/>
      <c r="AD141" s="490"/>
      <c r="AE141" s="490"/>
      <c r="AF141" s="490"/>
      <c r="AG141" s="490"/>
      <c r="AH141" s="490"/>
      <c r="AI141" s="490"/>
      <c r="AJ141" s="490"/>
      <c r="AK141" s="490"/>
      <c r="AL141" s="490"/>
      <c r="AM141" s="490"/>
      <c r="AZ141" s="462"/>
      <c r="BA141" s="462"/>
    </row>
    <row r="142" spans="1:53" ht="13.5" customHeight="1">
      <c r="A142" s="1266" t="s">
        <v>590</v>
      </c>
      <c r="B142" s="1267"/>
      <c r="C142" s="1267"/>
      <c r="D142" s="1267"/>
      <c r="E142" s="1267"/>
      <c r="F142" s="1267"/>
      <c r="G142" s="1267"/>
      <c r="H142" s="1267"/>
      <c r="I142" s="1267"/>
      <c r="J142" s="1267"/>
      <c r="K142" s="1267"/>
      <c r="L142" s="1267"/>
      <c r="M142" s="1267"/>
      <c r="N142" s="1268"/>
      <c r="O142" s="1269"/>
      <c r="P142" s="1270"/>
      <c r="Q142" s="1269"/>
      <c r="R142" s="1270"/>
      <c r="S142" s="1269"/>
      <c r="T142" s="1270"/>
      <c r="U142" s="1269"/>
      <c r="V142" s="1270"/>
      <c r="W142" s="500"/>
      <c r="X142" s="500"/>
      <c r="Y142" s="500"/>
      <c r="Z142" s="500"/>
      <c r="AA142" s="490"/>
      <c r="AB142" s="490"/>
      <c r="AC142" s="490"/>
      <c r="AD142" s="490"/>
      <c r="AE142" s="490"/>
      <c r="AF142" s="490"/>
      <c r="AG142" s="490"/>
      <c r="AH142" s="490"/>
      <c r="AI142" s="490"/>
      <c r="AJ142" s="490"/>
      <c r="AK142" s="490"/>
      <c r="AL142" s="490"/>
      <c r="AM142" s="490"/>
      <c r="AZ142" s="462"/>
      <c r="BA142" s="462"/>
    </row>
    <row r="143" spans="1:53" ht="13.5" customHeight="1">
      <c r="A143" s="1271" t="s">
        <v>589</v>
      </c>
      <c r="B143" s="1272"/>
      <c r="C143" s="1272"/>
      <c r="D143" s="1272"/>
      <c r="E143" s="1272"/>
      <c r="F143" s="1272"/>
      <c r="G143" s="1272"/>
      <c r="H143" s="1272"/>
      <c r="I143" s="1272"/>
      <c r="J143" s="1272"/>
      <c r="K143" s="1272"/>
      <c r="L143" s="1272"/>
      <c r="M143" s="1272"/>
      <c r="N143" s="1273"/>
      <c r="O143" s="1264"/>
      <c r="P143" s="1265"/>
      <c r="Q143" s="1264"/>
      <c r="R143" s="1265"/>
      <c r="S143" s="1264"/>
      <c r="T143" s="1265"/>
      <c r="U143" s="1264"/>
      <c r="V143" s="1265"/>
      <c r="W143" s="500"/>
      <c r="X143" s="500"/>
      <c r="Y143" s="500"/>
      <c r="Z143" s="500"/>
      <c r="AA143" s="490" t="s">
        <v>121</v>
      </c>
      <c r="AB143" s="490"/>
      <c r="AC143" s="490"/>
      <c r="AD143" s="490"/>
      <c r="AE143" s="490"/>
      <c r="AF143" s="490"/>
      <c r="AG143" s="490"/>
      <c r="AH143" s="490"/>
      <c r="AI143" s="490"/>
      <c r="AJ143" s="490"/>
      <c r="AK143" s="490"/>
      <c r="AL143" s="490"/>
      <c r="AM143" s="490"/>
      <c r="AZ143" s="462"/>
      <c r="BA143" s="462"/>
    </row>
    <row r="144" spans="1:53" ht="13.5" customHeight="1">
      <c r="A144" s="1266" t="s">
        <v>645</v>
      </c>
      <c r="B144" s="1267"/>
      <c r="C144" s="1267"/>
      <c r="D144" s="1267"/>
      <c r="E144" s="1267"/>
      <c r="F144" s="1267"/>
      <c r="G144" s="1267"/>
      <c r="H144" s="1267"/>
      <c r="I144" s="1267"/>
      <c r="J144" s="1267"/>
      <c r="K144" s="1267"/>
      <c r="L144" s="1267"/>
      <c r="M144" s="1267"/>
      <c r="N144" s="1268"/>
      <c r="O144" s="1269"/>
      <c r="P144" s="1270"/>
      <c r="Q144" s="1269"/>
      <c r="R144" s="1270"/>
      <c r="S144" s="1269"/>
      <c r="T144" s="1270"/>
      <c r="U144" s="1269"/>
      <c r="V144" s="1270"/>
      <c r="W144" s="500"/>
      <c r="X144" s="500"/>
      <c r="Y144" s="500"/>
      <c r="Z144" s="500"/>
      <c r="AA144" s="490"/>
      <c r="AB144" s="490"/>
      <c r="AC144" s="490"/>
      <c r="AD144" s="490"/>
      <c r="AE144" s="490"/>
      <c r="AF144" s="490"/>
      <c r="AG144" s="490"/>
      <c r="AH144" s="490"/>
      <c r="AI144" s="490"/>
      <c r="AJ144" s="490"/>
      <c r="AK144" s="490"/>
      <c r="AL144" s="490"/>
      <c r="AM144" s="490"/>
      <c r="AZ144" s="462"/>
      <c r="BA144" s="462"/>
    </row>
    <row r="145" spans="1:53" ht="13.5" customHeight="1">
      <c r="A145" s="1271" t="s">
        <v>589</v>
      </c>
      <c r="B145" s="1272"/>
      <c r="C145" s="1272"/>
      <c r="D145" s="1272"/>
      <c r="E145" s="1272"/>
      <c r="F145" s="1272"/>
      <c r="G145" s="1272"/>
      <c r="H145" s="1272"/>
      <c r="I145" s="1272"/>
      <c r="J145" s="1272"/>
      <c r="K145" s="1272"/>
      <c r="L145" s="1272"/>
      <c r="M145" s="1272"/>
      <c r="N145" s="1273"/>
      <c r="O145" s="1264"/>
      <c r="P145" s="1265"/>
      <c r="Q145" s="1264"/>
      <c r="R145" s="1265"/>
      <c r="S145" s="1264"/>
      <c r="T145" s="1265"/>
      <c r="U145" s="1264"/>
      <c r="V145" s="1265"/>
      <c r="W145" s="500"/>
      <c r="X145" s="500"/>
      <c r="Y145" s="500"/>
      <c r="Z145" s="500"/>
      <c r="AA145" s="490" t="s">
        <v>132</v>
      </c>
      <c r="AB145" s="490"/>
      <c r="AC145" s="490"/>
      <c r="AD145" s="490"/>
      <c r="AE145" s="490"/>
      <c r="AF145" s="490"/>
      <c r="AG145" s="490"/>
      <c r="AH145" s="490"/>
      <c r="AI145" s="490"/>
      <c r="AJ145" s="490"/>
      <c r="AK145" s="490"/>
      <c r="AL145" s="490"/>
      <c r="AM145" s="490"/>
      <c r="AZ145" s="462"/>
      <c r="BA145" s="462"/>
    </row>
    <row r="146" spans="1:53" ht="13.5" customHeight="1">
      <c r="A146" s="1266" t="s">
        <v>646</v>
      </c>
      <c r="B146" s="1267"/>
      <c r="C146" s="1267"/>
      <c r="D146" s="1267"/>
      <c r="E146" s="1267"/>
      <c r="F146" s="1267"/>
      <c r="G146" s="1267"/>
      <c r="H146" s="1267"/>
      <c r="I146" s="1267"/>
      <c r="J146" s="1267"/>
      <c r="K146" s="1267"/>
      <c r="L146" s="1267"/>
      <c r="M146" s="1267"/>
      <c r="N146" s="1268"/>
      <c r="O146" s="1269"/>
      <c r="P146" s="1270"/>
      <c r="Q146" s="1269"/>
      <c r="R146" s="1270"/>
      <c r="S146" s="1269"/>
      <c r="T146" s="1270"/>
      <c r="U146" s="1269"/>
      <c r="V146" s="1270"/>
      <c r="W146" s="500"/>
      <c r="X146" s="500"/>
      <c r="Y146" s="500"/>
      <c r="Z146" s="500"/>
      <c r="AA146" s="490"/>
      <c r="AB146" s="490"/>
      <c r="AC146" s="490"/>
      <c r="AD146" s="490"/>
      <c r="AE146" s="490"/>
      <c r="AF146" s="490"/>
      <c r="AG146" s="490"/>
      <c r="AH146" s="490"/>
      <c r="AI146" s="490"/>
      <c r="AJ146" s="490"/>
      <c r="AK146" s="490"/>
      <c r="AL146" s="490"/>
      <c r="AM146" s="490"/>
      <c r="AZ146" s="462"/>
      <c r="BA146" s="462"/>
    </row>
    <row r="147" spans="1:53" ht="13.5" customHeight="1">
      <c r="A147" s="1271" t="s">
        <v>589</v>
      </c>
      <c r="B147" s="1272"/>
      <c r="C147" s="1272"/>
      <c r="D147" s="1272"/>
      <c r="E147" s="1272"/>
      <c r="F147" s="1272"/>
      <c r="G147" s="1272"/>
      <c r="H147" s="1272"/>
      <c r="I147" s="1272"/>
      <c r="J147" s="1272"/>
      <c r="K147" s="1272"/>
      <c r="L147" s="1272"/>
      <c r="M147" s="1272"/>
      <c r="N147" s="1273"/>
      <c r="O147" s="1264"/>
      <c r="P147" s="1265"/>
      <c r="Q147" s="1264"/>
      <c r="R147" s="1265"/>
      <c r="S147" s="1264"/>
      <c r="T147" s="1265"/>
      <c r="U147" s="1264"/>
      <c r="V147" s="1265"/>
      <c r="W147" s="500"/>
      <c r="X147" s="500"/>
      <c r="Y147" s="500"/>
      <c r="Z147" s="500"/>
      <c r="AA147" s="490" t="s">
        <v>575</v>
      </c>
      <c r="AB147" s="490"/>
      <c r="AC147" s="490"/>
      <c r="AD147" s="490"/>
      <c r="AE147" s="490"/>
      <c r="AF147" s="490"/>
      <c r="AG147" s="490"/>
      <c r="AH147" s="490"/>
      <c r="AI147" s="490"/>
      <c r="AJ147" s="490"/>
      <c r="AK147" s="490"/>
      <c r="AL147" s="490"/>
      <c r="AM147" s="490"/>
      <c r="AZ147" s="462"/>
      <c r="BA147" s="462"/>
    </row>
    <row r="148" spans="1:53" ht="13.5" customHeight="1">
      <c r="A148" s="1266" t="s">
        <v>647</v>
      </c>
      <c r="B148" s="1267"/>
      <c r="C148" s="1267"/>
      <c r="D148" s="1267"/>
      <c r="E148" s="1267"/>
      <c r="F148" s="1267"/>
      <c r="G148" s="1267"/>
      <c r="H148" s="1267"/>
      <c r="I148" s="1267"/>
      <c r="J148" s="1267"/>
      <c r="K148" s="1267"/>
      <c r="L148" s="1267"/>
      <c r="M148" s="1267"/>
      <c r="N148" s="1268"/>
      <c r="O148" s="1269"/>
      <c r="P148" s="1270"/>
      <c r="Q148" s="1269"/>
      <c r="R148" s="1270"/>
      <c r="S148" s="1269"/>
      <c r="T148" s="1270"/>
      <c r="U148" s="1269"/>
      <c r="V148" s="1270"/>
      <c r="W148" s="500"/>
      <c r="X148" s="500"/>
      <c r="Y148" s="500"/>
      <c r="Z148" s="500"/>
      <c r="AA148" s="490"/>
      <c r="AB148" s="490"/>
      <c r="AC148" s="490"/>
      <c r="AD148" s="490"/>
      <c r="AZ148" s="462"/>
      <c r="BA148" s="462"/>
    </row>
    <row r="149" spans="1:53" ht="13.5" customHeight="1"/>
    <row r="150" spans="1:53" ht="13.5" customHeight="1"/>
    <row r="151" spans="1:53" ht="13.5" customHeight="1"/>
    <row r="152" spans="1:53" ht="13.5" customHeight="1"/>
    <row r="153" spans="1:53" ht="13.5" customHeight="1"/>
    <row r="154" spans="1:53" ht="13.5" customHeight="1"/>
    <row r="155" spans="1:53" ht="13.5" customHeight="1"/>
    <row r="156" spans="1:53" ht="13.5" customHeight="1"/>
    <row r="157" spans="1:53" ht="13.5" customHeight="1"/>
    <row r="158" spans="1:53" ht="13.5" customHeight="1"/>
    <row r="159" spans="1:53" ht="13.5" customHeight="1"/>
    <row r="160" spans="1:53"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mergeCells count="1292">
    <mergeCell ref="O132:P132"/>
    <mergeCell ref="Q132:R132"/>
    <mergeCell ref="S132:T132"/>
    <mergeCell ref="U132:V132"/>
    <mergeCell ref="A137:N138"/>
    <mergeCell ref="O137:P138"/>
    <mergeCell ref="Q137:R138"/>
    <mergeCell ref="S137:T138"/>
    <mergeCell ref="U137:V138"/>
    <mergeCell ref="O140:P140"/>
    <mergeCell ref="A147:N147"/>
    <mergeCell ref="O147:P147"/>
    <mergeCell ref="Q147:R147"/>
    <mergeCell ref="S147:T147"/>
    <mergeCell ref="U147:V147"/>
    <mergeCell ref="A148:N148"/>
    <mergeCell ref="O148:P148"/>
    <mergeCell ref="Q148:R148"/>
    <mergeCell ref="S148:T148"/>
    <mergeCell ref="U148:V148"/>
    <mergeCell ref="A145:N145"/>
    <mergeCell ref="O145:P145"/>
    <mergeCell ref="Q145:R145"/>
    <mergeCell ref="S145:T145"/>
    <mergeCell ref="U145:V145"/>
    <mergeCell ref="A146:N146"/>
    <mergeCell ref="O146:P146"/>
    <mergeCell ref="Q146:R146"/>
    <mergeCell ref="S146:T146"/>
    <mergeCell ref="U146:V146"/>
    <mergeCell ref="A143:N143"/>
    <mergeCell ref="O143:P143"/>
    <mergeCell ref="Q143:R143"/>
    <mergeCell ref="S143:T143"/>
    <mergeCell ref="U143:V143"/>
    <mergeCell ref="A144:N144"/>
    <mergeCell ref="O144:P144"/>
    <mergeCell ref="Q144:R144"/>
    <mergeCell ref="S144:T144"/>
    <mergeCell ref="U144:V144"/>
    <mergeCell ref="A141:N141"/>
    <mergeCell ref="O141:P141"/>
    <mergeCell ref="Q141:R141"/>
    <mergeCell ref="S141:T141"/>
    <mergeCell ref="U141:V141"/>
    <mergeCell ref="A142:N142"/>
    <mergeCell ref="O142:P142"/>
    <mergeCell ref="Q142:R142"/>
    <mergeCell ref="S142:T142"/>
    <mergeCell ref="U142:V142"/>
    <mergeCell ref="Q140:R140"/>
    <mergeCell ref="S140:T140"/>
    <mergeCell ref="U140:V140"/>
    <mergeCell ref="A133:N134"/>
    <mergeCell ref="O133:P134"/>
    <mergeCell ref="Q133:R134"/>
    <mergeCell ref="S133:T134"/>
    <mergeCell ref="U133:V134"/>
    <mergeCell ref="A135:N136"/>
    <mergeCell ref="O135:P136"/>
    <mergeCell ref="Q135:R136"/>
    <mergeCell ref="S135:T136"/>
    <mergeCell ref="U135:V136"/>
    <mergeCell ref="I128:J128"/>
    <mergeCell ref="K128:L128"/>
    <mergeCell ref="K127:L127"/>
    <mergeCell ref="M127:N127"/>
    <mergeCell ref="O127:P127"/>
    <mergeCell ref="Q127:R127"/>
    <mergeCell ref="U128:Z128"/>
    <mergeCell ref="U129:Z129"/>
    <mergeCell ref="M130:N130"/>
    <mergeCell ref="O130:P130"/>
    <mergeCell ref="Q130:R130"/>
    <mergeCell ref="S130:T130"/>
    <mergeCell ref="A130:B130"/>
    <mergeCell ref="C130:E130"/>
    <mergeCell ref="F130:H130"/>
    <mergeCell ref="I130:J130"/>
    <mergeCell ref="K130:L130"/>
    <mergeCell ref="K129:L129"/>
    <mergeCell ref="M129:N129"/>
    <mergeCell ref="O129:P129"/>
    <mergeCell ref="Q129:R129"/>
    <mergeCell ref="S129:T129"/>
    <mergeCell ref="U130:Z130"/>
    <mergeCell ref="M128:N128"/>
    <mergeCell ref="O128:P128"/>
    <mergeCell ref="Q128:R128"/>
    <mergeCell ref="S128:T128"/>
    <mergeCell ref="A129:B129"/>
    <mergeCell ref="C129:E129"/>
    <mergeCell ref="F129:H129"/>
    <mergeCell ref="I129:J129"/>
    <mergeCell ref="A128:B128"/>
    <mergeCell ref="Q125:R125"/>
    <mergeCell ref="S125:T125"/>
    <mergeCell ref="U126:Z126"/>
    <mergeCell ref="U127:Z127"/>
    <mergeCell ref="C128:E128"/>
    <mergeCell ref="F128:H128"/>
    <mergeCell ref="U123:Z123"/>
    <mergeCell ref="M124:N124"/>
    <mergeCell ref="O124:P124"/>
    <mergeCell ref="Q124:R124"/>
    <mergeCell ref="S124:T124"/>
    <mergeCell ref="A125:B125"/>
    <mergeCell ref="C125:E125"/>
    <mergeCell ref="F125:H125"/>
    <mergeCell ref="I125:J125"/>
    <mergeCell ref="A124:B124"/>
    <mergeCell ref="C124:E124"/>
    <mergeCell ref="F124:H124"/>
    <mergeCell ref="I124:J124"/>
    <mergeCell ref="K124:L124"/>
    <mergeCell ref="K123:L123"/>
    <mergeCell ref="M123:N123"/>
    <mergeCell ref="O123:P123"/>
    <mergeCell ref="Q123:R123"/>
    <mergeCell ref="S123:T123"/>
    <mergeCell ref="U124:Z124"/>
    <mergeCell ref="M122:N122"/>
    <mergeCell ref="O122:P122"/>
    <mergeCell ref="Q122:R122"/>
    <mergeCell ref="S122:T122"/>
    <mergeCell ref="S127:T127"/>
    <mergeCell ref="A127:B127"/>
    <mergeCell ref="U125:Z125"/>
    <mergeCell ref="M126:N126"/>
    <mergeCell ref="O126:P126"/>
    <mergeCell ref="Q126:R126"/>
    <mergeCell ref="S126:T126"/>
    <mergeCell ref="A123:B123"/>
    <mergeCell ref="C123:E123"/>
    <mergeCell ref="F123:H123"/>
    <mergeCell ref="I123:J123"/>
    <mergeCell ref="C127:E127"/>
    <mergeCell ref="F127:H127"/>
    <mergeCell ref="I127:J127"/>
    <mergeCell ref="A126:B126"/>
    <mergeCell ref="C126:E126"/>
    <mergeCell ref="A122:B122"/>
    <mergeCell ref="C122:E122"/>
    <mergeCell ref="F122:H122"/>
    <mergeCell ref="I122:J122"/>
    <mergeCell ref="K122:L122"/>
    <mergeCell ref="U122:Z122"/>
    <mergeCell ref="F126:H126"/>
    <mergeCell ref="I126:J126"/>
    <mergeCell ref="K126:L126"/>
    <mergeCell ref="K125:L125"/>
    <mergeCell ref="M125:N125"/>
    <mergeCell ref="O125:P125"/>
    <mergeCell ref="U118:Z118"/>
    <mergeCell ref="U119:Z119"/>
    <mergeCell ref="M120:N120"/>
    <mergeCell ref="O120:P120"/>
    <mergeCell ref="Q120:R120"/>
    <mergeCell ref="S120:T120"/>
    <mergeCell ref="A121:B121"/>
    <mergeCell ref="C121:E121"/>
    <mergeCell ref="F121:H121"/>
    <mergeCell ref="I121:J121"/>
    <mergeCell ref="A120:B120"/>
    <mergeCell ref="C120:E120"/>
    <mergeCell ref="F120:H120"/>
    <mergeCell ref="I120:J120"/>
    <mergeCell ref="K120:L120"/>
    <mergeCell ref="K119:L119"/>
    <mergeCell ref="M119:N119"/>
    <mergeCell ref="O119:P119"/>
    <mergeCell ref="Q119:R119"/>
    <mergeCell ref="S119:T119"/>
    <mergeCell ref="U120:Z120"/>
    <mergeCell ref="U121:Z121"/>
    <mergeCell ref="K121:L121"/>
    <mergeCell ref="M121:N121"/>
    <mergeCell ref="O121:P121"/>
    <mergeCell ref="Q121:R121"/>
    <mergeCell ref="S121:T121"/>
    <mergeCell ref="M118:N118"/>
    <mergeCell ref="O118:P118"/>
    <mergeCell ref="Q118:R118"/>
    <mergeCell ref="S118:T118"/>
    <mergeCell ref="A119:B119"/>
    <mergeCell ref="C119:E119"/>
    <mergeCell ref="F119:H119"/>
    <mergeCell ref="I119:J119"/>
    <mergeCell ref="A118:B118"/>
    <mergeCell ref="C118:E118"/>
    <mergeCell ref="F118:H118"/>
    <mergeCell ref="I118:J118"/>
    <mergeCell ref="K118:L118"/>
    <mergeCell ref="K117:L117"/>
    <mergeCell ref="M117:N117"/>
    <mergeCell ref="O117:P117"/>
    <mergeCell ref="Q117:R117"/>
    <mergeCell ref="S117:T117"/>
    <mergeCell ref="U114:Z114"/>
    <mergeCell ref="U115:Z115"/>
    <mergeCell ref="M116:N116"/>
    <mergeCell ref="O116:P116"/>
    <mergeCell ref="Q116:R116"/>
    <mergeCell ref="S116:T116"/>
    <mergeCell ref="A117:B117"/>
    <mergeCell ref="C117:E117"/>
    <mergeCell ref="F117:H117"/>
    <mergeCell ref="I117:J117"/>
    <mergeCell ref="A116:B116"/>
    <mergeCell ref="C116:E116"/>
    <mergeCell ref="F116:H116"/>
    <mergeCell ref="I116:J116"/>
    <mergeCell ref="K116:L116"/>
    <mergeCell ref="K115:L115"/>
    <mergeCell ref="M115:N115"/>
    <mergeCell ref="O115:P115"/>
    <mergeCell ref="Q115:R115"/>
    <mergeCell ref="S115:T115"/>
    <mergeCell ref="U116:Z116"/>
    <mergeCell ref="U117:Z117"/>
    <mergeCell ref="M114:N114"/>
    <mergeCell ref="O114:P114"/>
    <mergeCell ref="Q114:R114"/>
    <mergeCell ref="S114:T114"/>
    <mergeCell ref="A115:B115"/>
    <mergeCell ref="C115:E115"/>
    <mergeCell ref="F115:H115"/>
    <mergeCell ref="I115:J115"/>
    <mergeCell ref="A114:B114"/>
    <mergeCell ref="C114:E114"/>
    <mergeCell ref="F114:H114"/>
    <mergeCell ref="I114:J114"/>
    <mergeCell ref="K114:L114"/>
    <mergeCell ref="K113:L113"/>
    <mergeCell ref="M113:N113"/>
    <mergeCell ref="O113:P113"/>
    <mergeCell ref="Q113:R113"/>
    <mergeCell ref="S113:T113"/>
    <mergeCell ref="U110:Z110"/>
    <mergeCell ref="U111:Z111"/>
    <mergeCell ref="M112:N112"/>
    <mergeCell ref="O112:P112"/>
    <mergeCell ref="Q112:R112"/>
    <mergeCell ref="S112:T112"/>
    <mergeCell ref="A113:B113"/>
    <mergeCell ref="C113:E113"/>
    <mergeCell ref="F113:H113"/>
    <mergeCell ref="I113:J113"/>
    <mergeCell ref="A112:B112"/>
    <mergeCell ref="C112:E112"/>
    <mergeCell ref="F112:H112"/>
    <mergeCell ref="I112:J112"/>
    <mergeCell ref="K112:L112"/>
    <mergeCell ref="K111:L111"/>
    <mergeCell ref="M111:N111"/>
    <mergeCell ref="O111:P111"/>
    <mergeCell ref="Q111:R111"/>
    <mergeCell ref="S111:T111"/>
    <mergeCell ref="U112:Z112"/>
    <mergeCell ref="U113:Z113"/>
    <mergeCell ref="M110:N110"/>
    <mergeCell ref="O110:P110"/>
    <mergeCell ref="Q110:R110"/>
    <mergeCell ref="S110:T110"/>
    <mergeCell ref="A111:B111"/>
    <mergeCell ref="C111:E111"/>
    <mergeCell ref="F111:H111"/>
    <mergeCell ref="I111:J111"/>
    <mergeCell ref="A110:B110"/>
    <mergeCell ref="C110:E110"/>
    <mergeCell ref="F110:H110"/>
    <mergeCell ref="I110:J110"/>
    <mergeCell ref="K110:L110"/>
    <mergeCell ref="K109:L109"/>
    <mergeCell ref="M109:N109"/>
    <mergeCell ref="O109:P109"/>
    <mergeCell ref="Q109:R109"/>
    <mergeCell ref="S109:T109"/>
    <mergeCell ref="U106:Z106"/>
    <mergeCell ref="U107:Z107"/>
    <mergeCell ref="M108:N108"/>
    <mergeCell ref="O108:P108"/>
    <mergeCell ref="Q108:R108"/>
    <mergeCell ref="S108:T108"/>
    <mergeCell ref="A109:B109"/>
    <mergeCell ref="C109:E109"/>
    <mergeCell ref="F109:H109"/>
    <mergeCell ref="I109:J109"/>
    <mergeCell ref="A108:B108"/>
    <mergeCell ref="C108:E108"/>
    <mergeCell ref="F108:H108"/>
    <mergeCell ref="I108:J108"/>
    <mergeCell ref="K108:L108"/>
    <mergeCell ref="K107:L107"/>
    <mergeCell ref="M107:N107"/>
    <mergeCell ref="O107:P107"/>
    <mergeCell ref="Q107:R107"/>
    <mergeCell ref="S107:T107"/>
    <mergeCell ref="U108:Z108"/>
    <mergeCell ref="U109:Z109"/>
    <mergeCell ref="M106:N106"/>
    <mergeCell ref="O106:P106"/>
    <mergeCell ref="Q106:R106"/>
    <mergeCell ref="S106:T106"/>
    <mergeCell ref="A107:B107"/>
    <mergeCell ref="C107:E107"/>
    <mergeCell ref="F107:H107"/>
    <mergeCell ref="I107:J107"/>
    <mergeCell ref="A106:B106"/>
    <mergeCell ref="C106:E106"/>
    <mergeCell ref="F106:H106"/>
    <mergeCell ref="I106:J106"/>
    <mergeCell ref="K106:L106"/>
    <mergeCell ref="K105:L105"/>
    <mergeCell ref="M105:N105"/>
    <mergeCell ref="O105:P105"/>
    <mergeCell ref="Q105:R105"/>
    <mergeCell ref="S105:T105"/>
    <mergeCell ref="U102:Z102"/>
    <mergeCell ref="U103:Z103"/>
    <mergeCell ref="M104:N104"/>
    <mergeCell ref="O104:P104"/>
    <mergeCell ref="Q104:R104"/>
    <mergeCell ref="S104:T104"/>
    <mergeCell ref="A105:B105"/>
    <mergeCell ref="C105:E105"/>
    <mergeCell ref="F105:H105"/>
    <mergeCell ref="I105:J105"/>
    <mergeCell ref="A104:B104"/>
    <mergeCell ref="C104:E104"/>
    <mergeCell ref="F104:H104"/>
    <mergeCell ref="I104:J104"/>
    <mergeCell ref="K104:L104"/>
    <mergeCell ref="K103:L103"/>
    <mergeCell ref="M103:N103"/>
    <mergeCell ref="O103:P103"/>
    <mergeCell ref="Q103:R103"/>
    <mergeCell ref="S103:T103"/>
    <mergeCell ref="U104:Z104"/>
    <mergeCell ref="U105:Z105"/>
    <mergeCell ref="M102:N102"/>
    <mergeCell ref="O102:P102"/>
    <mergeCell ref="Q102:R102"/>
    <mergeCell ref="S102:T102"/>
    <mergeCell ref="A103:B103"/>
    <mergeCell ref="C103:E103"/>
    <mergeCell ref="F103:H103"/>
    <mergeCell ref="I103:J103"/>
    <mergeCell ref="A102:B102"/>
    <mergeCell ref="C102:E102"/>
    <mergeCell ref="F102:H102"/>
    <mergeCell ref="I102:J102"/>
    <mergeCell ref="K102:L102"/>
    <mergeCell ref="K101:L101"/>
    <mergeCell ref="M101:N101"/>
    <mergeCell ref="O101:P101"/>
    <mergeCell ref="Q101:R101"/>
    <mergeCell ref="S101:T101"/>
    <mergeCell ref="U98:Z98"/>
    <mergeCell ref="U99:Z99"/>
    <mergeCell ref="M100:N100"/>
    <mergeCell ref="O100:P100"/>
    <mergeCell ref="Q100:R100"/>
    <mergeCell ref="S100:T100"/>
    <mergeCell ref="A101:B101"/>
    <mergeCell ref="C101:E101"/>
    <mergeCell ref="F101:H101"/>
    <mergeCell ref="I101:J101"/>
    <mergeCell ref="A100:B100"/>
    <mergeCell ref="C100:E100"/>
    <mergeCell ref="F100:H100"/>
    <mergeCell ref="I100:J100"/>
    <mergeCell ref="K100:L100"/>
    <mergeCell ref="K99:L99"/>
    <mergeCell ref="M99:N99"/>
    <mergeCell ref="O99:P99"/>
    <mergeCell ref="Q99:R99"/>
    <mergeCell ref="S99:T99"/>
    <mergeCell ref="U100:Z100"/>
    <mergeCell ref="U101:Z101"/>
    <mergeCell ref="M98:N98"/>
    <mergeCell ref="O98:P98"/>
    <mergeCell ref="Q98:R98"/>
    <mergeCell ref="S98:T98"/>
    <mergeCell ref="A99:B99"/>
    <mergeCell ref="C99:E99"/>
    <mergeCell ref="F99:H99"/>
    <mergeCell ref="I99:J99"/>
    <mergeCell ref="A98:B98"/>
    <mergeCell ref="C98:E98"/>
    <mergeCell ref="F98:H98"/>
    <mergeCell ref="I98:J98"/>
    <mergeCell ref="K98:L98"/>
    <mergeCell ref="K97:L97"/>
    <mergeCell ref="M97:N97"/>
    <mergeCell ref="O97:P97"/>
    <mergeCell ref="Q97:R97"/>
    <mergeCell ref="S97:T97"/>
    <mergeCell ref="U94:Z94"/>
    <mergeCell ref="U95:Z95"/>
    <mergeCell ref="M96:N96"/>
    <mergeCell ref="O96:P96"/>
    <mergeCell ref="Q96:R96"/>
    <mergeCell ref="S96:T96"/>
    <mergeCell ref="A97:B97"/>
    <mergeCell ref="C97:E97"/>
    <mergeCell ref="F97:H97"/>
    <mergeCell ref="I97:J97"/>
    <mergeCell ref="A96:B96"/>
    <mergeCell ref="C96:E96"/>
    <mergeCell ref="F96:H96"/>
    <mergeCell ref="I96:J96"/>
    <mergeCell ref="K96:L96"/>
    <mergeCell ref="K95:L95"/>
    <mergeCell ref="M95:N95"/>
    <mergeCell ref="O95:P95"/>
    <mergeCell ref="Q95:R95"/>
    <mergeCell ref="S95:T95"/>
    <mergeCell ref="U96:Z96"/>
    <mergeCell ref="U97:Z97"/>
    <mergeCell ref="M94:N94"/>
    <mergeCell ref="O94:P94"/>
    <mergeCell ref="Q94:R94"/>
    <mergeCell ref="S94:T94"/>
    <mergeCell ref="A95:B95"/>
    <mergeCell ref="C95:E95"/>
    <mergeCell ref="F95:H95"/>
    <mergeCell ref="I95:J95"/>
    <mergeCell ref="A94:B94"/>
    <mergeCell ref="C94:E94"/>
    <mergeCell ref="F94:H94"/>
    <mergeCell ref="I94:J94"/>
    <mergeCell ref="K94:L94"/>
    <mergeCell ref="K93:L93"/>
    <mergeCell ref="M93:N93"/>
    <mergeCell ref="O93:P93"/>
    <mergeCell ref="Q93:R93"/>
    <mergeCell ref="S93:T93"/>
    <mergeCell ref="U90:Z90"/>
    <mergeCell ref="U91:Z91"/>
    <mergeCell ref="M92:N92"/>
    <mergeCell ref="O92:P92"/>
    <mergeCell ref="Q92:R92"/>
    <mergeCell ref="S92:T92"/>
    <mergeCell ref="A93:B93"/>
    <mergeCell ref="C93:E93"/>
    <mergeCell ref="F93:H93"/>
    <mergeCell ref="I93:J93"/>
    <mergeCell ref="A92:B92"/>
    <mergeCell ref="C92:E92"/>
    <mergeCell ref="F92:H92"/>
    <mergeCell ref="I92:J92"/>
    <mergeCell ref="K92:L92"/>
    <mergeCell ref="K91:L91"/>
    <mergeCell ref="M91:N91"/>
    <mergeCell ref="O91:P91"/>
    <mergeCell ref="Q91:R91"/>
    <mergeCell ref="S91:T91"/>
    <mergeCell ref="U92:Z92"/>
    <mergeCell ref="U93:Z93"/>
    <mergeCell ref="M90:N90"/>
    <mergeCell ref="O90:P90"/>
    <mergeCell ref="Q90:R90"/>
    <mergeCell ref="S90:T90"/>
    <mergeCell ref="A91:B91"/>
    <mergeCell ref="C91:E91"/>
    <mergeCell ref="F91:H91"/>
    <mergeCell ref="I91:J91"/>
    <mergeCell ref="A90:B90"/>
    <mergeCell ref="C90:E90"/>
    <mergeCell ref="F90:H90"/>
    <mergeCell ref="I90:J90"/>
    <mergeCell ref="K90:L90"/>
    <mergeCell ref="K89:L89"/>
    <mergeCell ref="M89:N89"/>
    <mergeCell ref="O89:P89"/>
    <mergeCell ref="Q89:R89"/>
    <mergeCell ref="S89:T89"/>
    <mergeCell ref="U86:Z86"/>
    <mergeCell ref="U87:Z87"/>
    <mergeCell ref="M88:N88"/>
    <mergeCell ref="O88:P88"/>
    <mergeCell ref="Q88:R88"/>
    <mergeCell ref="S88:T88"/>
    <mergeCell ref="A89:B89"/>
    <mergeCell ref="C89:E89"/>
    <mergeCell ref="F89:H89"/>
    <mergeCell ref="I89:J89"/>
    <mergeCell ref="A88:B88"/>
    <mergeCell ref="C88:E88"/>
    <mergeCell ref="F88:H88"/>
    <mergeCell ref="I88:J88"/>
    <mergeCell ref="K88:L88"/>
    <mergeCell ref="K87:L87"/>
    <mergeCell ref="M87:N87"/>
    <mergeCell ref="O87:P87"/>
    <mergeCell ref="Q87:R87"/>
    <mergeCell ref="S87:T87"/>
    <mergeCell ref="U88:Z88"/>
    <mergeCell ref="U89:Z89"/>
    <mergeCell ref="M86:N86"/>
    <mergeCell ref="O86:P86"/>
    <mergeCell ref="Q86:R86"/>
    <mergeCell ref="S86:T86"/>
    <mergeCell ref="A87:B87"/>
    <mergeCell ref="C87:E87"/>
    <mergeCell ref="F87:H87"/>
    <mergeCell ref="I87:J87"/>
    <mergeCell ref="A86:B86"/>
    <mergeCell ref="C86:E86"/>
    <mergeCell ref="F86:H86"/>
    <mergeCell ref="I86:J86"/>
    <mergeCell ref="K86:L86"/>
    <mergeCell ref="K85:L85"/>
    <mergeCell ref="M85:N85"/>
    <mergeCell ref="O85:P85"/>
    <mergeCell ref="Q85:R85"/>
    <mergeCell ref="S85:T85"/>
    <mergeCell ref="U82:Z82"/>
    <mergeCell ref="U83:Z83"/>
    <mergeCell ref="M84:N84"/>
    <mergeCell ref="O84:P84"/>
    <mergeCell ref="Q84:R84"/>
    <mergeCell ref="S84:T84"/>
    <mergeCell ref="A85:B85"/>
    <mergeCell ref="C85:E85"/>
    <mergeCell ref="F85:H85"/>
    <mergeCell ref="I85:J85"/>
    <mergeCell ref="A84:B84"/>
    <mergeCell ref="C84:E84"/>
    <mergeCell ref="F84:H84"/>
    <mergeCell ref="I84:J84"/>
    <mergeCell ref="K84:L84"/>
    <mergeCell ref="K83:L83"/>
    <mergeCell ref="M83:N83"/>
    <mergeCell ref="O83:P83"/>
    <mergeCell ref="Q83:R83"/>
    <mergeCell ref="S83:T83"/>
    <mergeCell ref="U84:Z84"/>
    <mergeCell ref="U85:Z85"/>
    <mergeCell ref="M82:N82"/>
    <mergeCell ref="O82:P82"/>
    <mergeCell ref="Q82:R82"/>
    <mergeCell ref="S82:T82"/>
    <mergeCell ref="A83:B83"/>
    <mergeCell ref="C83:E83"/>
    <mergeCell ref="F83:H83"/>
    <mergeCell ref="I83:J83"/>
    <mergeCell ref="A82:B82"/>
    <mergeCell ref="C82:E82"/>
    <mergeCell ref="F82:H82"/>
    <mergeCell ref="I82:J82"/>
    <mergeCell ref="K82:L82"/>
    <mergeCell ref="K81:L81"/>
    <mergeCell ref="M81:N81"/>
    <mergeCell ref="O81:P81"/>
    <mergeCell ref="Q81:R81"/>
    <mergeCell ref="S81:T81"/>
    <mergeCell ref="U78:Z78"/>
    <mergeCell ref="U79:Z79"/>
    <mergeCell ref="M80:N80"/>
    <mergeCell ref="O80:P80"/>
    <mergeCell ref="Q80:R80"/>
    <mergeCell ref="S80:T80"/>
    <mergeCell ref="A81:B81"/>
    <mergeCell ref="C81:E81"/>
    <mergeCell ref="F81:H81"/>
    <mergeCell ref="I81:J81"/>
    <mergeCell ref="A80:B80"/>
    <mergeCell ref="C80:E80"/>
    <mergeCell ref="F80:H80"/>
    <mergeCell ref="I80:J80"/>
    <mergeCell ref="K80:L80"/>
    <mergeCell ref="K79:L79"/>
    <mergeCell ref="M79:N79"/>
    <mergeCell ref="O79:P79"/>
    <mergeCell ref="Q79:R79"/>
    <mergeCell ref="S79:T79"/>
    <mergeCell ref="U80:Z80"/>
    <mergeCell ref="U81:Z81"/>
    <mergeCell ref="M78:N78"/>
    <mergeCell ref="O78:P78"/>
    <mergeCell ref="Q78:R78"/>
    <mergeCell ref="S78:T78"/>
    <mergeCell ref="A79:B79"/>
    <mergeCell ref="C79:E79"/>
    <mergeCell ref="F79:H79"/>
    <mergeCell ref="I79:J79"/>
    <mergeCell ref="A78:B78"/>
    <mergeCell ref="C78:E78"/>
    <mergeCell ref="F78:H78"/>
    <mergeCell ref="I78:J78"/>
    <mergeCell ref="K78:L78"/>
    <mergeCell ref="K77:L77"/>
    <mergeCell ref="M77:N77"/>
    <mergeCell ref="O77:P77"/>
    <mergeCell ref="Q77:R77"/>
    <mergeCell ref="S77:T77"/>
    <mergeCell ref="U74:Z74"/>
    <mergeCell ref="U75:Z75"/>
    <mergeCell ref="M76:N76"/>
    <mergeCell ref="O76:P76"/>
    <mergeCell ref="Q76:R76"/>
    <mergeCell ref="S76:T76"/>
    <mergeCell ref="A77:B77"/>
    <mergeCell ref="C77:E77"/>
    <mergeCell ref="F77:H77"/>
    <mergeCell ref="I77:J77"/>
    <mergeCell ref="A76:B76"/>
    <mergeCell ref="C76:E76"/>
    <mergeCell ref="F76:H76"/>
    <mergeCell ref="I76:J76"/>
    <mergeCell ref="K76:L76"/>
    <mergeCell ref="K75:L75"/>
    <mergeCell ref="M75:N75"/>
    <mergeCell ref="O75:P75"/>
    <mergeCell ref="Q75:R75"/>
    <mergeCell ref="S75:T75"/>
    <mergeCell ref="U76:Z76"/>
    <mergeCell ref="U77:Z77"/>
    <mergeCell ref="M74:N74"/>
    <mergeCell ref="O74:P74"/>
    <mergeCell ref="Q74:R74"/>
    <mergeCell ref="S74:T74"/>
    <mergeCell ref="A75:B75"/>
    <mergeCell ref="C75:E75"/>
    <mergeCell ref="F75:H75"/>
    <mergeCell ref="I75:J75"/>
    <mergeCell ref="A74:B74"/>
    <mergeCell ref="C74:E74"/>
    <mergeCell ref="F74:H74"/>
    <mergeCell ref="I74:J74"/>
    <mergeCell ref="K74:L74"/>
    <mergeCell ref="K73:L73"/>
    <mergeCell ref="M73:N73"/>
    <mergeCell ref="O73:P73"/>
    <mergeCell ref="Q73:R73"/>
    <mergeCell ref="S73:T73"/>
    <mergeCell ref="U70:Z70"/>
    <mergeCell ref="U71:Z71"/>
    <mergeCell ref="M72:N72"/>
    <mergeCell ref="O72:P72"/>
    <mergeCell ref="Q72:R72"/>
    <mergeCell ref="S72:T72"/>
    <mergeCell ref="A73:B73"/>
    <mergeCell ref="C73:E73"/>
    <mergeCell ref="F73:H73"/>
    <mergeCell ref="I73:J73"/>
    <mergeCell ref="A72:B72"/>
    <mergeCell ref="C72:E72"/>
    <mergeCell ref="F72:H72"/>
    <mergeCell ref="I72:J72"/>
    <mergeCell ref="K72:L72"/>
    <mergeCell ref="K71:L71"/>
    <mergeCell ref="M71:N71"/>
    <mergeCell ref="O71:P71"/>
    <mergeCell ref="Q71:R71"/>
    <mergeCell ref="S71:T71"/>
    <mergeCell ref="U72:Z72"/>
    <mergeCell ref="U73:Z73"/>
    <mergeCell ref="M70:N70"/>
    <mergeCell ref="O70:P70"/>
    <mergeCell ref="Q70:R70"/>
    <mergeCell ref="S70:T70"/>
    <mergeCell ref="A71:B71"/>
    <mergeCell ref="C71:E71"/>
    <mergeCell ref="F71:H71"/>
    <mergeCell ref="I71:J71"/>
    <mergeCell ref="A70:B70"/>
    <mergeCell ref="C70:E70"/>
    <mergeCell ref="F70:H70"/>
    <mergeCell ref="I70:J70"/>
    <mergeCell ref="K70:L70"/>
    <mergeCell ref="K69:L69"/>
    <mergeCell ref="M69:N69"/>
    <mergeCell ref="O69:P69"/>
    <mergeCell ref="Q69:R69"/>
    <mergeCell ref="S69:T69"/>
    <mergeCell ref="U66:Z66"/>
    <mergeCell ref="U67:Z67"/>
    <mergeCell ref="M68:N68"/>
    <mergeCell ref="O68:P68"/>
    <mergeCell ref="Q68:R68"/>
    <mergeCell ref="S68:T68"/>
    <mergeCell ref="A69:B69"/>
    <mergeCell ref="C69:E69"/>
    <mergeCell ref="F69:H69"/>
    <mergeCell ref="I69:J69"/>
    <mergeCell ref="A68:B68"/>
    <mergeCell ref="C68:E68"/>
    <mergeCell ref="F68:H68"/>
    <mergeCell ref="I68:J68"/>
    <mergeCell ref="K68:L68"/>
    <mergeCell ref="K67:L67"/>
    <mergeCell ref="M67:N67"/>
    <mergeCell ref="O67:P67"/>
    <mergeCell ref="Q67:R67"/>
    <mergeCell ref="S67:T67"/>
    <mergeCell ref="U68:Z68"/>
    <mergeCell ref="U69:Z69"/>
    <mergeCell ref="M66:N66"/>
    <mergeCell ref="O66:P66"/>
    <mergeCell ref="Q66:R66"/>
    <mergeCell ref="S66:T66"/>
    <mergeCell ref="A67:B67"/>
    <mergeCell ref="C67:E67"/>
    <mergeCell ref="F67:H67"/>
    <mergeCell ref="I67:J67"/>
    <mergeCell ref="A66:B66"/>
    <mergeCell ref="C66:E66"/>
    <mergeCell ref="F66:H66"/>
    <mergeCell ref="I66:J66"/>
    <mergeCell ref="K66:L66"/>
    <mergeCell ref="K65:L65"/>
    <mergeCell ref="M65:N65"/>
    <mergeCell ref="O65:P65"/>
    <mergeCell ref="Q65:R65"/>
    <mergeCell ref="S65:T65"/>
    <mergeCell ref="U62:Z62"/>
    <mergeCell ref="U63:Z63"/>
    <mergeCell ref="M64:N64"/>
    <mergeCell ref="O64:P64"/>
    <mergeCell ref="Q64:R64"/>
    <mergeCell ref="S64:T64"/>
    <mergeCell ref="A65:B65"/>
    <mergeCell ref="C65:E65"/>
    <mergeCell ref="F65:H65"/>
    <mergeCell ref="I65:J65"/>
    <mergeCell ref="A64:B64"/>
    <mergeCell ref="C64:E64"/>
    <mergeCell ref="F64:H64"/>
    <mergeCell ref="I64:J64"/>
    <mergeCell ref="K64:L64"/>
    <mergeCell ref="K63:L63"/>
    <mergeCell ref="M63:N63"/>
    <mergeCell ref="O63:P63"/>
    <mergeCell ref="Q63:R63"/>
    <mergeCell ref="S63:T63"/>
    <mergeCell ref="U64:Z64"/>
    <mergeCell ref="U65:Z65"/>
    <mergeCell ref="M62:N62"/>
    <mergeCell ref="O62:P62"/>
    <mergeCell ref="Q62:R62"/>
    <mergeCell ref="S62:T62"/>
    <mergeCell ref="A63:B63"/>
    <mergeCell ref="C63:E63"/>
    <mergeCell ref="F63:H63"/>
    <mergeCell ref="I63:J63"/>
    <mergeCell ref="A62:B62"/>
    <mergeCell ref="C62:E62"/>
    <mergeCell ref="F62:H62"/>
    <mergeCell ref="I62:J62"/>
    <mergeCell ref="K62:L62"/>
    <mergeCell ref="K61:L61"/>
    <mergeCell ref="M61:N61"/>
    <mergeCell ref="O61:P61"/>
    <mergeCell ref="Q61:R61"/>
    <mergeCell ref="S61:T61"/>
    <mergeCell ref="U58:Z58"/>
    <mergeCell ref="U59:Z59"/>
    <mergeCell ref="M60:N60"/>
    <mergeCell ref="O60:P60"/>
    <mergeCell ref="Q60:R60"/>
    <mergeCell ref="S60:T60"/>
    <mergeCell ref="A61:B61"/>
    <mergeCell ref="C61:E61"/>
    <mergeCell ref="F61:H61"/>
    <mergeCell ref="I61:J61"/>
    <mergeCell ref="A60:B60"/>
    <mergeCell ref="C60:E60"/>
    <mergeCell ref="F60:H60"/>
    <mergeCell ref="I60:J60"/>
    <mergeCell ref="K60:L60"/>
    <mergeCell ref="K59:L59"/>
    <mergeCell ref="M59:N59"/>
    <mergeCell ref="O59:P59"/>
    <mergeCell ref="Q59:R59"/>
    <mergeCell ref="S59:T59"/>
    <mergeCell ref="U60:Z60"/>
    <mergeCell ref="U61:Z61"/>
    <mergeCell ref="M58:N58"/>
    <mergeCell ref="O58:P58"/>
    <mergeCell ref="Q58:R58"/>
    <mergeCell ref="S58:T58"/>
    <mergeCell ref="A59:B59"/>
    <mergeCell ref="C59:E59"/>
    <mergeCell ref="F59:H59"/>
    <mergeCell ref="I59:J59"/>
    <mergeCell ref="A58:B58"/>
    <mergeCell ref="C58:E58"/>
    <mergeCell ref="F58:H58"/>
    <mergeCell ref="I58:J58"/>
    <mergeCell ref="K58:L58"/>
    <mergeCell ref="K57:L57"/>
    <mergeCell ref="M57:N57"/>
    <mergeCell ref="O57:P57"/>
    <mergeCell ref="Q57:R57"/>
    <mergeCell ref="S57:T57"/>
    <mergeCell ref="U54:Z54"/>
    <mergeCell ref="U55:Z55"/>
    <mergeCell ref="M56:N56"/>
    <mergeCell ref="O56:P56"/>
    <mergeCell ref="Q56:R56"/>
    <mergeCell ref="S56:T56"/>
    <mergeCell ref="A57:B57"/>
    <mergeCell ref="C57:E57"/>
    <mergeCell ref="F57:H57"/>
    <mergeCell ref="I57:J57"/>
    <mergeCell ref="A56:B56"/>
    <mergeCell ref="C56:E56"/>
    <mergeCell ref="F56:H56"/>
    <mergeCell ref="I56:J56"/>
    <mergeCell ref="K56:L56"/>
    <mergeCell ref="K55:L55"/>
    <mergeCell ref="M55:N55"/>
    <mergeCell ref="O55:P55"/>
    <mergeCell ref="Q55:R55"/>
    <mergeCell ref="Q50:R50"/>
    <mergeCell ref="S50:T50"/>
    <mergeCell ref="A51:B51"/>
    <mergeCell ref="C51:E51"/>
    <mergeCell ref="F51:H51"/>
    <mergeCell ref="I51:J51"/>
    <mergeCell ref="A50:B50"/>
    <mergeCell ref="C50:E50"/>
    <mergeCell ref="S55:T55"/>
    <mergeCell ref="U56:Z56"/>
    <mergeCell ref="U57:Z57"/>
    <mergeCell ref="M54:N54"/>
    <mergeCell ref="O54:P54"/>
    <mergeCell ref="Q54:R54"/>
    <mergeCell ref="S54:T54"/>
    <mergeCell ref="A55:B55"/>
    <mergeCell ref="C55:E55"/>
    <mergeCell ref="F55:H55"/>
    <mergeCell ref="I55:J55"/>
    <mergeCell ref="A54:B54"/>
    <mergeCell ref="C54:E54"/>
    <mergeCell ref="F54:H54"/>
    <mergeCell ref="I54:J54"/>
    <mergeCell ref="K54:L54"/>
    <mergeCell ref="K53:L53"/>
    <mergeCell ref="M53:N53"/>
    <mergeCell ref="O53:P53"/>
    <mergeCell ref="Q53:R53"/>
    <mergeCell ref="S53:T53"/>
    <mergeCell ref="U51:Z51"/>
    <mergeCell ref="M52:N52"/>
    <mergeCell ref="O52:P52"/>
    <mergeCell ref="Q52:R52"/>
    <mergeCell ref="S52:T52"/>
    <mergeCell ref="A53:B53"/>
    <mergeCell ref="C53:E53"/>
    <mergeCell ref="F53:H53"/>
    <mergeCell ref="I53:J53"/>
    <mergeCell ref="A52:B52"/>
    <mergeCell ref="C52:E52"/>
    <mergeCell ref="F52:H52"/>
    <mergeCell ref="I52:J52"/>
    <mergeCell ref="K52:L52"/>
    <mergeCell ref="K51:L51"/>
    <mergeCell ref="M51:N51"/>
    <mergeCell ref="O51:P51"/>
    <mergeCell ref="Q51:R51"/>
    <mergeCell ref="S51:T51"/>
    <mergeCell ref="U52:Z52"/>
    <mergeCell ref="U53:Z53"/>
    <mergeCell ref="F50:H50"/>
    <mergeCell ref="I50:J50"/>
    <mergeCell ref="K50:L50"/>
    <mergeCell ref="K49:L49"/>
    <mergeCell ref="M49:N49"/>
    <mergeCell ref="O49:P49"/>
    <mergeCell ref="Q49:R49"/>
    <mergeCell ref="S49:T49"/>
    <mergeCell ref="U47:Z47"/>
    <mergeCell ref="M48:N48"/>
    <mergeCell ref="O48:P48"/>
    <mergeCell ref="Q48:R48"/>
    <mergeCell ref="S48:T48"/>
    <mergeCell ref="A49:B49"/>
    <mergeCell ref="C49:E49"/>
    <mergeCell ref="F49:H49"/>
    <mergeCell ref="I49:J49"/>
    <mergeCell ref="A48:B48"/>
    <mergeCell ref="C48:E48"/>
    <mergeCell ref="F48:H48"/>
    <mergeCell ref="I48:J48"/>
    <mergeCell ref="K48:L48"/>
    <mergeCell ref="K47:L47"/>
    <mergeCell ref="M47:N47"/>
    <mergeCell ref="O47:P47"/>
    <mergeCell ref="Q47:R47"/>
    <mergeCell ref="S47:T47"/>
    <mergeCell ref="U48:Z48"/>
    <mergeCell ref="U49:Z49"/>
    <mergeCell ref="U50:Z50"/>
    <mergeCell ref="M50:N50"/>
    <mergeCell ref="O50:P50"/>
    <mergeCell ref="U45:Z45"/>
    <mergeCell ref="M46:N46"/>
    <mergeCell ref="O46:P46"/>
    <mergeCell ref="Q46:R46"/>
    <mergeCell ref="S46:T46"/>
    <mergeCell ref="A47:B47"/>
    <mergeCell ref="C47:E47"/>
    <mergeCell ref="F47:H47"/>
    <mergeCell ref="I47:J47"/>
    <mergeCell ref="A43:B43"/>
    <mergeCell ref="C43:E43"/>
    <mergeCell ref="F43:H43"/>
    <mergeCell ref="I43:J43"/>
    <mergeCell ref="A46:B46"/>
    <mergeCell ref="C46:E46"/>
    <mergeCell ref="F46:H46"/>
    <mergeCell ref="I46:J46"/>
    <mergeCell ref="K46:L46"/>
    <mergeCell ref="K45:L45"/>
    <mergeCell ref="M45:N45"/>
    <mergeCell ref="O45:P45"/>
    <mergeCell ref="Q45:R45"/>
    <mergeCell ref="S45:T45"/>
    <mergeCell ref="U46:Z46"/>
    <mergeCell ref="U43:Z43"/>
    <mergeCell ref="M44:N44"/>
    <mergeCell ref="O44:P44"/>
    <mergeCell ref="Q44:R44"/>
    <mergeCell ref="S44:T44"/>
    <mergeCell ref="A45:B45"/>
    <mergeCell ref="C45:E45"/>
    <mergeCell ref="F45:H45"/>
    <mergeCell ref="I45:J45"/>
    <mergeCell ref="A41:B41"/>
    <mergeCell ref="C41:E41"/>
    <mergeCell ref="F41:H41"/>
    <mergeCell ref="I41:J41"/>
    <mergeCell ref="A44:B44"/>
    <mergeCell ref="C44:E44"/>
    <mergeCell ref="F44:H44"/>
    <mergeCell ref="I44:J44"/>
    <mergeCell ref="K44:L44"/>
    <mergeCell ref="K43:L43"/>
    <mergeCell ref="M43:N43"/>
    <mergeCell ref="O43:P43"/>
    <mergeCell ref="Q43:R43"/>
    <mergeCell ref="S43:T43"/>
    <mergeCell ref="U44:Z44"/>
    <mergeCell ref="S39:T39"/>
    <mergeCell ref="U40:Z40"/>
    <mergeCell ref="U41:Z41"/>
    <mergeCell ref="M42:N42"/>
    <mergeCell ref="O42:P42"/>
    <mergeCell ref="Q42:R42"/>
    <mergeCell ref="S42:T42"/>
    <mergeCell ref="A39:B39"/>
    <mergeCell ref="C39:E39"/>
    <mergeCell ref="F39:H39"/>
    <mergeCell ref="I39:J39"/>
    <mergeCell ref="U39:Z39"/>
    <mergeCell ref="A42:B42"/>
    <mergeCell ref="C42:E42"/>
    <mergeCell ref="F42:H42"/>
    <mergeCell ref="I42:J42"/>
    <mergeCell ref="K42:L42"/>
    <mergeCell ref="K41:L41"/>
    <mergeCell ref="M41:N41"/>
    <mergeCell ref="O41:P41"/>
    <mergeCell ref="Q41:R41"/>
    <mergeCell ref="S41:T41"/>
    <mergeCell ref="U42:Z42"/>
    <mergeCell ref="A35:B35"/>
    <mergeCell ref="C35:E35"/>
    <mergeCell ref="F35:H35"/>
    <mergeCell ref="I35:J35"/>
    <mergeCell ref="A34:B34"/>
    <mergeCell ref="C34:E34"/>
    <mergeCell ref="A38:B38"/>
    <mergeCell ref="C38:E38"/>
    <mergeCell ref="F38:H38"/>
    <mergeCell ref="I38:J38"/>
    <mergeCell ref="K38:L38"/>
    <mergeCell ref="K37:L37"/>
    <mergeCell ref="M37:N37"/>
    <mergeCell ref="O37:P37"/>
    <mergeCell ref="Q37:R37"/>
    <mergeCell ref="S37:T37"/>
    <mergeCell ref="M40:N40"/>
    <mergeCell ref="O40:P40"/>
    <mergeCell ref="Q40:R40"/>
    <mergeCell ref="S40:T40"/>
    <mergeCell ref="C37:E37"/>
    <mergeCell ref="F37:H37"/>
    <mergeCell ref="I37:J37"/>
    <mergeCell ref="A40:B40"/>
    <mergeCell ref="C40:E40"/>
    <mergeCell ref="F40:H40"/>
    <mergeCell ref="I40:J40"/>
    <mergeCell ref="K40:L40"/>
    <mergeCell ref="K39:L39"/>
    <mergeCell ref="M39:N39"/>
    <mergeCell ref="O39:P39"/>
    <mergeCell ref="Q39:R39"/>
    <mergeCell ref="M35:N35"/>
    <mergeCell ref="O35:P35"/>
    <mergeCell ref="Q35:R35"/>
    <mergeCell ref="S35:T35"/>
    <mergeCell ref="M38:N38"/>
    <mergeCell ref="O38:P38"/>
    <mergeCell ref="Q38:R38"/>
    <mergeCell ref="S38:T38"/>
    <mergeCell ref="U31:Z31"/>
    <mergeCell ref="U32:Z32"/>
    <mergeCell ref="U33:Z33"/>
    <mergeCell ref="U34:Z34"/>
    <mergeCell ref="U35:Z35"/>
    <mergeCell ref="U36:Z36"/>
    <mergeCell ref="U37:Z37"/>
    <mergeCell ref="U38:Z38"/>
    <mergeCell ref="M34:N34"/>
    <mergeCell ref="O34:P34"/>
    <mergeCell ref="Q34:R34"/>
    <mergeCell ref="S34:T34"/>
    <mergeCell ref="K31:L31"/>
    <mergeCell ref="M31:N31"/>
    <mergeCell ref="O31:P31"/>
    <mergeCell ref="Q31:R31"/>
    <mergeCell ref="S31:T31"/>
    <mergeCell ref="F34:H34"/>
    <mergeCell ref="I34:J34"/>
    <mergeCell ref="K34:L34"/>
    <mergeCell ref="K33:L33"/>
    <mergeCell ref="M33:N33"/>
    <mergeCell ref="O33:P33"/>
    <mergeCell ref="Q33:R33"/>
    <mergeCell ref="S33:T33"/>
    <mergeCell ref="M36:N36"/>
    <mergeCell ref="O36:P36"/>
    <mergeCell ref="Q36:R36"/>
    <mergeCell ref="S36:T36"/>
    <mergeCell ref="A37:B37"/>
    <mergeCell ref="M32:N32"/>
    <mergeCell ref="O32:P32"/>
    <mergeCell ref="Q32:R32"/>
    <mergeCell ref="S32:T32"/>
    <mergeCell ref="A33:B33"/>
    <mergeCell ref="C33:E33"/>
    <mergeCell ref="F33:H33"/>
    <mergeCell ref="I33:J33"/>
    <mergeCell ref="A32:B32"/>
    <mergeCell ref="C32:E32"/>
    <mergeCell ref="F32:H32"/>
    <mergeCell ref="I32:J32"/>
    <mergeCell ref="K32:L32"/>
    <mergeCell ref="A36:B36"/>
    <mergeCell ref="C36:E36"/>
    <mergeCell ref="F36:H36"/>
    <mergeCell ref="I36:J36"/>
    <mergeCell ref="K36:L36"/>
    <mergeCell ref="K35:L35"/>
    <mergeCell ref="M30:N30"/>
    <mergeCell ref="O30:P30"/>
    <mergeCell ref="Q30:R30"/>
    <mergeCell ref="S30:T30"/>
    <mergeCell ref="A31:B31"/>
    <mergeCell ref="C31:E31"/>
    <mergeCell ref="F31:H31"/>
    <mergeCell ref="I31:J31"/>
    <mergeCell ref="A30:B30"/>
    <mergeCell ref="C30:E30"/>
    <mergeCell ref="F30:H30"/>
    <mergeCell ref="I30:J30"/>
    <mergeCell ref="K30:L30"/>
    <mergeCell ref="K29:L29"/>
    <mergeCell ref="M29:N29"/>
    <mergeCell ref="O29:P29"/>
    <mergeCell ref="Q29:R29"/>
    <mergeCell ref="S29:T29"/>
    <mergeCell ref="M28:N28"/>
    <mergeCell ref="O28:P28"/>
    <mergeCell ref="Q28:R28"/>
    <mergeCell ref="S28:T28"/>
    <mergeCell ref="A29:B29"/>
    <mergeCell ref="C29:E29"/>
    <mergeCell ref="F29:H29"/>
    <mergeCell ref="I29:J29"/>
    <mergeCell ref="A28:B28"/>
    <mergeCell ref="C28:E28"/>
    <mergeCell ref="F28:H28"/>
    <mergeCell ref="I28:J28"/>
    <mergeCell ref="K28:L28"/>
    <mergeCell ref="K27:L27"/>
    <mergeCell ref="M27:N27"/>
    <mergeCell ref="O27:P27"/>
    <mergeCell ref="Q27:R27"/>
    <mergeCell ref="S27:T27"/>
    <mergeCell ref="M26:N26"/>
    <mergeCell ref="O26:P26"/>
    <mergeCell ref="Q26:R26"/>
    <mergeCell ref="S26:T26"/>
    <mergeCell ref="A27:B27"/>
    <mergeCell ref="C27:E27"/>
    <mergeCell ref="F27:H27"/>
    <mergeCell ref="I27:J27"/>
    <mergeCell ref="A26:B26"/>
    <mergeCell ref="C26:E26"/>
    <mergeCell ref="F26:H26"/>
    <mergeCell ref="I26:J26"/>
    <mergeCell ref="K26:L26"/>
    <mergeCell ref="K25:L25"/>
    <mergeCell ref="M25:N25"/>
    <mergeCell ref="O25:P25"/>
    <mergeCell ref="Q25:R25"/>
    <mergeCell ref="S25:T25"/>
    <mergeCell ref="M24:N24"/>
    <mergeCell ref="O24:P24"/>
    <mergeCell ref="Q24:R24"/>
    <mergeCell ref="S24:T24"/>
    <mergeCell ref="A25:B25"/>
    <mergeCell ref="C25:E25"/>
    <mergeCell ref="F25:H25"/>
    <mergeCell ref="I25:J25"/>
    <mergeCell ref="A24:B24"/>
    <mergeCell ref="C24:E24"/>
    <mergeCell ref="F24:H24"/>
    <mergeCell ref="I24:J24"/>
    <mergeCell ref="K24:L24"/>
    <mergeCell ref="K23:L23"/>
    <mergeCell ref="M23:N23"/>
    <mergeCell ref="O23:P23"/>
    <mergeCell ref="Q23:R23"/>
    <mergeCell ref="S23:T23"/>
    <mergeCell ref="M22:N22"/>
    <mergeCell ref="O22:P22"/>
    <mergeCell ref="Q22:R22"/>
    <mergeCell ref="S22:T22"/>
    <mergeCell ref="A23:B23"/>
    <mergeCell ref="C23:E23"/>
    <mergeCell ref="F23:H23"/>
    <mergeCell ref="I23:J23"/>
    <mergeCell ref="A22:B22"/>
    <mergeCell ref="C22:E22"/>
    <mergeCell ref="F22:H22"/>
    <mergeCell ref="I22:J22"/>
    <mergeCell ref="K22:L22"/>
    <mergeCell ref="K21:L21"/>
    <mergeCell ref="M21:N21"/>
    <mergeCell ref="O21:P21"/>
    <mergeCell ref="Q21:R21"/>
    <mergeCell ref="S21:T21"/>
    <mergeCell ref="M20:N20"/>
    <mergeCell ref="O20:P20"/>
    <mergeCell ref="Q20:R20"/>
    <mergeCell ref="S20:T20"/>
    <mergeCell ref="A21:B21"/>
    <mergeCell ref="C21:E21"/>
    <mergeCell ref="F21:H21"/>
    <mergeCell ref="I21:J21"/>
    <mergeCell ref="A20:B20"/>
    <mergeCell ref="C20:E20"/>
    <mergeCell ref="F20:H20"/>
    <mergeCell ref="I20:J20"/>
    <mergeCell ref="K20:L20"/>
    <mergeCell ref="K19:L19"/>
    <mergeCell ref="M19:N19"/>
    <mergeCell ref="O19:P19"/>
    <mergeCell ref="Q19:R19"/>
    <mergeCell ref="S19:T19"/>
    <mergeCell ref="M18:N18"/>
    <mergeCell ref="O18:P18"/>
    <mergeCell ref="Q18:R18"/>
    <mergeCell ref="S18:T18"/>
    <mergeCell ref="A19:B19"/>
    <mergeCell ref="C19:E19"/>
    <mergeCell ref="F19:H19"/>
    <mergeCell ref="I19:J19"/>
    <mergeCell ref="A18:B18"/>
    <mergeCell ref="C18:E18"/>
    <mergeCell ref="F18:H18"/>
    <mergeCell ref="I18:J18"/>
    <mergeCell ref="K18:L18"/>
    <mergeCell ref="K17:L17"/>
    <mergeCell ref="M17:N17"/>
    <mergeCell ref="O17:P17"/>
    <mergeCell ref="Q17:R17"/>
    <mergeCell ref="S17:T17"/>
    <mergeCell ref="A2:E2"/>
    <mergeCell ref="F2:M2"/>
    <mergeCell ref="M16:N16"/>
    <mergeCell ref="O16:P16"/>
    <mergeCell ref="Q16:R16"/>
    <mergeCell ref="S16:T16"/>
    <mergeCell ref="A17:B17"/>
    <mergeCell ref="C17:E17"/>
    <mergeCell ref="F17:H17"/>
    <mergeCell ref="I17:J17"/>
    <mergeCell ref="A16:B16"/>
    <mergeCell ref="C16:E16"/>
    <mergeCell ref="F16:H16"/>
    <mergeCell ref="I16:J16"/>
    <mergeCell ref="K16:L16"/>
    <mergeCell ref="A15:B15"/>
    <mergeCell ref="C15:E15"/>
    <mergeCell ref="F15:H15"/>
    <mergeCell ref="I15:J15"/>
    <mergeCell ref="A12:B12"/>
    <mergeCell ref="C12:E12"/>
    <mergeCell ref="F12:H12"/>
    <mergeCell ref="I12:J12"/>
    <mergeCell ref="K12:L12"/>
    <mergeCell ref="M12:N12"/>
    <mergeCell ref="O12:P12"/>
    <mergeCell ref="K15:L15"/>
    <mergeCell ref="M15:N15"/>
    <mergeCell ref="O15:P15"/>
    <mergeCell ref="Q15:R15"/>
    <mergeCell ref="S15:T15"/>
    <mergeCell ref="M14:N14"/>
    <mergeCell ref="AM9:AM10"/>
    <mergeCell ref="A11:B11"/>
    <mergeCell ref="C11:E11"/>
    <mergeCell ref="F11:H11"/>
    <mergeCell ref="I11:J11"/>
    <mergeCell ref="K11:L11"/>
    <mergeCell ref="M11:N11"/>
    <mergeCell ref="O11:P11"/>
    <mergeCell ref="Q11:R11"/>
    <mergeCell ref="AG9:AG10"/>
    <mergeCell ref="AH9:AH10"/>
    <mergeCell ref="AI9:AI10"/>
    <mergeCell ref="AJ9:AJ10"/>
    <mergeCell ref="AK9:AK10"/>
    <mergeCell ref="AL9:AL10"/>
    <mergeCell ref="AB8:AB10"/>
    <mergeCell ref="AC8:AC10"/>
    <mergeCell ref="U11:Z11"/>
    <mergeCell ref="AJ7:AM8"/>
    <mergeCell ref="K8:L10"/>
    <mergeCell ref="M8:N10"/>
    <mergeCell ref="O8:P10"/>
    <mergeCell ref="AA8:AA10"/>
    <mergeCell ref="A7:B10"/>
    <mergeCell ref="C7:E10"/>
    <mergeCell ref="F7:H10"/>
    <mergeCell ref="I7:J10"/>
    <mergeCell ref="K7:P7"/>
    <mergeCell ref="O14:P14"/>
    <mergeCell ref="Q14:R14"/>
    <mergeCell ref="O13:P13"/>
    <mergeCell ref="Q13:R13"/>
    <mergeCell ref="S13:T13"/>
    <mergeCell ref="A14:B14"/>
    <mergeCell ref="C14:E14"/>
    <mergeCell ref="F14:H14"/>
    <mergeCell ref="I14:J14"/>
    <mergeCell ref="K14:L14"/>
    <mergeCell ref="Q12:R12"/>
    <mergeCell ref="S12:T12"/>
    <mergeCell ref="A13:B13"/>
    <mergeCell ref="C13:E13"/>
    <mergeCell ref="F13:H13"/>
    <mergeCell ref="I13:J13"/>
    <mergeCell ref="K13:L13"/>
    <mergeCell ref="M13:N13"/>
    <mergeCell ref="U18:Z18"/>
    <mergeCell ref="U19:Z19"/>
    <mergeCell ref="U20:Z20"/>
    <mergeCell ref="U21:Z21"/>
    <mergeCell ref="U22:Z22"/>
    <mergeCell ref="U23:Z23"/>
    <mergeCell ref="U24:Z24"/>
    <mergeCell ref="U25:Z25"/>
    <mergeCell ref="U26:Z26"/>
    <mergeCell ref="U27:Z27"/>
    <mergeCell ref="U28:Z28"/>
    <mergeCell ref="U29:Z29"/>
    <mergeCell ref="U30:Z30"/>
    <mergeCell ref="AD8:AD10"/>
    <mergeCell ref="Q9:R10"/>
    <mergeCell ref="S9:T10"/>
    <mergeCell ref="AF9:AF10"/>
    <mergeCell ref="Q7:T8"/>
    <mergeCell ref="AA7:AD7"/>
    <mergeCell ref="AE7:AE10"/>
    <mergeCell ref="AF7:AI8"/>
    <mergeCell ref="S14:T14"/>
    <mergeCell ref="U14:Z14"/>
    <mergeCell ref="U15:Z15"/>
    <mergeCell ref="U16:Z16"/>
    <mergeCell ref="U17:Z17"/>
    <mergeCell ref="S11:T11"/>
    <mergeCell ref="U12:Z12"/>
    <mergeCell ref="U13:Z13"/>
  </mergeCells>
  <phoneticPr fontId="1"/>
  <dataValidations count="3">
    <dataValidation type="list" allowBlank="1" showInputMessage="1" showErrorMessage="1" sqref="O11:P130">
      <formula1>$AN$14:$BH$14</formula1>
    </dataValidation>
    <dataValidation type="list" allowBlank="1" showInputMessage="1" showErrorMessage="1" sqref="K11:N130 S31:T130 Q11:R130">
      <formula1>$AN$13:$AO$13</formula1>
    </dataValidation>
    <dataValidation type="list" allowBlank="1" showInputMessage="1" showErrorMessage="1" sqref="I11:J130">
      <formula1>$AN$11:$AQ$11</formula1>
    </dataValidation>
  </dataValidations>
  <printOptions horizontalCentered="1"/>
  <pageMargins left="0.7" right="0.7" top="0.75" bottom="0.75" header="0.3" footer="0.3"/>
  <pageSetup paperSize="9" scale="79" orientation="portrait" r:id="rId1"/>
  <rowBreaks count="1" manualBreakCount="1">
    <brk id="13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DV233"/>
  <sheetViews>
    <sheetView view="pageBreakPreview" topLeftCell="A134" zoomScale="85" zoomScaleNormal="100" zoomScaleSheetLayoutView="85" workbookViewId="0">
      <selection activeCell="S18" sqref="S18:T18"/>
    </sheetView>
  </sheetViews>
  <sheetFormatPr defaultRowHeight="13.5"/>
  <cols>
    <col min="1" max="2" width="3.625" style="462" customWidth="1"/>
    <col min="3" max="5" width="4.375" style="462" customWidth="1"/>
    <col min="6" max="8" width="4.375" style="462" hidden="1" customWidth="1"/>
    <col min="9" max="10" width="4.375" style="462" customWidth="1"/>
    <col min="11" max="12" width="3.625" style="462" hidden="1" customWidth="1"/>
    <col min="13" max="22" width="4.375" style="462" customWidth="1"/>
    <col min="23" max="32" width="3.625" style="462" customWidth="1"/>
    <col min="33" max="119" width="9" style="462" customWidth="1"/>
    <col min="120" max="16384" width="9" style="462"/>
  </cols>
  <sheetData>
    <row r="1" spans="1:126" ht="13.5" customHeight="1">
      <c r="A1" s="462" t="s">
        <v>605</v>
      </c>
      <c r="U1" s="462">
        <f>'請求書（認定こども園）'!M4</f>
        <v>4</v>
      </c>
      <c r="V1" s="462" t="s">
        <v>19</v>
      </c>
      <c r="W1" s="464" t="s">
        <v>54</v>
      </c>
      <c r="X1" s="464">
        <f>'請求書（認定こども園）'!P4</f>
        <v>4</v>
      </c>
      <c r="Y1" s="462" t="s">
        <v>561</v>
      </c>
    </row>
    <row r="2" spans="1:126" ht="13.5" customHeight="1">
      <c r="A2" s="1249" t="s">
        <v>44</v>
      </c>
      <c r="B2" s="1249"/>
      <c r="C2" s="1249"/>
      <c r="D2" s="1249"/>
      <c r="E2" s="1249"/>
      <c r="F2" s="1284" t="str">
        <f>'請求書（認定こども園）'!O14</f>
        <v>○〇認定こども園</v>
      </c>
      <c r="G2" s="1285"/>
      <c r="H2" s="1285"/>
      <c r="I2" s="1285"/>
      <c r="J2" s="1285"/>
      <c r="K2" s="1285"/>
      <c r="L2" s="1285"/>
      <c r="M2" s="1285"/>
      <c r="N2" s="1285"/>
      <c r="O2" s="1286"/>
    </row>
    <row r="3" spans="1:126" ht="13.5" customHeight="1">
      <c r="A3" s="381"/>
      <c r="B3" s="381"/>
      <c r="C3" s="381"/>
      <c r="D3" s="381"/>
      <c r="E3" s="381"/>
      <c r="F3" s="464"/>
      <c r="G3" s="464"/>
      <c r="H3" s="464"/>
      <c r="I3" s="464"/>
      <c r="J3" s="464"/>
      <c r="K3" s="464"/>
      <c r="L3" s="464"/>
      <c r="M3" s="464"/>
      <c r="N3" s="464"/>
      <c r="O3" s="464"/>
    </row>
    <row r="4" spans="1:126" ht="13.5" customHeight="1">
      <c r="A4" s="360" t="s">
        <v>753</v>
      </c>
      <c r="B4" s="382"/>
      <c r="C4" s="382"/>
      <c r="D4" s="382"/>
      <c r="E4" s="382"/>
      <c r="F4" s="382"/>
      <c r="G4" s="382"/>
      <c r="H4" s="382"/>
      <c r="I4" s="382"/>
      <c r="J4" s="382"/>
      <c r="K4" s="382"/>
      <c r="L4" s="382"/>
      <c r="M4" s="382"/>
      <c r="N4" s="382"/>
      <c r="O4" s="382"/>
      <c r="P4" s="382"/>
      <c r="Q4" s="382"/>
      <c r="R4" s="382"/>
      <c r="S4" s="382"/>
      <c r="T4" s="382"/>
      <c r="U4" s="382"/>
      <c r="V4" s="382"/>
      <c r="W4" s="382"/>
      <c r="X4" s="382"/>
    </row>
    <row r="5" spans="1:126" ht="13.5" customHeight="1">
      <c r="A5" s="462" t="s">
        <v>562</v>
      </c>
    </row>
    <row r="6" spans="1:126" ht="13.5" customHeight="1">
      <c r="A6" s="462" t="s">
        <v>604</v>
      </c>
      <c r="AG6" s="1281" t="s">
        <v>591</v>
      </c>
      <c r="AH6" s="1282"/>
      <c r="AI6" s="1282"/>
      <c r="AJ6" s="1282"/>
      <c r="AK6" s="1282"/>
      <c r="AL6" s="1282"/>
      <c r="AM6" s="1282"/>
      <c r="AN6" s="1282"/>
      <c r="AO6" s="1282"/>
      <c r="AP6" s="1282"/>
      <c r="AQ6" s="1282"/>
      <c r="AR6" s="1282"/>
      <c r="AS6" s="1282"/>
      <c r="AT6" s="1282"/>
      <c r="AU6" s="1283"/>
      <c r="AV6" s="1281" t="s">
        <v>592</v>
      </c>
      <c r="AW6" s="1282"/>
      <c r="AX6" s="1282"/>
      <c r="AY6" s="1282"/>
      <c r="AZ6" s="1282"/>
      <c r="BA6" s="1282"/>
      <c r="BB6" s="1282"/>
      <c r="BC6" s="1282"/>
      <c r="BD6" s="1282"/>
      <c r="BE6" s="1282"/>
      <c r="BF6" s="1282"/>
      <c r="BG6" s="1282"/>
      <c r="BH6" s="1282"/>
      <c r="BI6" s="1282"/>
      <c r="BJ6" s="1282"/>
      <c r="BK6" s="1282"/>
      <c r="BL6" s="1282"/>
      <c r="BM6" s="1283"/>
      <c r="BN6" s="1281" t="s">
        <v>593</v>
      </c>
      <c r="BO6" s="1282"/>
      <c r="BP6" s="1282"/>
      <c r="BQ6" s="1282"/>
      <c r="BR6" s="1282"/>
      <c r="BS6" s="1282"/>
      <c r="BT6" s="1282"/>
      <c r="BU6" s="1282"/>
      <c r="BV6" s="1282"/>
      <c r="BW6" s="1282"/>
      <c r="BX6" s="1282"/>
      <c r="BY6" s="1282"/>
      <c r="BZ6" s="1282"/>
      <c r="CA6" s="1282"/>
      <c r="CB6" s="1283"/>
      <c r="CC6" s="1281" t="s">
        <v>594</v>
      </c>
      <c r="CD6" s="1282"/>
      <c r="CE6" s="1282"/>
      <c r="CF6" s="1282"/>
      <c r="CG6" s="1282"/>
      <c r="CH6" s="1282"/>
      <c r="CI6" s="1282"/>
      <c r="CJ6" s="1282"/>
      <c r="CK6" s="1282"/>
      <c r="CL6" s="1282"/>
      <c r="CM6" s="1282"/>
      <c r="CN6" s="1282"/>
      <c r="CO6" s="1282"/>
      <c r="CP6" s="1282"/>
      <c r="CQ6" s="1283"/>
    </row>
    <row r="7" spans="1:126" ht="13.5" customHeight="1">
      <c r="A7" s="1217" t="s">
        <v>564</v>
      </c>
      <c r="B7" s="1217"/>
      <c r="C7" s="1241" t="s">
        <v>621</v>
      </c>
      <c r="D7" s="1245"/>
      <c r="E7" s="1242"/>
      <c r="F7" s="1217" t="s">
        <v>622</v>
      </c>
      <c r="G7" s="1217"/>
      <c r="H7" s="1217"/>
      <c r="I7" s="1241" t="s">
        <v>565</v>
      </c>
      <c r="J7" s="1242"/>
      <c r="K7" s="1241" t="s">
        <v>566</v>
      </c>
      <c r="L7" s="1242"/>
      <c r="M7" s="1241" t="s">
        <v>595</v>
      </c>
      <c r="N7" s="1242"/>
      <c r="O7" s="1241" t="s">
        <v>525</v>
      </c>
      <c r="P7" s="1242"/>
      <c r="Q7" s="1247" t="s">
        <v>567</v>
      </c>
      <c r="R7" s="1248"/>
      <c r="S7" s="1248"/>
      <c r="T7" s="1248"/>
      <c r="U7" s="1248"/>
      <c r="V7" s="1248"/>
      <c r="W7" s="1241" t="s">
        <v>720</v>
      </c>
      <c r="X7" s="1245"/>
      <c r="Y7" s="1245"/>
      <c r="Z7" s="1242"/>
      <c r="AA7" s="1217" t="s">
        <v>836</v>
      </c>
      <c r="AB7" s="1217"/>
      <c r="AC7" s="491"/>
      <c r="AD7" s="491"/>
      <c r="AE7" s="491"/>
      <c r="AF7" s="491"/>
      <c r="AG7" s="1222" t="s">
        <v>568</v>
      </c>
      <c r="AH7" s="1222"/>
      <c r="AI7" s="1222"/>
      <c r="AJ7" s="1223"/>
      <c r="AK7" s="1217" t="s">
        <v>569</v>
      </c>
      <c r="AL7" s="1277" t="s">
        <v>570</v>
      </c>
      <c r="AM7" s="1277"/>
      <c r="AN7" s="1277"/>
      <c r="AO7" s="1277"/>
      <c r="AP7" s="1277"/>
      <c r="AQ7" s="1277"/>
      <c r="AR7" s="1277" t="s">
        <v>571</v>
      </c>
      <c r="AS7" s="1277"/>
      <c r="AT7" s="1277"/>
      <c r="AU7" s="1277" t="s">
        <v>596</v>
      </c>
      <c r="AV7" s="1277"/>
      <c r="AW7" s="1277"/>
      <c r="AX7" s="1277"/>
      <c r="AY7" s="1277"/>
      <c r="AZ7" s="1277"/>
      <c r="BA7" s="1277" t="s">
        <v>570</v>
      </c>
      <c r="BB7" s="1277"/>
      <c r="BC7" s="1277"/>
      <c r="BD7" s="1277"/>
      <c r="BE7" s="1277"/>
      <c r="BF7" s="1277"/>
      <c r="BG7" s="1277" t="s">
        <v>571</v>
      </c>
      <c r="BH7" s="1277"/>
      <c r="BI7" s="1277"/>
      <c r="BJ7" s="1277"/>
      <c r="BK7" s="1277"/>
      <c r="BL7" s="1277"/>
      <c r="BM7" s="1277" t="s">
        <v>596</v>
      </c>
      <c r="BN7" s="1277"/>
      <c r="BO7" s="1277"/>
      <c r="BP7" s="1277"/>
      <c r="BQ7" s="1277"/>
      <c r="BR7" s="1277"/>
      <c r="BS7" s="1277" t="s">
        <v>570</v>
      </c>
      <c r="BT7" s="1277"/>
      <c r="BU7" s="1277"/>
      <c r="BV7" s="1277"/>
      <c r="BW7" s="1277"/>
      <c r="BX7" s="1277"/>
      <c r="BY7" s="1277" t="s">
        <v>571</v>
      </c>
      <c r="BZ7" s="1277"/>
      <c r="CA7" s="1277"/>
      <c r="CB7" s="1277" t="s">
        <v>596</v>
      </c>
      <c r="CC7" s="1277"/>
      <c r="CD7" s="1277"/>
      <c r="CE7" s="1277"/>
      <c r="CF7" s="1277"/>
      <c r="CG7" s="1277"/>
      <c r="CH7" s="1277" t="s">
        <v>570</v>
      </c>
      <c r="CI7" s="1277"/>
      <c r="CJ7" s="1277"/>
      <c r="CK7" s="1277"/>
      <c r="CL7" s="1277"/>
      <c r="CM7" s="1277"/>
      <c r="CN7" s="1277" t="s">
        <v>571</v>
      </c>
      <c r="CO7" s="1277"/>
      <c r="CP7" s="1277"/>
      <c r="CQ7" s="1277" t="s">
        <v>596</v>
      </c>
      <c r="CR7" s="1277"/>
      <c r="CS7" s="1277"/>
      <c r="CT7" s="1277"/>
      <c r="CU7" s="1277"/>
      <c r="CV7" s="1277"/>
    </row>
    <row r="8" spans="1:126" ht="13.5" customHeight="1">
      <c r="A8" s="1217"/>
      <c r="B8" s="1217"/>
      <c r="C8" s="1243"/>
      <c r="D8" s="1246"/>
      <c r="E8" s="1244"/>
      <c r="F8" s="1217"/>
      <c r="G8" s="1217"/>
      <c r="H8" s="1217"/>
      <c r="I8" s="1243"/>
      <c r="J8" s="1244"/>
      <c r="K8" s="1243"/>
      <c r="L8" s="1244"/>
      <c r="M8" s="1243"/>
      <c r="N8" s="1244"/>
      <c r="O8" s="1243"/>
      <c r="P8" s="1244"/>
      <c r="Q8" s="1241" t="s">
        <v>572</v>
      </c>
      <c r="R8" s="1242"/>
      <c r="S8" s="1241" t="s">
        <v>573</v>
      </c>
      <c r="T8" s="1242"/>
      <c r="U8" s="1241" t="s">
        <v>574</v>
      </c>
      <c r="V8" s="1242"/>
      <c r="W8" s="1287"/>
      <c r="X8" s="1288"/>
      <c r="Y8" s="1288"/>
      <c r="Z8" s="1289"/>
      <c r="AA8" s="1217"/>
      <c r="AB8" s="1217"/>
      <c r="AC8" s="491"/>
      <c r="AD8" s="491"/>
      <c r="AE8" s="491"/>
      <c r="AF8" s="491"/>
      <c r="AG8" s="1278" t="s">
        <v>120</v>
      </c>
      <c r="AH8" s="1238" t="s">
        <v>121</v>
      </c>
      <c r="AI8" s="1238" t="s">
        <v>132</v>
      </c>
      <c r="AJ8" s="1238" t="s">
        <v>575</v>
      </c>
      <c r="AK8" s="121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row>
    <row r="9" spans="1:126" ht="13.5" customHeight="1">
      <c r="A9" s="1217"/>
      <c r="B9" s="1217"/>
      <c r="C9" s="1243"/>
      <c r="D9" s="1246"/>
      <c r="E9" s="1244"/>
      <c r="F9" s="1217"/>
      <c r="G9" s="1217"/>
      <c r="H9" s="1217"/>
      <c r="I9" s="1243"/>
      <c r="J9" s="1244"/>
      <c r="K9" s="1243"/>
      <c r="L9" s="1244"/>
      <c r="M9" s="1243"/>
      <c r="N9" s="1244"/>
      <c r="O9" s="1243"/>
      <c r="P9" s="1244"/>
      <c r="Q9" s="1243"/>
      <c r="R9" s="1244"/>
      <c r="S9" s="1243"/>
      <c r="T9" s="1244"/>
      <c r="U9" s="1243"/>
      <c r="V9" s="1244"/>
      <c r="W9" s="1241" t="s">
        <v>576</v>
      </c>
      <c r="X9" s="1242"/>
      <c r="Y9" s="1241" t="s">
        <v>80</v>
      </c>
      <c r="Z9" s="1242"/>
      <c r="AA9" s="1217"/>
      <c r="AB9" s="1217"/>
      <c r="AC9" s="491"/>
      <c r="AD9" s="491"/>
      <c r="AE9" s="491"/>
      <c r="AF9" s="491"/>
      <c r="AG9" s="1279"/>
      <c r="AH9" s="1239"/>
      <c r="AI9" s="1239"/>
      <c r="AJ9" s="1239"/>
      <c r="AK9" s="1217"/>
      <c r="AL9" s="1218" t="s">
        <v>577</v>
      </c>
      <c r="AM9" s="1218" t="s">
        <v>578</v>
      </c>
      <c r="AN9" s="1218" t="s">
        <v>579</v>
      </c>
      <c r="AO9" s="1218" t="s">
        <v>597</v>
      </c>
      <c r="AP9" s="1218" t="s">
        <v>598</v>
      </c>
      <c r="AQ9" s="1218" t="s">
        <v>462</v>
      </c>
      <c r="AR9" s="1218" t="s">
        <v>577</v>
      </c>
      <c r="AS9" s="1218" t="s">
        <v>578</v>
      </c>
      <c r="AT9" s="1218" t="s">
        <v>579</v>
      </c>
      <c r="AU9" s="1218" t="s">
        <v>577</v>
      </c>
      <c r="AV9" s="1218" t="s">
        <v>578</v>
      </c>
      <c r="AW9" s="1218" t="s">
        <v>579</v>
      </c>
      <c r="AX9" s="1218" t="s">
        <v>597</v>
      </c>
      <c r="AY9" s="1218" t="s">
        <v>598</v>
      </c>
      <c r="AZ9" s="1218" t="s">
        <v>462</v>
      </c>
      <c r="BA9" s="1218" t="s">
        <v>577</v>
      </c>
      <c r="BB9" s="1218" t="s">
        <v>578</v>
      </c>
      <c r="BC9" s="1218" t="s">
        <v>579</v>
      </c>
      <c r="BD9" s="1218" t="s">
        <v>597</v>
      </c>
      <c r="BE9" s="1218" t="s">
        <v>598</v>
      </c>
      <c r="BF9" s="1218" t="s">
        <v>462</v>
      </c>
      <c r="BG9" s="1218" t="s">
        <v>577</v>
      </c>
      <c r="BH9" s="1218" t="s">
        <v>578</v>
      </c>
      <c r="BI9" s="1218" t="s">
        <v>579</v>
      </c>
      <c r="BJ9" s="1218" t="s">
        <v>597</v>
      </c>
      <c r="BK9" s="1218" t="s">
        <v>598</v>
      </c>
      <c r="BL9" s="1218" t="s">
        <v>462</v>
      </c>
      <c r="BM9" s="1218" t="s">
        <v>577</v>
      </c>
      <c r="BN9" s="1218" t="s">
        <v>578</v>
      </c>
      <c r="BO9" s="1218" t="s">
        <v>579</v>
      </c>
      <c r="BP9" s="1218" t="s">
        <v>597</v>
      </c>
      <c r="BQ9" s="1218" t="s">
        <v>598</v>
      </c>
      <c r="BR9" s="1218" t="s">
        <v>462</v>
      </c>
      <c r="BS9" s="1218" t="s">
        <v>577</v>
      </c>
      <c r="BT9" s="1218" t="s">
        <v>578</v>
      </c>
      <c r="BU9" s="1218" t="s">
        <v>579</v>
      </c>
      <c r="BV9" s="1218" t="s">
        <v>597</v>
      </c>
      <c r="BW9" s="1218" t="s">
        <v>598</v>
      </c>
      <c r="BX9" s="1218" t="s">
        <v>462</v>
      </c>
      <c r="BY9" s="1218" t="s">
        <v>577</v>
      </c>
      <c r="BZ9" s="1218" t="s">
        <v>578</v>
      </c>
      <c r="CA9" s="1218" t="s">
        <v>579</v>
      </c>
      <c r="CB9" s="1218" t="s">
        <v>577</v>
      </c>
      <c r="CC9" s="1218" t="s">
        <v>578</v>
      </c>
      <c r="CD9" s="1218" t="s">
        <v>579</v>
      </c>
      <c r="CE9" s="1218" t="s">
        <v>597</v>
      </c>
      <c r="CF9" s="1218" t="s">
        <v>598</v>
      </c>
      <c r="CG9" s="1218" t="s">
        <v>462</v>
      </c>
      <c r="CH9" s="1218" t="s">
        <v>577</v>
      </c>
      <c r="CI9" s="1218" t="s">
        <v>578</v>
      </c>
      <c r="CJ9" s="1218" t="s">
        <v>579</v>
      </c>
      <c r="CK9" s="1218" t="s">
        <v>597</v>
      </c>
      <c r="CL9" s="1218" t="s">
        <v>598</v>
      </c>
      <c r="CM9" s="1218" t="s">
        <v>462</v>
      </c>
      <c r="CN9" s="1218" t="s">
        <v>577</v>
      </c>
      <c r="CO9" s="1218" t="s">
        <v>578</v>
      </c>
      <c r="CP9" s="1218" t="s">
        <v>579</v>
      </c>
      <c r="CQ9" s="1218" t="s">
        <v>577</v>
      </c>
      <c r="CR9" s="1218" t="s">
        <v>578</v>
      </c>
      <c r="CS9" s="1218" t="s">
        <v>579</v>
      </c>
      <c r="CT9" s="1218" t="s">
        <v>597</v>
      </c>
      <c r="CU9" s="1218" t="s">
        <v>598</v>
      </c>
      <c r="CV9" s="1218" t="s">
        <v>462</v>
      </c>
    </row>
    <row r="10" spans="1:126" ht="13.5" customHeight="1">
      <c r="A10" s="1218"/>
      <c r="B10" s="1218"/>
      <c r="C10" s="1243"/>
      <c r="D10" s="1246"/>
      <c r="E10" s="1244"/>
      <c r="F10" s="1218"/>
      <c r="G10" s="1218"/>
      <c r="H10" s="1218"/>
      <c r="I10" s="1243"/>
      <c r="J10" s="1244"/>
      <c r="K10" s="1243"/>
      <c r="L10" s="1244"/>
      <c r="M10" s="1243"/>
      <c r="N10" s="1244"/>
      <c r="O10" s="1243"/>
      <c r="P10" s="1244"/>
      <c r="Q10" s="1243"/>
      <c r="R10" s="1244"/>
      <c r="S10" s="1243"/>
      <c r="T10" s="1244"/>
      <c r="U10" s="1243"/>
      <c r="V10" s="1244"/>
      <c r="W10" s="1287"/>
      <c r="X10" s="1289"/>
      <c r="Y10" s="1287"/>
      <c r="Z10" s="1289"/>
      <c r="AA10" s="1217"/>
      <c r="AB10" s="1217"/>
      <c r="AC10" s="491"/>
      <c r="AD10" s="491"/>
      <c r="AE10" s="491"/>
      <c r="AF10" s="491"/>
      <c r="AG10" s="1280"/>
      <c r="AH10" s="1240"/>
      <c r="AI10" s="1240"/>
      <c r="AJ10" s="1240"/>
      <c r="AK10" s="1217"/>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row>
    <row r="11" spans="1:126" ht="13.5" customHeight="1">
      <c r="A11" s="1232">
        <v>1</v>
      </c>
      <c r="B11" s="1233"/>
      <c r="C11" s="1230" t="s">
        <v>64</v>
      </c>
      <c r="D11" s="1234"/>
      <c r="E11" s="1231"/>
      <c r="F11" s="1235" t="s">
        <v>581</v>
      </c>
      <c r="G11" s="1236"/>
      <c r="H11" s="1237"/>
      <c r="I11" s="1230"/>
      <c r="J11" s="1231"/>
      <c r="K11" s="1290"/>
      <c r="L11" s="1291"/>
      <c r="M11" s="1290"/>
      <c r="N11" s="1291"/>
      <c r="O11" s="1290"/>
      <c r="P11" s="1291"/>
      <c r="Q11" s="1230"/>
      <c r="R11" s="1231"/>
      <c r="S11" s="1230"/>
      <c r="T11" s="1231"/>
      <c r="U11" s="1228"/>
      <c r="V11" s="1229"/>
      <c r="W11" s="1230"/>
      <c r="X11" s="1231"/>
      <c r="Y11" s="1226"/>
      <c r="Z11" s="1227"/>
      <c r="AA11" s="1275"/>
      <c r="AB11" s="1275"/>
      <c r="AC11" s="1212" t="str">
        <f t="shared" ref="AC11:AC42" si="0">IF(S11="","",IF(AND(M11="標準",S11="○",O11=""),"※下表に記載必要箇所あり(①)",IF(AND(M11="標準",S11="○",O11="分園"),"※下表に記載必要箇所あり(③)",IF(AND(M11="短時間",S11="○",O11=""),"※下表に記載必要箇所あり(②)","※下表に記載必要箇所あり(④)"))))</f>
        <v/>
      </c>
      <c r="AD11" s="1213"/>
      <c r="AE11" s="1213"/>
      <c r="AF11" s="1213"/>
      <c r="AG11" s="492" t="str">
        <f t="shared" ref="AG11:AG42" si="1">IF(AND(Q11="○",W11=""),"A","")</f>
        <v/>
      </c>
      <c r="AH11" s="466" t="str">
        <f t="shared" ref="AH11:AH42" si="2">IF(AND(Q11="○",W11="○"),"B","")</f>
        <v/>
      </c>
      <c r="AI11" s="466" t="str">
        <f t="shared" ref="AI11:AI42" si="3">IF(AND(Q11="",S11="○",W11=""),"C","")</f>
        <v/>
      </c>
      <c r="AJ11" s="466" t="str">
        <f t="shared" ref="AJ11:AJ42" si="4">IF(AND(Q11="",S11="○",W11="○"),"D","")</f>
        <v/>
      </c>
      <c r="AK11" s="492" t="str">
        <f t="shared" ref="AK11:AK42" si="5">IF(U11&gt;0,"","○")</f>
        <v>○</v>
      </c>
      <c r="AL11" s="492" t="str">
        <f t="shared" ref="AL11:AL42" si="6">IF(AND(I11="５歳",M11="標準",O11="",AK11="○",W11=""),"○","")</f>
        <v/>
      </c>
      <c r="AM11" s="492" t="str">
        <f t="shared" ref="AM11:AM42" si="7">IF(AND(I11="４歳",M11="標準",O11="",AK11="○",W11=""),"○","")</f>
        <v/>
      </c>
      <c r="AN11" s="492" t="str">
        <f t="shared" ref="AN11:AN42" si="8">IF(AND(I11="３歳",M11="標準",O11="",AK11="○",W11=""),"○","")</f>
        <v/>
      </c>
      <c r="AO11" s="492" t="str">
        <f t="shared" ref="AO11:AO42" si="9">IF(AND(I11="２歳",M11="標準",O11="",AK11="○",W11=""),"○","")</f>
        <v/>
      </c>
      <c r="AP11" s="492" t="str">
        <f t="shared" ref="AP11:AP42" si="10">IF(AND(I11="１歳",M11="標準",O11="",AK11="○",W11=""),"○","")</f>
        <v/>
      </c>
      <c r="AQ11" s="492" t="str">
        <f t="shared" ref="AQ11:AQ42" si="11">IF(AND(I11="乳児",M11="標準",O11="",AK11="○",W11=""),"○","")</f>
        <v/>
      </c>
      <c r="AR11" s="492" t="str">
        <f t="shared" ref="AR11:AR42" si="12">IF(AND(I11="５歳",M11="標準",O11="",AK11="○",W11="○"),"○","")</f>
        <v/>
      </c>
      <c r="AS11" s="492" t="str">
        <f t="shared" ref="AS11:AS42" si="13">IF(AND(I11="４歳",M11="標準",O11="",AK11="○",W11="○"),"○","")</f>
        <v/>
      </c>
      <c r="AT11" s="492" t="str">
        <f t="shared" ref="AT11:AT42" si="14">IF(AND(I11="３歳",M11="標準",O11="",AK11="○",W11="○"),"○","")</f>
        <v/>
      </c>
      <c r="AU11" s="492" t="str">
        <f t="shared" ref="AU11:AU42" si="15">IF(AND(I11="５歳",M11="標準",U11&gt;0),"○","")</f>
        <v/>
      </c>
      <c r="AV11" s="492" t="str">
        <f t="shared" ref="AV11:AV42" si="16">IF(AND(I11="４歳",M11="標準",U11&gt;0),"○","")</f>
        <v/>
      </c>
      <c r="AW11" s="492" t="str">
        <f t="shared" ref="AW11:AW42" si="17">IF(AND(I11="３歳",M11="標準",U11&gt;0),"○","")</f>
        <v/>
      </c>
      <c r="AX11" s="492" t="str">
        <f t="shared" ref="AX11:AX42" si="18">IF(AND(I11="２歳",M11="標準",U11&gt;0),"○","")</f>
        <v/>
      </c>
      <c r="AY11" s="492" t="str">
        <f t="shared" ref="AY11:AY42" si="19">IF(AND(I11="１歳",M11="標準",U11&gt;0),"○","")</f>
        <v/>
      </c>
      <c r="AZ11" s="492" t="str">
        <f t="shared" ref="AZ11:AZ42" si="20">IF(AND(I11="乳児",M11="標準",U11&gt;0),"○","")</f>
        <v/>
      </c>
      <c r="BA11" s="492" t="str">
        <f t="shared" ref="BA11:BA42" si="21">IF(AND(I11="５歳",M11="短時間",O11="",AK11="○",W11=""),"○","")</f>
        <v/>
      </c>
      <c r="BB11" s="492" t="str">
        <f t="shared" ref="BB11:BB42" si="22">IF(AND(I11="４歳",M11="短時間",O11="",AK11="○",W11=""),"○","")</f>
        <v/>
      </c>
      <c r="BC11" s="492" t="str">
        <f t="shared" ref="BC11:BC42" si="23">IF(AND(I11="３歳",M11="短時間",O11="",AK11="○",W11=""),"○","")</f>
        <v/>
      </c>
      <c r="BD11" s="492" t="str">
        <f t="shared" ref="BD11:BD42" si="24">IF(AND(I11="２歳",M11="短時間",O11="",AK11="○",W11=""),"○","")</f>
        <v/>
      </c>
      <c r="BE11" s="492" t="str">
        <f t="shared" ref="BE11:BE42" si="25">IF(AND(I11="１歳",M11="短時間",O11="",AK11="○",W11=""),"○","")</f>
        <v/>
      </c>
      <c r="BF11" s="492" t="str">
        <f t="shared" ref="BF11:BF42" si="26">IF(AND(I11="乳児",M11="短時間",O11="",AK11="○",W11=""),"○","")</f>
        <v/>
      </c>
      <c r="BG11" s="492" t="str">
        <f t="shared" ref="BG11:BG42" si="27">IF(AND(I11="５歳",M11="短時間",O11="",AK11="○",W11="○"),"○","")</f>
        <v/>
      </c>
      <c r="BH11" s="492" t="str">
        <f t="shared" ref="BH11:BH42" si="28">IF(AND(I11="４歳",M11="短時間",O11="",AK11="○",W11="○"),"○","")</f>
        <v/>
      </c>
      <c r="BI11" s="492" t="str">
        <f t="shared" ref="BI11:BI42" si="29">IF(AND(I11="３歳",M11="短時間",O11="",AK11="○",W11="○"),"○","")</f>
        <v/>
      </c>
      <c r="BJ11" s="492" t="str">
        <f t="shared" ref="BJ11:BJ42" si="30">IF(AND(I11="２歳",M11="短時間",O11="",AK11="○",W11="○"),"○","")</f>
        <v/>
      </c>
      <c r="BK11" s="492" t="str">
        <f t="shared" ref="BK11:BK42" si="31">IF(AND(I11="１歳",M11="短時間",O11="",AK11="○",W11="○"),"○","")</f>
        <v/>
      </c>
      <c r="BL11" s="492" t="str">
        <f t="shared" ref="BL11:BL42" si="32">IF(AND(I11="乳児",M11="短時間",O11="",AK11="○",W11="○"),"○","")</f>
        <v/>
      </c>
      <c r="BM11" s="492" t="str">
        <f t="shared" ref="BM11:BM42" si="33">IF(AND(I11="５歳",M11="短時間",O11="",U11&gt;0),"○","")</f>
        <v/>
      </c>
      <c r="BN11" s="492" t="str">
        <f t="shared" ref="BN11:BN42" si="34">IF(AND(I11="４歳",M11="短時間",O11="",U11&gt;0),"○","")</f>
        <v/>
      </c>
      <c r="BO11" s="492" t="str">
        <f t="shared" ref="BO11:BO42" si="35">IF(AND(I11="３歳",M11="短時間",O11="",U11&gt;0),"○","")</f>
        <v/>
      </c>
      <c r="BP11" s="492" t="str">
        <f t="shared" ref="BP11:BP42" si="36">IF(AND(I11="２歳",M11="短時間",O11="",U11&gt;0),"○","")</f>
        <v/>
      </c>
      <c r="BQ11" s="492" t="str">
        <f t="shared" ref="BQ11:BQ42" si="37">IF(AND(I11="１歳",M11="短時間",O11="",U11&gt;0),"○","")</f>
        <v/>
      </c>
      <c r="BR11" s="492" t="str">
        <f t="shared" ref="BR11:BR42" si="38">IF(AND(I11="乳児",M11="短時間",O11="",U11&gt;0),"○","")</f>
        <v/>
      </c>
      <c r="BS11" s="492" t="str">
        <f t="shared" ref="BS11:BS42" si="39">IF(AND(I11="５歳",M11="標準",O11="分園",AK11="○",W11=""),"○","")</f>
        <v/>
      </c>
      <c r="BT11" s="492" t="str">
        <f t="shared" ref="BT11:BT42" si="40">IF(AND(I11="４歳",M11="標準",O11="分園",AK11="○",W11=""),"○","")</f>
        <v/>
      </c>
      <c r="BU11" s="492" t="str">
        <f t="shared" ref="BU11:BU42" si="41">IF(AND(I11="３歳",M11="標準",O11="分園",AK11="○",W11=""),"○","")</f>
        <v/>
      </c>
      <c r="BV11" s="492" t="str">
        <f t="shared" ref="BV11:BV42" si="42">IF(AND(I11="２歳",M11="標準",O11="分園",AK11="○",W11=""),"○","")</f>
        <v/>
      </c>
      <c r="BW11" s="492" t="str">
        <f t="shared" ref="BW11:BW42" si="43">IF(AND(I11="１歳",M11="標準",O11="分園",AK11="○",W11=""),"○","")</f>
        <v/>
      </c>
      <c r="BX11" s="492" t="str">
        <f t="shared" ref="BX11:BX42" si="44">IF(AND(I11="乳児",M11="標準",O11="分園",AK11="○",W11=""),"○","")</f>
        <v/>
      </c>
      <c r="BY11" s="492" t="str">
        <f t="shared" ref="BY11:BY42" si="45">IF(AND(I11="５歳",M11="標準",O11="分園",AK11="○",W11="○"),"○","")</f>
        <v/>
      </c>
      <c r="BZ11" s="492" t="str">
        <f t="shared" ref="BZ11:BZ42" si="46">IF(AND(I11="４歳",M11="標準",O11="分園",AK11="○",W11="○"),"○","")</f>
        <v/>
      </c>
      <c r="CA11" s="492" t="str">
        <f t="shared" ref="CA11:CA42" si="47">IF(AND(I11="３歳",M11="標準",O11="分園",AK11="○",W11="○"),"○","")</f>
        <v/>
      </c>
      <c r="CB11" s="492" t="str">
        <f t="shared" ref="CB11:CB42" si="48">IF(AND(I1437="５歳",M11="教育",O11="分園",U11&gt;0),"○","")</f>
        <v/>
      </c>
      <c r="CC11" s="492" t="str">
        <f t="shared" ref="CC11:CC42" si="49">IF(AND(I1437="４歳",M11="教育",O11="分園",U11&gt;0),"○","")</f>
        <v/>
      </c>
      <c r="CD11" s="492" t="str">
        <f t="shared" ref="CD11:CD42" si="50">IF(AND(I1437="３歳",M11="教育",O11="分園",U11&gt;0),"○","")</f>
        <v/>
      </c>
      <c r="CE11" s="492" t="str">
        <f t="shared" ref="CE11:CE42" si="51">IF(AND(I1437="２歳",M11="教育",O11="分園",U11&gt;0),"○","")</f>
        <v/>
      </c>
      <c r="CF11" s="492" t="str">
        <f t="shared" ref="CF11:CF42" si="52">IF(AND(I1437="１歳",M11="教育",O11="分園",U11&gt;0),"○","")</f>
        <v/>
      </c>
      <c r="CG11" s="492" t="str">
        <f t="shared" ref="CG11:CG42" si="53">IF(AND(I1437="乳児",M11="教育",O11="分園",U11&gt;0),"○","")</f>
        <v/>
      </c>
      <c r="CH11" s="492" t="str">
        <f t="shared" ref="CH11:CH42" si="54">IF(AND(I11="５歳",M11="短時間",O11="分園",AK11="○",W11=""),"○","")</f>
        <v/>
      </c>
      <c r="CI11" s="492" t="str">
        <f t="shared" ref="CI11:CI42" si="55">IF(AND(I11="４歳",M11="短時間",O11="分園",AK11="○",W11=""),"○","")</f>
        <v/>
      </c>
      <c r="CJ11" s="492" t="str">
        <f t="shared" ref="CJ11:CJ42" si="56">IF(AND(I11="３歳",M11="短時間",O11="分園",AK11="○",W11=""),"○","")</f>
        <v/>
      </c>
      <c r="CK11" s="492" t="str">
        <f t="shared" ref="CK11:CK42" si="57">IF(AND(I11="２歳",M11="短時間",O11="分園",AK11="○",W11=""),"○","")</f>
        <v/>
      </c>
      <c r="CL11" s="492" t="str">
        <f t="shared" ref="CL11:CL42" si="58">IF(AND(I11="１歳",M11="短時間",O11="分園",AK11="○",W11=""),"○","")</f>
        <v/>
      </c>
      <c r="CM11" s="492" t="str">
        <f t="shared" ref="CM11:CM42" si="59">IF(AND(I11="乳児",M11="短時間",O11="分園",AK11="○",W11=""),"○","")</f>
        <v/>
      </c>
      <c r="CN11" s="492" t="str">
        <f t="shared" ref="CN11:CN42" si="60">IF(AND(I11="５歳",M11="短時間",O11="分園",AK11="○",W11="○"),"○","")</f>
        <v/>
      </c>
      <c r="CO11" s="492" t="str">
        <f t="shared" ref="CO11:CO42" si="61">IF(AND(I11="４歳",M11="短時間",O11="分園",AK11="○",W11="○"),"○","")</f>
        <v/>
      </c>
      <c r="CP11" s="492" t="str">
        <f t="shared" ref="CP11:CP42" si="62">IF(AND(I11="３歳",M11="短時間",O11="分園",AK11="○",W11="○"),"○","")</f>
        <v/>
      </c>
      <c r="CQ11" s="492" t="str">
        <f t="shared" ref="CQ11:CQ42" si="63">IF(AND(I11="５歳",M11="短時間",O11="分園",U11&gt;0),"○","")</f>
        <v/>
      </c>
      <c r="CR11" s="492" t="str">
        <f t="shared" ref="CR11:CR42" si="64">IF(AND(I11="４歳",M11="短時間",O11="分園",U11&gt;0),"○","")</f>
        <v/>
      </c>
      <c r="CS11" s="492" t="str">
        <f t="shared" ref="CS11:CS42" si="65">IF(AND(I11="３歳",M11="短時間",O11="分園",U11&gt;0),"○","")</f>
        <v/>
      </c>
      <c r="CT11" s="492" t="str">
        <f t="shared" ref="CT11:CT42" si="66">IF(AND(I11="２歳",M11="短時間",O11="分園",U11&gt;0),"○","")</f>
        <v/>
      </c>
      <c r="CU11" s="492" t="str">
        <f t="shared" ref="CU11:CU42" si="67">IF(AND(I11="１歳",M11="短時間",O11="分園",U11&gt;0),"○","")</f>
        <v/>
      </c>
      <c r="CV11" s="492" t="str">
        <f t="shared" ref="CV11:CV42" si="68">IF(AND(I11="乳児",M11="短時間",O11="分園",U11&gt;0),"○","")</f>
        <v/>
      </c>
      <c r="CW11" s="493" t="s">
        <v>462</v>
      </c>
      <c r="CX11" s="493" t="s">
        <v>598</v>
      </c>
      <c r="CY11" s="494" t="s">
        <v>597</v>
      </c>
      <c r="CZ11" s="471" t="s">
        <v>579</v>
      </c>
      <c r="DA11" s="471" t="s">
        <v>578</v>
      </c>
      <c r="DB11" s="471" t="s">
        <v>577</v>
      </c>
    </row>
    <row r="12" spans="1:126" ht="13.5" customHeight="1">
      <c r="A12" s="1232">
        <v>2</v>
      </c>
      <c r="B12" s="1233"/>
      <c r="C12" s="1230"/>
      <c r="D12" s="1234"/>
      <c r="E12" s="1231"/>
      <c r="F12" s="1230"/>
      <c r="G12" s="1234"/>
      <c r="H12" s="1231"/>
      <c r="I12" s="1230"/>
      <c r="J12" s="1231"/>
      <c r="K12" s="1290"/>
      <c r="L12" s="1291"/>
      <c r="M12" s="1290"/>
      <c r="N12" s="1291"/>
      <c r="O12" s="1290"/>
      <c r="P12" s="1291"/>
      <c r="Q12" s="1230"/>
      <c r="R12" s="1231"/>
      <c r="S12" s="1230"/>
      <c r="T12" s="1231"/>
      <c r="U12" s="1228"/>
      <c r="V12" s="1229"/>
      <c r="W12" s="1230"/>
      <c r="X12" s="1231"/>
      <c r="Y12" s="1226"/>
      <c r="Z12" s="1227"/>
      <c r="AA12" s="1275"/>
      <c r="AB12" s="1275"/>
      <c r="AC12" s="1212" t="str">
        <f t="shared" si="0"/>
        <v/>
      </c>
      <c r="AD12" s="1213"/>
      <c r="AE12" s="1213"/>
      <c r="AF12" s="1213"/>
      <c r="AG12" s="492" t="str">
        <f t="shared" si="1"/>
        <v/>
      </c>
      <c r="AH12" s="466" t="str">
        <f t="shared" si="2"/>
        <v/>
      </c>
      <c r="AI12" s="466" t="str">
        <f t="shared" si="3"/>
        <v/>
      </c>
      <c r="AJ12" s="466" t="str">
        <f t="shared" si="4"/>
        <v/>
      </c>
      <c r="AK12" s="492" t="str">
        <f t="shared" si="5"/>
        <v>○</v>
      </c>
      <c r="AL12" s="492" t="str">
        <f t="shared" si="6"/>
        <v/>
      </c>
      <c r="AM12" s="492" t="str">
        <f t="shared" si="7"/>
        <v/>
      </c>
      <c r="AN12" s="492" t="str">
        <f t="shared" si="8"/>
        <v/>
      </c>
      <c r="AO12" s="492" t="str">
        <f t="shared" si="9"/>
        <v/>
      </c>
      <c r="AP12" s="492" t="str">
        <f t="shared" si="10"/>
        <v/>
      </c>
      <c r="AQ12" s="492" t="str">
        <f t="shared" si="11"/>
        <v/>
      </c>
      <c r="AR12" s="492" t="str">
        <f t="shared" si="12"/>
        <v/>
      </c>
      <c r="AS12" s="492" t="str">
        <f t="shared" si="13"/>
        <v/>
      </c>
      <c r="AT12" s="492" t="str">
        <f t="shared" si="14"/>
        <v/>
      </c>
      <c r="AU12" s="492" t="str">
        <f t="shared" si="15"/>
        <v/>
      </c>
      <c r="AV12" s="492" t="str">
        <f t="shared" si="16"/>
        <v/>
      </c>
      <c r="AW12" s="492" t="str">
        <f t="shared" si="17"/>
        <v/>
      </c>
      <c r="AX12" s="492" t="str">
        <f t="shared" si="18"/>
        <v/>
      </c>
      <c r="AY12" s="492" t="str">
        <f t="shared" si="19"/>
        <v/>
      </c>
      <c r="AZ12" s="492" t="str">
        <f t="shared" si="20"/>
        <v/>
      </c>
      <c r="BA12" s="492" t="str">
        <f t="shared" si="21"/>
        <v/>
      </c>
      <c r="BB12" s="492" t="str">
        <f t="shared" si="22"/>
        <v/>
      </c>
      <c r="BC12" s="492" t="str">
        <f t="shared" si="23"/>
        <v/>
      </c>
      <c r="BD12" s="492" t="str">
        <f t="shared" si="24"/>
        <v/>
      </c>
      <c r="BE12" s="492" t="str">
        <f t="shared" si="25"/>
        <v/>
      </c>
      <c r="BF12" s="492" t="str">
        <f t="shared" si="26"/>
        <v/>
      </c>
      <c r="BG12" s="492" t="str">
        <f t="shared" si="27"/>
        <v/>
      </c>
      <c r="BH12" s="492" t="str">
        <f t="shared" si="28"/>
        <v/>
      </c>
      <c r="BI12" s="492" t="str">
        <f t="shared" si="29"/>
        <v/>
      </c>
      <c r="BJ12" s="492" t="str">
        <f t="shared" si="30"/>
        <v/>
      </c>
      <c r="BK12" s="492" t="str">
        <f t="shared" si="31"/>
        <v/>
      </c>
      <c r="BL12" s="492" t="str">
        <f t="shared" si="32"/>
        <v/>
      </c>
      <c r="BM12" s="492" t="str">
        <f t="shared" si="33"/>
        <v/>
      </c>
      <c r="BN12" s="492" t="str">
        <f t="shared" si="34"/>
        <v/>
      </c>
      <c r="BO12" s="492" t="str">
        <f t="shared" si="35"/>
        <v/>
      </c>
      <c r="BP12" s="492" t="str">
        <f t="shared" si="36"/>
        <v/>
      </c>
      <c r="BQ12" s="492" t="str">
        <f t="shared" si="37"/>
        <v/>
      </c>
      <c r="BR12" s="492" t="str">
        <f t="shared" si="38"/>
        <v/>
      </c>
      <c r="BS12" s="492" t="str">
        <f t="shared" si="39"/>
        <v/>
      </c>
      <c r="BT12" s="492" t="str">
        <f t="shared" si="40"/>
        <v/>
      </c>
      <c r="BU12" s="492" t="str">
        <f t="shared" si="41"/>
        <v/>
      </c>
      <c r="BV12" s="492" t="str">
        <f t="shared" si="42"/>
        <v/>
      </c>
      <c r="BW12" s="492" t="str">
        <f t="shared" si="43"/>
        <v/>
      </c>
      <c r="BX12" s="492" t="str">
        <f t="shared" si="44"/>
        <v/>
      </c>
      <c r="BY12" s="492" t="str">
        <f t="shared" si="45"/>
        <v/>
      </c>
      <c r="BZ12" s="492" t="str">
        <f t="shared" si="46"/>
        <v/>
      </c>
      <c r="CA12" s="492" t="str">
        <f t="shared" si="47"/>
        <v/>
      </c>
      <c r="CB12" s="492" t="str">
        <f t="shared" si="48"/>
        <v/>
      </c>
      <c r="CC12" s="492" t="str">
        <f t="shared" si="49"/>
        <v/>
      </c>
      <c r="CD12" s="492" t="str">
        <f t="shared" si="50"/>
        <v/>
      </c>
      <c r="CE12" s="492" t="str">
        <f t="shared" si="51"/>
        <v/>
      </c>
      <c r="CF12" s="492" t="str">
        <f t="shared" si="52"/>
        <v/>
      </c>
      <c r="CG12" s="492" t="str">
        <f t="shared" si="53"/>
        <v/>
      </c>
      <c r="CH12" s="492" t="str">
        <f t="shared" si="54"/>
        <v/>
      </c>
      <c r="CI12" s="492" t="str">
        <f t="shared" si="55"/>
        <v/>
      </c>
      <c r="CJ12" s="492" t="str">
        <f t="shared" si="56"/>
        <v/>
      </c>
      <c r="CK12" s="492" t="str">
        <f t="shared" si="57"/>
        <v/>
      </c>
      <c r="CL12" s="492" t="str">
        <f t="shared" si="58"/>
        <v/>
      </c>
      <c r="CM12" s="492" t="str">
        <f t="shared" si="59"/>
        <v/>
      </c>
      <c r="CN12" s="492" t="str">
        <f t="shared" si="60"/>
        <v/>
      </c>
      <c r="CO12" s="492" t="str">
        <f t="shared" si="61"/>
        <v/>
      </c>
      <c r="CP12" s="492" t="str">
        <f t="shared" si="62"/>
        <v/>
      </c>
      <c r="CQ12" s="492" t="str">
        <f t="shared" si="63"/>
        <v/>
      </c>
      <c r="CR12" s="492" t="str">
        <f t="shared" si="64"/>
        <v/>
      </c>
      <c r="CS12" s="492" t="str">
        <f t="shared" si="65"/>
        <v/>
      </c>
      <c r="CT12" s="492" t="str">
        <f t="shared" si="66"/>
        <v/>
      </c>
      <c r="CU12" s="492" t="str">
        <f t="shared" si="67"/>
        <v/>
      </c>
      <c r="CV12" s="492" t="str">
        <f t="shared" si="68"/>
        <v/>
      </c>
      <c r="CW12" s="471" t="s">
        <v>402</v>
      </c>
      <c r="CX12" s="471" t="s">
        <v>599</v>
      </c>
    </row>
    <row r="13" spans="1:126" ht="13.5" customHeight="1">
      <c r="A13" s="1232">
        <v>3</v>
      </c>
      <c r="B13" s="1233"/>
      <c r="C13" s="1230"/>
      <c r="D13" s="1234"/>
      <c r="E13" s="1231"/>
      <c r="F13" s="1230"/>
      <c r="G13" s="1234"/>
      <c r="H13" s="1231"/>
      <c r="I13" s="1230"/>
      <c r="J13" s="1231"/>
      <c r="K13" s="1290"/>
      <c r="L13" s="1291"/>
      <c r="M13" s="1290"/>
      <c r="N13" s="1291"/>
      <c r="O13" s="1290"/>
      <c r="P13" s="1291"/>
      <c r="Q13" s="1230"/>
      <c r="R13" s="1231"/>
      <c r="S13" s="1230"/>
      <c r="T13" s="1231"/>
      <c r="U13" s="1228"/>
      <c r="V13" s="1229"/>
      <c r="W13" s="1230"/>
      <c r="X13" s="1231"/>
      <c r="Y13" s="1226"/>
      <c r="Z13" s="1227"/>
      <c r="AA13" s="1275"/>
      <c r="AB13" s="1275"/>
      <c r="AC13" s="1212" t="str">
        <f t="shared" si="0"/>
        <v/>
      </c>
      <c r="AD13" s="1213"/>
      <c r="AE13" s="1213"/>
      <c r="AF13" s="1213"/>
      <c r="AG13" s="492" t="str">
        <f t="shared" si="1"/>
        <v/>
      </c>
      <c r="AH13" s="466" t="str">
        <f t="shared" si="2"/>
        <v/>
      </c>
      <c r="AI13" s="466" t="str">
        <f t="shared" si="3"/>
        <v/>
      </c>
      <c r="AJ13" s="466" t="str">
        <f t="shared" si="4"/>
        <v/>
      </c>
      <c r="AK13" s="492" t="str">
        <f t="shared" si="5"/>
        <v>○</v>
      </c>
      <c r="AL13" s="492" t="str">
        <f t="shared" si="6"/>
        <v/>
      </c>
      <c r="AM13" s="492" t="str">
        <f t="shared" si="7"/>
        <v/>
      </c>
      <c r="AN13" s="492" t="str">
        <f t="shared" si="8"/>
        <v/>
      </c>
      <c r="AO13" s="492" t="str">
        <f t="shared" si="9"/>
        <v/>
      </c>
      <c r="AP13" s="492" t="str">
        <f t="shared" si="10"/>
        <v/>
      </c>
      <c r="AQ13" s="492" t="str">
        <f t="shared" si="11"/>
        <v/>
      </c>
      <c r="AR13" s="492" t="str">
        <f t="shared" si="12"/>
        <v/>
      </c>
      <c r="AS13" s="492" t="str">
        <f t="shared" si="13"/>
        <v/>
      </c>
      <c r="AT13" s="492" t="str">
        <f t="shared" si="14"/>
        <v/>
      </c>
      <c r="AU13" s="492" t="str">
        <f t="shared" si="15"/>
        <v/>
      </c>
      <c r="AV13" s="492" t="str">
        <f t="shared" si="16"/>
        <v/>
      </c>
      <c r="AW13" s="492" t="str">
        <f t="shared" si="17"/>
        <v/>
      </c>
      <c r="AX13" s="492" t="str">
        <f t="shared" si="18"/>
        <v/>
      </c>
      <c r="AY13" s="492" t="str">
        <f t="shared" si="19"/>
        <v/>
      </c>
      <c r="AZ13" s="492" t="str">
        <f t="shared" si="20"/>
        <v/>
      </c>
      <c r="BA13" s="492" t="str">
        <f t="shared" si="21"/>
        <v/>
      </c>
      <c r="BB13" s="492" t="str">
        <f t="shared" si="22"/>
        <v/>
      </c>
      <c r="BC13" s="492" t="str">
        <f t="shared" si="23"/>
        <v/>
      </c>
      <c r="BD13" s="492" t="str">
        <f t="shared" si="24"/>
        <v/>
      </c>
      <c r="BE13" s="492" t="str">
        <f t="shared" si="25"/>
        <v/>
      </c>
      <c r="BF13" s="492" t="str">
        <f t="shared" si="26"/>
        <v/>
      </c>
      <c r="BG13" s="492" t="str">
        <f t="shared" si="27"/>
        <v/>
      </c>
      <c r="BH13" s="492" t="str">
        <f t="shared" si="28"/>
        <v/>
      </c>
      <c r="BI13" s="492" t="str">
        <f t="shared" si="29"/>
        <v/>
      </c>
      <c r="BJ13" s="492" t="str">
        <f t="shared" si="30"/>
        <v/>
      </c>
      <c r="BK13" s="492" t="str">
        <f t="shared" si="31"/>
        <v/>
      </c>
      <c r="BL13" s="492" t="str">
        <f t="shared" si="32"/>
        <v/>
      </c>
      <c r="BM13" s="492" t="str">
        <f t="shared" si="33"/>
        <v/>
      </c>
      <c r="BN13" s="492" t="str">
        <f t="shared" si="34"/>
        <v/>
      </c>
      <c r="BO13" s="492" t="str">
        <f t="shared" si="35"/>
        <v/>
      </c>
      <c r="BP13" s="492" t="str">
        <f t="shared" si="36"/>
        <v/>
      </c>
      <c r="BQ13" s="492" t="str">
        <f t="shared" si="37"/>
        <v/>
      </c>
      <c r="BR13" s="492" t="str">
        <f t="shared" si="38"/>
        <v/>
      </c>
      <c r="BS13" s="492" t="str">
        <f t="shared" si="39"/>
        <v/>
      </c>
      <c r="BT13" s="492" t="str">
        <f t="shared" si="40"/>
        <v/>
      </c>
      <c r="BU13" s="492" t="str">
        <f t="shared" si="41"/>
        <v/>
      </c>
      <c r="BV13" s="492" t="str">
        <f t="shared" si="42"/>
        <v/>
      </c>
      <c r="BW13" s="492" t="str">
        <f t="shared" si="43"/>
        <v/>
      </c>
      <c r="BX13" s="492" t="str">
        <f t="shared" si="44"/>
        <v/>
      </c>
      <c r="BY13" s="492" t="str">
        <f t="shared" si="45"/>
        <v/>
      </c>
      <c r="BZ13" s="492" t="str">
        <f t="shared" si="46"/>
        <v/>
      </c>
      <c r="CA13" s="492" t="str">
        <f t="shared" si="47"/>
        <v/>
      </c>
      <c r="CB13" s="492" t="str">
        <f t="shared" si="48"/>
        <v/>
      </c>
      <c r="CC13" s="492" t="str">
        <f t="shared" si="49"/>
        <v/>
      </c>
      <c r="CD13" s="492" t="str">
        <f t="shared" si="50"/>
        <v/>
      </c>
      <c r="CE13" s="492" t="str">
        <f t="shared" si="51"/>
        <v/>
      </c>
      <c r="CF13" s="492" t="str">
        <f t="shared" si="52"/>
        <v/>
      </c>
      <c r="CG13" s="492" t="str">
        <f t="shared" si="53"/>
        <v/>
      </c>
      <c r="CH13" s="492" t="str">
        <f t="shared" si="54"/>
        <v/>
      </c>
      <c r="CI13" s="492" t="str">
        <f t="shared" si="55"/>
        <v/>
      </c>
      <c r="CJ13" s="492" t="str">
        <f t="shared" si="56"/>
        <v/>
      </c>
      <c r="CK13" s="492" t="str">
        <f t="shared" si="57"/>
        <v/>
      </c>
      <c r="CL13" s="492" t="str">
        <f t="shared" si="58"/>
        <v/>
      </c>
      <c r="CM13" s="492" t="str">
        <f t="shared" si="59"/>
        <v/>
      </c>
      <c r="CN13" s="492" t="str">
        <f t="shared" si="60"/>
        <v/>
      </c>
      <c r="CO13" s="492" t="str">
        <f t="shared" si="61"/>
        <v/>
      </c>
      <c r="CP13" s="492" t="str">
        <f t="shared" si="62"/>
        <v/>
      </c>
      <c r="CQ13" s="492" t="str">
        <f t="shared" si="63"/>
        <v/>
      </c>
      <c r="CR13" s="492" t="str">
        <f t="shared" si="64"/>
        <v/>
      </c>
      <c r="CS13" s="492" t="str">
        <f t="shared" si="65"/>
        <v/>
      </c>
      <c r="CT13" s="492" t="str">
        <f t="shared" si="66"/>
        <v/>
      </c>
      <c r="CU13" s="492" t="str">
        <f t="shared" si="67"/>
        <v/>
      </c>
      <c r="CV13" s="492" t="str">
        <f t="shared" si="68"/>
        <v/>
      </c>
      <c r="CW13" s="494" t="s">
        <v>458</v>
      </c>
      <c r="CX13" s="471" t="s">
        <v>459</v>
      </c>
    </row>
    <row r="14" spans="1:126" ht="13.5" customHeight="1">
      <c r="A14" s="1232">
        <v>4</v>
      </c>
      <c r="B14" s="1233"/>
      <c r="C14" s="1230"/>
      <c r="D14" s="1234"/>
      <c r="E14" s="1231"/>
      <c r="F14" s="1230"/>
      <c r="G14" s="1234"/>
      <c r="H14" s="1231"/>
      <c r="I14" s="1230"/>
      <c r="J14" s="1231"/>
      <c r="K14" s="1290"/>
      <c r="L14" s="1291"/>
      <c r="M14" s="1290"/>
      <c r="N14" s="1291"/>
      <c r="O14" s="1290"/>
      <c r="P14" s="1291"/>
      <c r="Q14" s="1230"/>
      <c r="R14" s="1231"/>
      <c r="S14" s="1230"/>
      <c r="T14" s="1231"/>
      <c r="U14" s="1228"/>
      <c r="V14" s="1229"/>
      <c r="W14" s="1230"/>
      <c r="X14" s="1231"/>
      <c r="Y14" s="1226"/>
      <c r="Z14" s="1227"/>
      <c r="AA14" s="1275"/>
      <c r="AB14" s="1275"/>
      <c r="AC14" s="1212" t="str">
        <f t="shared" si="0"/>
        <v/>
      </c>
      <c r="AD14" s="1213"/>
      <c r="AE14" s="1213"/>
      <c r="AF14" s="1213"/>
      <c r="AG14" s="492" t="str">
        <f t="shared" si="1"/>
        <v/>
      </c>
      <c r="AH14" s="466" t="str">
        <f t="shared" si="2"/>
        <v/>
      </c>
      <c r="AI14" s="466" t="str">
        <f t="shared" si="3"/>
        <v/>
      </c>
      <c r="AJ14" s="466" t="str">
        <f t="shared" si="4"/>
        <v/>
      </c>
      <c r="AK14" s="492" t="str">
        <f t="shared" si="5"/>
        <v>○</v>
      </c>
      <c r="AL14" s="492" t="str">
        <f t="shared" si="6"/>
        <v/>
      </c>
      <c r="AM14" s="492" t="str">
        <f t="shared" si="7"/>
        <v/>
      </c>
      <c r="AN14" s="492" t="str">
        <f t="shared" si="8"/>
        <v/>
      </c>
      <c r="AO14" s="492" t="str">
        <f t="shared" si="9"/>
        <v/>
      </c>
      <c r="AP14" s="492" t="str">
        <f t="shared" si="10"/>
        <v/>
      </c>
      <c r="AQ14" s="492" t="str">
        <f t="shared" si="11"/>
        <v/>
      </c>
      <c r="AR14" s="492" t="str">
        <f t="shared" si="12"/>
        <v/>
      </c>
      <c r="AS14" s="492" t="str">
        <f t="shared" si="13"/>
        <v/>
      </c>
      <c r="AT14" s="492" t="str">
        <f t="shared" si="14"/>
        <v/>
      </c>
      <c r="AU14" s="492" t="str">
        <f t="shared" si="15"/>
        <v/>
      </c>
      <c r="AV14" s="492" t="str">
        <f t="shared" si="16"/>
        <v/>
      </c>
      <c r="AW14" s="492" t="str">
        <f t="shared" si="17"/>
        <v/>
      </c>
      <c r="AX14" s="492" t="str">
        <f t="shared" si="18"/>
        <v/>
      </c>
      <c r="AY14" s="492" t="str">
        <f t="shared" si="19"/>
        <v/>
      </c>
      <c r="AZ14" s="492" t="str">
        <f t="shared" si="20"/>
        <v/>
      </c>
      <c r="BA14" s="492" t="str">
        <f t="shared" si="21"/>
        <v/>
      </c>
      <c r="BB14" s="492" t="str">
        <f t="shared" si="22"/>
        <v/>
      </c>
      <c r="BC14" s="492" t="str">
        <f t="shared" si="23"/>
        <v/>
      </c>
      <c r="BD14" s="492" t="str">
        <f t="shared" si="24"/>
        <v/>
      </c>
      <c r="BE14" s="492" t="str">
        <f t="shared" si="25"/>
        <v/>
      </c>
      <c r="BF14" s="492" t="str">
        <f t="shared" si="26"/>
        <v/>
      </c>
      <c r="BG14" s="492" t="str">
        <f t="shared" si="27"/>
        <v/>
      </c>
      <c r="BH14" s="492" t="str">
        <f t="shared" si="28"/>
        <v/>
      </c>
      <c r="BI14" s="492" t="str">
        <f t="shared" si="29"/>
        <v/>
      </c>
      <c r="BJ14" s="492" t="str">
        <f t="shared" si="30"/>
        <v/>
      </c>
      <c r="BK14" s="492" t="str">
        <f t="shared" si="31"/>
        <v/>
      </c>
      <c r="BL14" s="492" t="str">
        <f t="shared" si="32"/>
        <v/>
      </c>
      <c r="BM14" s="492" t="str">
        <f t="shared" si="33"/>
        <v/>
      </c>
      <c r="BN14" s="492" t="str">
        <f t="shared" si="34"/>
        <v/>
      </c>
      <c r="BO14" s="492" t="str">
        <f t="shared" si="35"/>
        <v/>
      </c>
      <c r="BP14" s="492" t="str">
        <f t="shared" si="36"/>
        <v/>
      </c>
      <c r="BQ14" s="492" t="str">
        <f t="shared" si="37"/>
        <v/>
      </c>
      <c r="BR14" s="492" t="str">
        <f t="shared" si="38"/>
        <v/>
      </c>
      <c r="BS14" s="492" t="str">
        <f t="shared" si="39"/>
        <v/>
      </c>
      <c r="BT14" s="492" t="str">
        <f t="shared" si="40"/>
        <v/>
      </c>
      <c r="BU14" s="492" t="str">
        <f t="shared" si="41"/>
        <v/>
      </c>
      <c r="BV14" s="492" t="str">
        <f t="shared" si="42"/>
        <v/>
      </c>
      <c r="BW14" s="492" t="str">
        <f t="shared" si="43"/>
        <v/>
      </c>
      <c r="BX14" s="492" t="str">
        <f t="shared" si="44"/>
        <v/>
      </c>
      <c r="BY14" s="492" t="str">
        <f t="shared" si="45"/>
        <v/>
      </c>
      <c r="BZ14" s="492" t="str">
        <f t="shared" si="46"/>
        <v/>
      </c>
      <c r="CA14" s="492" t="str">
        <f t="shared" si="47"/>
        <v/>
      </c>
      <c r="CB14" s="492" t="str">
        <f t="shared" si="48"/>
        <v/>
      </c>
      <c r="CC14" s="492" t="str">
        <f t="shared" si="49"/>
        <v/>
      </c>
      <c r="CD14" s="492" t="str">
        <f t="shared" si="50"/>
        <v/>
      </c>
      <c r="CE14" s="492" t="str">
        <f t="shared" si="51"/>
        <v/>
      </c>
      <c r="CF14" s="492" t="str">
        <f t="shared" si="52"/>
        <v/>
      </c>
      <c r="CG14" s="492" t="str">
        <f t="shared" si="53"/>
        <v/>
      </c>
      <c r="CH14" s="492" t="str">
        <f t="shared" si="54"/>
        <v/>
      </c>
      <c r="CI14" s="492" t="str">
        <f t="shared" si="55"/>
        <v/>
      </c>
      <c r="CJ14" s="492" t="str">
        <f t="shared" si="56"/>
        <v/>
      </c>
      <c r="CK14" s="492" t="str">
        <f t="shared" si="57"/>
        <v/>
      </c>
      <c r="CL14" s="492" t="str">
        <f t="shared" si="58"/>
        <v/>
      </c>
      <c r="CM14" s="492" t="str">
        <f t="shared" si="59"/>
        <v/>
      </c>
      <c r="CN14" s="492" t="str">
        <f t="shared" si="60"/>
        <v/>
      </c>
      <c r="CO14" s="492" t="str">
        <f t="shared" si="61"/>
        <v/>
      </c>
      <c r="CP14" s="492" t="str">
        <f t="shared" si="62"/>
        <v/>
      </c>
      <c r="CQ14" s="492" t="str">
        <f t="shared" si="63"/>
        <v/>
      </c>
      <c r="CR14" s="492" t="str">
        <f t="shared" si="64"/>
        <v/>
      </c>
      <c r="CS14" s="492" t="str">
        <f t="shared" si="65"/>
        <v/>
      </c>
      <c r="CT14" s="492" t="str">
        <f t="shared" si="66"/>
        <v/>
      </c>
      <c r="CU14" s="492" t="str">
        <f t="shared" si="67"/>
        <v/>
      </c>
      <c r="CV14" s="492" t="str">
        <f t="shared" si="68"/>
        <v/>
      </c>
      <c r="CW14" s="494"/>
      <c r="CX14" s="471" t="s">
        <v>525</v>
      </c>
    </row>
    <row r="15" spans="1:126" ht="13.5" customHeight="1">
      <c r="A15" s="1232">
        <v>5</v>
      </c>
      <c r="B15" s="1233"/>
      <c r="C15" s="1230"/>
      <c r="D15" s="1234"/>
      <c r="E15" s="1231"/>
      <c r="F15" s="1230"/>
      <c r="G15" s="1234"/>
      <c r="H15" s="1231"/>
      <c r="I15" s="1230"/>
      <c r="J15" s="1231"/>
      <c r="K15" s="1290"/>
      <c r="L15" s="1291"/>
      <c r="M15" s="1290"/>
      <c r="N15" s="1291"/>
      <c r="O15" s="1290"/>
      <c r="P15" s="1291"/>
      <c r="Q15" s="1230"/>
      <c r="R15" s="1231"/>
      <c r="S15" s="1230"/>
      <c r="T15" s="1231"/>
      <c r="U15" s="1228"/>
      <c r="V15" s="1229"/>
      <c r="W15" s="1230"/>
      <c r="X15" s="1231"/>
      <c r="Y15" s="1226"/>
      <c r="Z15" s="1227"/>
      <c r="AA15" s="1275"/>
      <c r="AB15" s="1275"/>
      <c r="AC15" s="1212" t="str">
        <f t="shared" si="0"/>
        <v/>
      </c>
      <c r="AD15" s="1213"/>
      <c r="AE15" s="1213"/>
      <c r="AF15" s="1213"/>
      <c r="AG15" s="492" t="str">
        <f t="shared" si="1"/>
        <v/>
      </c>
      <c r="AH15" s="466" t="str">
        <f t="shared" si="2"/>
        <v/>
      </c>
      <c r="AI15" s="466" t="str">
        <f t="shared" si="3"/>
        <v/>
      </c>
      <c r="AJ15" s="466" t="str">
        <f t="shared" si="4"/>
        <v/>
      </c>
      <c r="AK15" s="492" t="str">
        <f t="shared" si="5"/>
        <v>○</v>
      </c>
      <c r="AL15" s="492" t="str">
        <f t="shared" si="6"/>
        <v/>
      </c>
      <c r="AM15" s="492" t="str">
        <f t="shared" si="7"/>
        <v/>
      </c>
      <c r="AN15" s="492" t="str">
        <f t="shared" si="8"/>
        <v/>
      </c>
      <c r="AO15" s="492" t="str">
        <f t="shared" si="9"/>
        <v/>
      </c>
      <c r="AP15" s="492" t="str">
        <f t="shared" si="10"/>
        <v/>
      </c>
      <c r="AQ15" s="492" t="str">
        <f t="shared" si="11"/>
        <v/>
      </c>
      <c r="AR15" s="492" t="str">
        <f t="shared" si="12"/>
        <v/>
      </c>
      <c r="AS15" s="492" t="str">
        <f t="shared" si="13"/>
        <v/>
      </c>
      <c r="AT15" s="492" t="str">
        <f t="shared" si="14"/>
        <v/>
      </c>
      <c r="AU15" s="492" t="str">
        <f t="shared" si="15"/>
        <v/>
      </c>
      <c r="AV15" s="492" t="str">
        <f t="shared" si="16"/>
        <v/>
      </c>
      <c r="AW15" s="492" t="str">
        <f t="shared" si="17"/>
        <v/>
      </c>
      <c r="AX15" s="492" t="str">
        <f t="shared" si="18"/>
        <v/>
      </c>
      <c r="AY15" s="492" t="str">
        <f t="shared" si="19"/>
        <v/>
      </c>
      <c r="AZ15" s="492" t="str">
        <f t="shared" si="20"/>
        <v/>
      </c>
      <c r="BA15" s="492" t="str">
        <f t="shared" si="21"/>
        <v/>
      </c>
      <c r="BB15" s="492" t="str">
        <f t="shared" si="22"/>
        <v/>
      </c>
      <c r="BC15" s="492" t="str">
        <f t="shared" si="23"/>
        <v/>
      </c>
      <c r="BD15" s="492" t="str">
        <f t="shared" si="24"/>
        <v/>
      </c>
      <c r="BE15" s="492" t="str">
        <f t="shared" si="25"/>
        <v/>
      </c>
      <c r="BF15" s="492" t="str">
        <f t="shared" si="26"/>
        <v/>
      </c>
      <c r="BG15" s="492" t="str">
        <f t="shared" si="27"/>
        <v/>
      </c>
      <c r="BH15" s="492" t="str">
        <f t="shared" si="28"/>
        <v/>
      </c>
      <c r="BI15" s="492" t="str">
        <f t="shared" si="29"/>
        <v/>
      </c>
      <c r="BJ15" s="492" t="str">
        <f t="shared" si="30"/>
        <v/>
      </c>
      <c r="BK15" s="492" t="str">
        <f t="shared" si="31"/>
        <v/>
      </c>
      <c r="BL15" s="492" t="str">
        <f t="shared" si="32"/>
        <v/>
      </c>
      <c r="BM15" s="492" t="str">
        <f t="shared" si="33"/>
        <v/>
      </c>
      <c r="BN15" s="492" t="str">
        <f t="shared" si="34"/>
        <v/>
      </c>
      <c r="BO15" s="492" t="str">
        <f t="shared" si="35"/>
        <v/>
      </c>
      <c r="BP15" s="492" t="str">
        <f t="shared" si="36"/>
        <v/>
      </c>
      <c r="BQ15" s="492" t="str">
        <f t="shared" si="37"/>
        <v/>
      </c>
      <c r="BR15" s="492" t="str">
        <f t="shared" si="38"/>
        <v/>
      </c>
      <c r="BS15" s="492" t="str">
        <f t="shared" si="39"/>
        <v/>
      </c>
      <c r="BT15" s="492" t="str">
        <f t="shared" si="40"/>
        <v/>
      </c>
      <c r="BU15" s="492" t="str">
        <f t="shared" si="41"/>
        <v/>
      </c>
      <c r="BV15" s="492" t="str">
        <f t="shared" si="42"/>
        <v/>
      </c>
      <c r="BW15" s="492" t="str">
        <f t="shared" si="43"/>
        <v/>
      </c>
      <c r="BX15" s="492" t="str">
        <f t="shared" si="44"/>
        <v/>
      </c>
      <c r="BY15" s="492" t="str">
        <f t="shared" si="45"/>
        <v/>
      </c>
      <c r="BZ15" s="492" t="str">
        <f t="shared" si="46"/>
        <v/>
      </c>
      <c r="CA15" s="492" t="str">
        <f t="shared" si="47"/>
        <v/>
      </c>
      <c r="CB15" s="492" t="str">
        <f t="shared" si="48"/>
        <v/>
      </c>
      <c r="CC15" s="492" t="str">
        <f t="shared" si="49"/>
        <v/>
      </c>
      <c r="CD15" s="492" t="str">
        <f t="shared" si="50"/>
        <v/>
      </c>
      <c r="CE15" s="492" t="str">
        <f t="shared" si="51"/>
        <v/>
      </c>
      <c r="CF15" s="492" t="str">
        <f t="shared" si="52"/>
        <v/>
      </c>
      <c r="CG15" s="492" t="str">
        <f t="shared" si="53"/>
        <v/>
      </c>
      <c r="CH15" s="492" t="str">
        <f t="shared" si="54"/>
        <v/>
      </c>
      <c r="CI15" s="492" t="str">
        <f t="shared" si="55"/>
        <v/>
      </c>
      <c r="CJ15" s="492" t="str">
        <f t="shared" si="56"/>
        <v/>
      </c>
      <c r="CK15" s="492" t="str">
        <f t="shared" si="57"/>
        <v/>
      </c>
      <c r="CL15" s="492" t="str">
        <f t="shared" si="58"/>
        <v/>
      </c>
      <c r="CM15" s="492" t="str">
        <f t="shared" si="59"/>
        <v/>
      </c>
      <c r="CN15" s="492" t="str">
        <f t="shared" si="60"/>
        <v/>
      </c>
      <c r="CO15" s="492" t="str">
        <f t="shared" si="61"/>
        <v/>
      </c>
      <c r="CP15" s="492" t="str">
        <f t="shared" si="62"/>
        <v/>
      </c>
      <c r="CQ15" s="492" t="str">
        <f t="shared" si="63"/>
        <v/>
      </c>
      <c r="CR15" s="492" t="str">
        <f t="shared" si="64"/>
        <v/>
      </c>
      <c r="CS15" s="492" t="str">
        <f t="shared" si="65"/>
        <v/>
      </c>
      <c r="CT15" s="492" t="str">
        <f t="shared" si="66"/>
        <v/>
      </c>
      <c r="CU15" s="492" t="str">
        <f t="shared" si="67"/>
        <v/>
      </c>
      <c r="CV15" s="492" t="str">
        <f t="shared" si="68"/>
        <v/>
      </c>
      <c r="CW15" s="494"/>
      <c r="CX15" s="471" t="s">
        <v>37</v>
      </c>
    </row>
    <row r="16" spans="1:126" ht="13.5" customHeight="1">
      <c r="A16" s="1232">
        <v>6</v>
      </c>
      <c r="B16" s="1233"/>
      <c r="C16" s="1230"/>
      <c r="D16" s="1234"/>
      <c r="E16" s="1231"/>
      <c r="F16" s="1230"/>
      <c r="G16" s="1234"/>
      <c r="H16" s="1231"/>
      <c r="I16" s="1230"/>
      <c r="J16" s="1231"/>
      <c r="K16" s="1290"/>
      <c r="L16" s="1291"/>
      <c r="M16" s="1290"/>
      <c r="N16" s="1291"/>
      <c r="O16" s="1290"/>
      <c r="P16" s="1291"/>
      <c r="Q16" s="1230"/>
      <c r="R16" s="1231"/>
      <c r="S16" s="1230"/>
      <c r="T16" s="1231"/>
      <c r="U16" s="1228"/>
      <c r="V16" s="1229"/>
      <c r="W16" s="1230"/>
      <c r="X16" s="1231"/>
      <c r="Y16" s="1226"/>
      <c r="Z16" s="1227"/>
      <c r="AA16" s="1275"/>
      <c r="AB16" s="1275"/>
      <c r="AC16" s="1212" t="str">
        <f t="shared" si="0"/>
        <v/>
      </c>
      <c r="AD16" s="1213"/>
      <c r="AE16" s="1213"/>
      <c r="AF16" s="1213"/>
      <c r="AG16" s="492" t="str">
        <f t="shared" si="1"/>
        <v/>
      </c>
      <c r="AH16" s="466" t="str">
        <f t="shared" si="2"/>
        <v/>
      </c>
      <c r="AI16" s="466" t="str">
        <f t="shared" si="3"/>
        <v/>
      </c>
      <c r="AJ16" s="466" t="str">
        <f t="shared" si="4"/>
        <v/>
      </c>
      <c r="AK16" s="492" t="str">
        <f t="shared" si="5"/>
        <v>○</v>
      </c>
      <c r="AL16" s="492" t="str">
        <f t="shared" si="6"/>
        <v/>
      </c>
      <c r="AM16" s="492" t="str">
        <f t="shared" si="7"/>
        <v/>
      </c>
      <c r="AN16" s="492" t="str">
        <f t="shared" si="8"/>
        <v/>
      </c>
      <c r="AO16" s="492" t="str">
        <f t="shared" si="9"/>
        <v/>
      </c>
      <c r="AP16" s="492" t="str">
        <f t="shared" si="10"/>
        <v/>
      </c>
      <c r="AQ16" s="492" t="str">
        <f t="shared" si="11"/>
        <v/>
      </c>
      <c r="AR16" s="492" t="str">
        <f t="shared" si="12"/>
        <v/>
      </c>
      <c r="AS16" s="492" t="str">
        <f t="shared" si="13"/>
        <v/>
      </c>
      <c r="AT16" s="492" t="str">
        <f t="shared" si="14"/>
        <v/>
      </c>
      <c r="AU16" s="492" t="str">
        <f t="shared" si="15"/>
        <v/>
      </c>
      <c r="AV16" s="492" t="str">
        <f t="shared" si="16"/>
        <v/>
      </c>
      <c r="AW16" s="492" t="str">
        <f t="shared" si="17"/>
        <v/>
      </c>
      <c r="AX16" s="492" t="str">
        <f t="shared" si="18"/>
        <v/>
      </c>
      <c r="AY16" s="492" t="str">
        <f t="shared" si="19"/>
        <v/>
      </c>
      <c r="AZ16" s="492" t="str">
        <f t="shared" si="20"/>
        <v/>
      </c>
      <c r="BA16" s="492" t="str">
        <f t="shared" si="21"/>
        <v/>
      </c>
      <c r="BB16" s="492" t="str">
        <f t="shared" si="22"/>
        <v/>
      </c>
      <c r="BC16" s="492" t="str">
        <f t="shared" si="23"/>
        <v/>
      </c>
      <c r="BD16" s="492" t="str">
        <f t="shared" si="24"/>
        <v/>
      </c>
      <c r="BE16" s="492" t="str">
        <f t="shared" si="25"/>
        <v/>
      </c>
      <c r="BF16" s="492" t="str">
        <f t="shared" si="26"/>
        <v/>
      </c>
      <c r="BG16" s="492" t="str">
        <f t="shared" si="27"/>
        <v/>
      </c>
      <c r="BH16" s="492" t="str">
        <f t="shared" si="28"/>
        <v/>
      </c>
      <c r="BI16" s="492" t="str">
        <f t="shared" si="29"/>
        <v/>
      </c>
      <c r="BJ16" s="492" t="str">
        <f t="shared" si="30"/>
        <v/>
      </c>
      <c r="BK16" s="492" t="str">
        <f t="shared" si="31"/>
        <v/>
      </c>
      <c r="BL16" s="492" t="str">
        <f t="shared" si="32"/>
        <v/>
      </c>
      <c r="BM16" s="492" t="str">
        <f t="shared" si="33"/>
        <v/>
      </c>
      <c r="BN16" s="492" t="str">
        <f t="shared" si="34"/>
        <v/>
      </c>
      <c r="BO16" s="492" t="str">
        <f t="shared" si="35"/>
        <v/>
      </c>
      <c r="BP16" s="492" t="str">
        <f t="shared" si="36"/>
        <v/>
      </c>
      <c r="BQ16" s="492" t="str">
        <f t="shared" si="37"/>
        <v/>
      </c>
      <c r="BR16" s="492" t="str">
        <f t="shared" si="38"/>
        <v/>
      </c>
      <c r="BS16" s="492" t="str">
        <f t="shared" si="39"/>
        <v/>
      </c>
      <c r="BT16" s="492" t="str">
        <f t="shared" si="40"/>
        <v/>
      </c>
      <c r="BU16" s="492" t="str">
        <f t="shared" si="41"/>
        <v/>
      </c>
      <c r="BV16" s="492" t="str">
        <f t="shared" si="42"/>
        <v/>
      </c>
      <c r="BW16" s="492" t="str">
        <f t="shared" si="43"/>
        <v/>
      </c>
      <c r="BX16" s="492" t="str">
        <f t="shared" si="44"/>
        <v/>
      </c>
      <c r="BY16" s="492" t="str">
        <f t="shared" si="45"/>
        <v/>
      </c>
      <c r="BZ16" s="492" t="str">
        <f t="shared" si="46"/>
        <v/>
      </c>
      <c r="CA16" s="492" t="str">
        <f t="shared" si="47"/>
        <v/>
      </c>
      <c r="CB16" s="492" t="str">
        <f t="shared" si="48"/>
        <v/>
      </c>
      <c r="CC16" s="492" t="str">
        <f t="shared" si="49"/>
        <v/>
      </c>
      <c r="CD16" s="492" t="str">
        <f t="shared" si="50"/>
        <v/>
      </c>
      <c r="CE16" s="492" t="str">
        <f t="shared" si="51"/>
        <v/>
      </c>
      <c r="CF16" s="492" t="str">
        <f t="shared" si="52"/>
        <v/>
      </c>
      <c r="CG16" s="492" t="str">
        <f t="shared" si="53"/>
        <v/>
      </c>
      <c r="CH16" s="492" t="str">
        <f t="shared" si="54"/>
        <v/>
      </c>
      <c r="CI16" s="492" t="str">
        <f t="shared" si="55"/>
        <v/>
      </c>
      <c r="CJ16" s="492" t="str">
        <f t="shared" si="56"/>
        <v/>
      </c>
      <c r="CK16" s="492" t="str">
        <f t="shared" si="57"/>
        <v/>
      </c>
      <c r="CL16" s="492" t="str">
        <f t="shared" si="58"/>
        <v/>
      </c>
      <c r="CM16" s="492" t="str">
        <f t="shared" si="59"/>
        <v/>
      </c>
      <c r="CN16" s="492" t="str">
        <f t="shared" si="60"/>
        <v/>
      </c>
      <c r="CO16" s="492" t="str">
        <f t="shared" si="61"/>
        <v/>
      </c>
      <c r="CP16" s="492" t="str">
        <f t="shared" si="62"/>
        <v/>
      </c>
      <c r="CQ16" s="492" t="str">
        <f t="shared" si="63"/>
        <v/>
      </c>
      <c r="CR16" s="492" t="str">
        <f t="shared" si="64"/>
        <v/>
      </c>
      <c r="CS16" s="492" t="str">
        <f t="shared" si="65"/>
        <v/>
      </c>
      <c r="CT16" s="492" t="str">
        <f t="shared" si="66"/>
        <v/>
      </c>
      <c r="CU16" s="492" t="str">
        <f t="shared" si="67"/>
        <v/>
      </c>
      <c r="CV16" s="492" t="str">
        <f t="shared" si="68"/>
        <v/>
      </c>
      <c r="CW16" s="494"/>
      <c r="CX16" s="471">
        <v>1</v>
      </c>
      <c r="CY16" s="471">
        <v>2</v>
      </c>
      <c r="CZ16" s="471">
        <v>3</v>
      </c>
      <c r="DA16" s="471">
        <v>4</v>
      </c>
      <c r="DB16" s="471">
        <v>5</v>
      </c>
      <c r="DC16" s="471">
        <v>6</v>
      </c>
      <c r="DD16" s="471">
        <v>7</v>
      </c>
      <c r="DE16" s="471">
        <v>8</v>
      </c>
      <c r="DF16" s="471">
        <v>9</v>
      </c>
      <c r="DG16" s="471">
        <v>10</v>
      </c>
      <c r="DH16" s="471">
        <v>11</v>
      </c>
      <c r="DI16" s="471">
        <v>12</v>
      </c>
      <c r="DJ16" s="471">
        <v>13</v>
      </c>
      <c r="DK16" s="471">
        <v>14</v>
      </c>
      <c r="DL16" s="471">
        <v>15</v>
      </c>
      <c r="DM16" s="471">
        <v>16</v>
      </c>
      <c r="DN16" s="471">
        <v>17</v>
      </c>
      <c r="DO16" s="471">
        <v>18</v>
      </c>
      <c r="DP16" s="471">
        <v>19</v>
      </c>
      <c r="DQ16" s="471">
        <v>20</v>
      </c>
      <c r="DR16" s="471">
        <v>21</v>
      </c>
      <c r="DS16" s="471">
        <v>22</v>
      </c>
      <c r="DT16" s="471">
        <v>23</v>
      </c>
      <c r="DU16" s="471">
        <v>24</v>
      </c>
      <c r="DV16" s="471">
        <v>25</v>
      </c>
    </row>
    <row r="17" spans="1:101" ht="13.5" customHeight="1">
      <c r="A17" s="1232">
        <v>7</v>
      </c>
      <c r="B17" s="1233"/>
      <c r="C17" s="1230"/>
      <c r="D17" s="1234"/>
      <c r="E17" s="1231"/>
      <c r="F17" s="1230"/>
      <c r="G17" s="1234"/>
      <c r="H17" s="1231"/>
      <c r="I17" s="1230"/>
      <c r="J17" s="1231"/>
      <c r="K17" s="1290"/>
      <c r="L17" s="1291"/>
      <c r="M17" s="1290"/>
      <c r="N17" s="1291"/>
      <c r="O17" s="1290"/>
      <c r="P17" s="1291"/>
      <c r="Q17" s="1230"/>
      <c r="R17" s="1231"/>
      <c r="S17" s="1230"/>
      <c r="T17" s="1231"/>
      <c r="U17" s="1228"/>
      <c r="V17" s="1229"/>
      <c r="W17" s="1230"/>
      <c r="X17" s="1231"/>
      <c r="Y17" s="1226"/>
      <c r="Z17" s="1227"/>
      <c r="AA17" s="1275"/>
      <c r="AB17" s="1275"/>
      <c r="AC17" s="1212" t="str">
        <f t="shared" si="0"/>
        <v/>
      </c>
      <c r="AD17" s="1213"/>
      <c r="AE17" s="1213"/>
      <c r="AF17" s="1213"/>
      <c r="AG17" s="492" t="str">
        <f t="shared" si="1"/>
        <v/>
      </c>
      <c r="AH17" s="466" t="str">
        <f t="shared" si="2"/>
        <v/>
      </c>
      <c r="AI17" s="466" t="str">
        <f t="shared" si="3"/>
        <v/>
      </c>
      <c r="AJ17" s="466" t="str">
        <f t="shared" si="4"/>
        <v/>
      </c>
      <c r="AK17" s="492" t="str">
        <f t="shared" si="5"/>
        <v>○</v>
      </c>
      <c r="AL17" s="492" t="str">
        <f t="shared" si="6"/>
        <v/>
      </c>
      <c r="AM17" s="492" t="str">
        <f t="shared" si="7"/>
        <v/>
      </c>
      <c r="AN17" s="492" t="str">
        <f t="shared" si="8"/>
        <v/>
      </c>
      <c r="AO17" s="492" t="str">
        <f t="shared" si="9"/>
        <v/>
      </c>
      <c r="AP17" s="492" t="str">
        <f t="shared" si="10"/>
        <v/>
      </c>
      <c r="AQ17" s="492" t="str">
        <f t="shared" si="11"/>
        <v/>
      </c>
      <c r="AR17" s="492" t="str">
        <f t="shared" si="12"/>
        <v/>
      </c>
      <c r="AS17" s="492" t="str">
        <f t="shared" si="13"/>
        <v/>
      </c>
      <c r="AT17" s="492" t="str">
        <f t="shared" si="14"/>
        <v/>
      </c>
      <c r="AU17" s="492" t="str">
        <f t="shared" si="15"/>
        <v/>
      </c>
      <c r="AV17" s="492" t="str">
        <f t="shared" si="16"/>
        <v/>
      </c>
      <c r="AW17" s="492" t="str">
        <f t="shared" si="17"/>
        <v/>
      </c>
      <c r="AX17" s="492" t="str">
        <f t="shared" si="18"/>
        <v/>
      </c>
      <c r="AY17" s="492" t="str">
        <f t="shared" si="19"/>
        <v/>
      </c>
      <c r="AZ17" s="492" t="str">
        <f t="shared" si="20"/>
        <v/>
      </c>
      <c r="BA17" s="492" t="str">
        <f t="shared" si="21"/>
        <v/>
      </c>
      <c r="BB17" s="492" t="str">
        <f t="shared" si="22"/>
        <v/>
      </c>
      <c r="BC17" s="492" t="str">
        <f t="shared" si="23"/>
        <v/>
      </c>
      <c r="BD17" s="492" t="str">
        <f t="shared" si="24"/>
        <v/>
      </c>
      <c r="BE17" s="492" t="str">
        <f t="shared" si="25"/>
        <v/>
      </c>
      <c r="BF17" s="492" t="str">
        <f t="shared" si="26"/>
        <v/>
      </c>
      <c r="BG17" s="492" t="str">
        <f t="shared" si="27"/>
        <v/>
      </c>
      <c r="BH17" s="492" t="str">
        <f t="shared" si="28"/>
        <v/>
      </c>
      <c r="BI17" s="492" t="str">
        <f t="shared" si="29"/>
        <v/>
      </c>
      <c r="BJ17" s="492" t="str">
        <f t="shared" si="30"/>
        <v/>
      </c>
      <c r="BK17" s="492" t="str">
        <f t="shared" si="31"/>
        <v/>
      </c>
      <c r="BL17" s="492" t="str">
        <f t="shared" si="32"/>
        <v/>
      </c>
      <c r="BM17" s="492" t="str">
        <f t="shared" si="33"/>
        <v/>
      </c>
      <c r="BN17" s="492" t="str">
        <f t="shared" si="34"/>
        <v/>
      </c>
      <c r="BO17" s="492" t="str">
        <f t="shared" si="35"/>
        <v/>
      </c>
      <c r="BP17" s="492" t="str">
        <f t="shared" si="36"/>
        <v/>
      </c>
      <c r="BQ17" s="492" t="str">
        <f t="shared" si="37"/>
        <v/>
      </c>
      <c r="BR17" s="492" t="str">
        <f t="shared" si="38"/>
        <v/>
      </c>
      <c r="BS17" s="492" t="str">
        <f t="shared" si="39"/>
        <v/>
      </c>
      <c r="BT17" s="492" t="str">
        <f t="shared" si="40"/>
        <v/>
      </c>
      <c r="BU17" s="492" t="str">
        <f t="shared" si="41"/>
        <v/>
      </c>
      <c r="BV17" s="492" t="str">
        <f t="shared" si="42"/>
        <v/>
      </c>
      <c r="BW17" s="492" t="str">
        <f t="shared" si="43"/>
        <v/>
      </c>
      <c r="BX17" s="492" t="str">
        <f t="shared" si="44"/>
        <v/>
      </c>
      <c r="BY17" s="492" t="str">
        <f t="shared" si="45"/>
        <v/>
      </c>
      <c r="BZ17" s="492" t="str">
        <f t="shared" si="46"/>
        <v/>
      </c>
      <c r="CA17" s="492" t="str">
        <f t="shared" si="47"/>
        <v/>
      </c>
      <c r="CB17" s="492" t="str">
        <f t="shared" si="48"/>
        <v/>
      </c>
      <c r="CC17" s="492" t="str">
        <f t="shared" si="49"/>
        <v/>
      </c>
      <c r="CD17" s="492" t="str">
        <f t="shared" si="50"/>
        <v/>
      </c>
      <c r="CE17" s="492" t="str">
        <f t="shared" si="51"/>
        <v/>
      </c>
      <c r="CF17" s="492" t="str">
        <f t="shared" si="52"/>
        <v/>
      </c>
      <c r="CG17" s="492" t="str">
        <f t="shared" si="53"/>
        <v/>
      </c>
      <c r="CH17" s="492" t="str">
        <f t="shared" si="54"/>
        <v/>
      </c>
      <c r="CI17" s="492" t="str">
        <f t="shared" si="55"/>
        <v/>
      </c>
      <c r="CJ17" s="492" t="str">
        <f t="shared" si="56"/>
        <v/>
      </c>
      <c r="CK17" s="492" t="str">
        <f t="shared" si="57"/>
        <v/>
      </c>
      <c r="CL17" s="492" t="str">
        <f t="shared" si="58"/>
        <v/>
      </c>
      <c r="CM17" s="492" t="str">
        <f t="shared" si="59"/>
        <v/>
      </c>
      <c r="CN17" s="492" t="str">
        <f t="shared" si="60"/>
        <v/>
      </c>
      <c r="CO17" s="492" t="str">
        <f t="shared" si="61"/>
        <v/>
      </c>
      <c r="CP17" s="492" t="str">
        <f t="shared" si="62"/>
        <v/>
      </c>
      <c r="CQ17" s="492" t="str">
        <f t="shared" si="63"/>
        <v/>
      </c>
      <c r="CR17" s="492" t="str">
        <f t="shared" si="64"/>
        <v/>
      </c>
      <c r="CS17" s="492" t="str">
        <f t="shared" si="65"/>
        <v/>
      </c>
      <c r="CT17" s="492" t="str">
        <f t="shared" si="66"/>
        <v/>
      </c>
      <c r="CU17" s="492" t="str">
        <f t="shared" si="67"/>
        <v/>
      </c>
      <c r="CV17" s="492" t="str">
        <f t="shared" si="68"/>
        <v/>
      </c>
      <c r="CW17" s="495">
        <v>1</v>
      </c>
    </row>
    <row r="18" spans="1:101" ht="13.5" customHeight="1">
      <c r="A18" s="1232">
        <v>8</v>
      </c>
      <c r="B18" s="1233"/>
      <c r="C18" s="1230"/>
      <c r="D18" s="1234"/>
      <c r="E18" s="1231"/>
      <c r="F18" s="1230"/>
      <c r="G18" s="1234"/>
      <c r="H18" s="1231"/>
      <c r="I18" s="1230"/>
      <c r="J18" s="1231"/>
      <c r="K18" s="1290"/>
      <c r="L18" s="1291"/>
      <c r="M18" s="1290"/>
      <c r="N18" s="1291"/>
      <c r="O18" s="1290"/>
      <c r="P18" s="1291"/>
      <c r="Q18" s="1230"/>
      <c r="R18" s="1231"/>
      <c r="S18" s="1230"/>
      <c r="T18" s="1231"/>
      <c r="U18" s="1228"/>
      <c r="V18" s="1229"/>
      <c r="W18" s="1230"/>
      <c r="X18" s="1231"/>
      <c r="Y18" s="1226"/>
      <c r="Z18" s="1227"/>
      <c r="AA18" s="1275"/>
      <c r="AB18" s="1275"/>
      <c r="AC18" s="1212" t="str">
        <f t="shared" si="0"/>
        <v/>
      </c>
      <c r="AD18" s="1213"/>
      <c r="AE18" s="1213"/>
      <c r="AF18" s="1213"/>
      <c r="AG18" s="492" t="str">
        <f t="shared" si="1"/>
        <v/>
      </c>
      <c r="AH18" s="466" t="str">
        <f t="shared" si="2"/>
        <v/>
      </c>
      <c r="AI18" s="466" t="str">
        <f t="shared" si="3"/>
        <v/>
      </c>
      <c r="AJ18" s="466" t="str">
        <f t="shared" si="4"/>
        <v/>
      </c>
      <c r="AK18" s="492" t="str">
        <f t="shared" si="5"/>
        <v>○</v>
      </c>
      <c r="AL18" s="492" t="str">
        <f t="shared" si="6"/>
        <v/>
      </c>
      <c r="AM18" s="492" t="str">
        <f t="shared" si="7"/>
        <v/>
      </c>
      <c r="AN18" s="492" t="str">
        <f t="shared" si="8"/>
        <v/>
      </c>
      <c r="AO18" s="492" t="str">
        <f t="shared" si="9"/>
        <v/>
      </c>
      <c r="AP18" s="492" t="str">
        <f t="shared" si="10"/>
        <v/>
      </c>
      <c r="AQ18" s="492" t="str">
        <f t="shared" si="11"/>
        <v/>
      </c>
      <c r="AR18" s="492" t="str">
        <f t="shared" si="12"/>
        <v/>
      </c>
      <c r="AS18" s="492" t="str">
        <f t="shared" si="13"/>
        <v/>
      </c>
      <c r="AT18" s="492" t="str">
        <f t="shared" si="14"/>
        <v/>
      </c>
      <c r="AU18" s="492" t="str">
        <f t="shared" si="15"/>
        <v/>
      </c>
      <c r="AV18" s="492" t="str">
        <f t="shared" si="16"/>
        <v/>
      </c>
      <c r="AW18" s="492" t="str">
        <f t="shared" si="17"/>
        <v/>
      </c>
      <c r="AX18" s="492" t="str">
        <f t="shared" si="18"/>
        <v/>
      </c>
      <c r="AY18" s="492" t="str">
        <f t="shared" si="19"/>
        <v/>
      </c>
      <c r="AZ18" s="492" t="str">
        <f t="shared" si="20"/>
        <v/>
      </c>
      <c r="BA18" s="492" t="str">
        <f t="shared" si="21"/>
        <v/>
      </c>
      <c r="BB18" s="492" t="str">
        <f t="shared" si="22"/>
        <v/>
      </c>
      <c r="BC18" s="492" t="str">
        <f t="shared" si="23"/>
        <v/>
      </c>
      <c r="BD18" s="492" t="str">
        <f t="shared" si="24"/>
        <v/>
      </c>
      <c r="BE18" s="492" t="str">
        <f t="shared" si="25"/>
        <v/>
      </c>
      <c r="BF18" s="492" t="str">
        <f t="shared" si="26"/>
        <v/>
      </c>
      <c r="BG18" s="492" t="str">
        <f t="shared" si="27"/>
        <v/>
      </c>
      <c r="BH18" s="492" t="str">
        <f t="shared" si="28"/>
        <v/>
      </c>
      <c r="BI18" s="492" t="str">
        <f t="shared" si="29"/>
        <v/>
      </c>
      <c r="BJ18" s="492" t="str">
        <f t="shared" si="30"/>
        <v/>
      </c>
      <c r="BK18" s="492" t="str">
        <f t="shared" si="31"/>
        <v/>
      </c>
      <c r="BL18" s="492" t="str">
        <f t="shared" si="32"/>
        <v/>
      </c>
      <c r="BM18" s="492" t="str">
        <f t="shared" si="33"/>
        <v/>
      </c>
      <c r="BN18" s="492" t="str">
        <f t="shared" si="34"/>
        <v/>
      </c>
      <c r="BO18" s="492" t="str">
        <f t="shared" si="35"/>
        <v/>
      </c>
      <c r="BP18" s="492" t="str">
        <f t="shared" si="36"/>
        <v/>
      </c>
      <c r="BQ18" s="492" t="str">
        <f t="shared" si="37"/>
        <v/>
      </c>
      <c r="BR18" s="492" t="str">
        <f t="shared" si="38"/>
        <v/>
      </c>
      <c r="BS18" s="492" t="str">
        <f t="shared" si="39"/>
        <v/>
      </c>
      <c r="BT18" s="492" t="str">
        <f t="shared" si="40"/>
        <v/>
      </c>
      <c r="BU18" s="492" t="str">
        <f t="shared" si="41"/>
        <v/>
      </c>
      <c r="BV18" s="492" t="str">
        <f t="shared" si="42"/>
        <v/>
      </c>
      <c r="BW18" s="492" t="str">
        <f t="shared" si="43"/>
        <v/>
      </c>
      <c r="BX18" s="492" t="str">
        <f t="shared" si="44"/>
        <v/>
      </c>
      <c r="BY18" s="492" t="str">
        <f t="shared" si="45"/>
        <v/>
      </c>
      <c r="BZ18" s="492" t="str">
        <f t="shared" si="46"/>
        <v/>
      </c>
      <c r="CA18" s="492" t="str">
        <f t="shared" si="47"/>
        <v/>
      </c>
      <c r="CB18" s="492" t="str">
        <f t="shared" si="48"/>
        <v/>
      </c>
      <c r="CC18" s="492" t="str">
        <f t="shared" si="49"/>
        <v/>
      </c>
      <c r="CD18" s="492" t="str">
        <f t="shared" si="50"/>
        <v/>
      </c>
      <c r="CE18" s="492" t="str">
        <f t="shared" si="51"/>
        <v/>
      </c>
      <c r="CF18" s="492" t="str">
        <f t="shared" si="52"/>
        <v/>
      </c>
      <c r="CG18" s="492" t="str">
        <f t="shared" si="53"/>
        <v/>
      </c>
      <c r="CH18" s="492" t="str">
        <f t="shared" si="54"/>
        <v/>
      </c>
      <c r="CI18" s="492" t="str">
        <f t="shared" si="55"/>
        <v/>
      </c>
      <c r="CJ18" s="492" t="str">
        <f t="shared" si="56"/>
        <v/>
      </c>
      <c r="CK18" s="492" t="str">
        <f t="shared" si="57"/>
        <v/>
      </c>
      <c r="CL18" s="492" t="str">
        <f t="shared" si="58"/>
        <v/>
      </c>
      <c r="CM18" s="492" t="str">
        <f t="shared" si="59"/>
        <v/>
      </c>
      <c r="CN18" s="492" t="str">
        <f t="shared" si="60"/>
        <v/>
      </c>
      <c r="CO18" s="492" t="str">
        <f t="shared" si="61"/>
        <v/>
      </c>
      <c r="CP18" s="492" t="str">
        <f t="shared" si="62"/>
        <v/>
      </c>
      <c r="CQ18" s="492" t="str">
        <f t="shared" si="63"/>
        <v/>
      </c>
      <c r="CR18" s="492" t="str">
        <f t="shared" si="64"/>
        <v/>
      </c>
      <c r="CS18" s="492" t="str">
        <f t="shared" si="65"/>
        <v/>
      </c>
      <c r="CT18" s="492" t="str">
        <f t="shared" si="66"/>
        <v/>
      </c>
      <c r="CU18" s="492" t="str">
        <f t="shared" si="67"/>
        <v/>
      </c>
      <c r="CV18" s="492" t="str">
        <f t="shared" si="68"/>
        <v/>
      </c>
      <c r="CW18" s="495">
        <v>1</v>
      </c>
    </row>
    <row r="19" spans="1:101" ht="13.5" customHeight="1">
      <c r="A19" s="1232">
        <v>9</v>
      </c>
      <c r="B19" s="1233"/>
      <c r="C19" s="1230"/>
      <c r="D19" s="1234"/>
      <c r="E19" s="1231"/>
      <c r="F19" s="1230"/>
      <c r="G19" s="1234"/>
      <c r="H19" s="1231"/>
      <c r="I19" s="1230"/>
      <c r="J19" s="1231"/>
      <c r="K19" s="1290"/>
      <c r="L19" s="1291"/>
      <c r="M19" s="1290"/>
      <c r="N19" s="1291"/>
      <c r="O19" s="1290"/>
      <c r="P19" s="1291"/>
      <c r="Q19" s="1230"/>
      <c r="R19" s="1231"/>
      <c r="S19" s="1230"/>
      <c r="T19" s="1231"/>
      <c r="U19" s="1228"/>
      <c r="V19" s="1229"/>
      <c r="W19" s="1230"/>
      <c r="X19" s="1231"/>
      <c r="Y19" s="1226"/>
      <c r="Z19" s="1227"/>
      <c r="AA19" s="1275"/>
      <c r="AB19" s="1275"/>
      <c r="AC19" s="1212" t="str">
        <f t="shared" si="0"/>
        <v/>
      </c>
      <c r="AD19" s="1213"/>
      <c r="AE19" s="1213"/>
      <c r="AF19" s="1213"/>
      <c r="AG19" s="492" t="str">
        <f t="shared" si="1"/>
        <v/>
      </c>
      <c r="AH19" s="466" t="str">
        <f t="shared" si="2"/>
        <v/>
      </c>
      <c r="AI19" s="466" t="str">
        <f t="shared" si="3"/>
        <v/>
      </c>
      <c r="AJ19" s="466" t="str">
        <f t="shared" si="4"/>
        <v/>
      </c>
      <c r="AK19" s="492" t="str">
        <f t="shared" si="5"/>
        <v>○</v>
      </c>
      <c r="AL19" s="492" t="str">
        <f t="shared" si="6"/>
        <v/>
      </c>
      <c r="AM19" s="492" t="str">
        <f t="shared" si="7"/>
        <v/>
      </c>
      <c r="AN19" s="492" t="str">
        <f t="shared" si="8"/>
        <v/>
      </c>
      <c r="AO19" s="492" t="str">
        <f t="shared" si="9"/>
        <v/>
      </c>
      <c r="AP19" s="492" t="str">
        <f t="shared" si="10"/>
        <v/>
      </c>
      <c r="AQ19" s="492" t="str">
        <f t="shared" si="11"/>
        <v/>
      </c>
      <c r="AR19" s="492" t="str">
        <f t="shared" si="12"/>
        <v/>
      </c>
      <c r="AS19" s="492" t="str">
        <f t="shared" si="13"/>
        <v/>
      </c>
      <c r="AT19" s="492" t="str">
        <f t="shared" si="14"/>
        <v/>
      </c>
      <c r="AU19" s="492" t="str">
        <f t="shared" si="15"/>
        <v/>
      </c>
      <c r="AV19" s="492" t="str">
        <f t="shared" si="16"/>
        <v/>
      </c>
      <c r="AW19" s="492" t="str">
        <f t="shared" si="17"/>
        <v/>
      </c>
      <c r="AX19" s="492" t="str">
        <f t="shared" si="18"/>
        <v/>
      </c>
      <c r="AY19" s="492" t="str">
        <f t="shared" si="19"/>
        <v/>
      </c>
      <c r="AZ19" s="492" t="str">
        <f t="shared" si="20"/>
        <v/>
      </c>
      <c r="BA19" s="492" t="str">
        <f t="shared" si="21"/>
        <v/>
      </c>
      <c r="BB19" s="492" t="str">
        <f t="shared" si="22"/>
        <v/>
      </c>
      <c r="BC19" s="492" t="str">
        <f t="shared" si="23"/>
        <v/>
      </c>
      <c r="BD19" s="492" t="str">
        <f t="shared" si="24"/>
        <v/>
      </c>
      <c r="BE19" s="492" t="str">
        <f t="shared" si="25"/>
        <v/>
      </c>
      <c r="BF19" s="492" t="str">
        <f t="shared" si="26"/>
        <v/>
      </c>
      <c r="BG19" s="492" t="str">
        <f t="shared" si="27"/>
        <v/>
      </c>
      <c r="BH19" s="492" t="str">
        <f t="shared" si="28"/>
        <v/>
      </c>
      <c r="BI19" s="492" t="str">
        <f t="shared" si="29"/>
        <v/>
      </c>
      <c r="BJ19" s="492" t="str">
        <f t="shared" si="30"/>
        <v/>
      </c>
      <c r="BK19" s="492" t="str">
        <f t="shared" si="31"/>
        <v/>
      </c>
      <c r="BL19" s="492" t="str">
        <f t="shared" si="32"/>
        <v/>
      </c>
      <c r="BM19" s="492" t="str">
        <f t="shared" si="33"/>
        <v/>
      </c>
      <c r="BN19" s="492" t="str">
        <f t="shared" si="34"/>
        <v/>
      </c>
      <c r="BO19" s="492" t="str">
        <f t="shared" si="35"/>
        <v/>
      </c>
      <c r="BP19" s="492" t="str">
        <f t="shared" si="36"/>
        <v/>
      </c>
      <c r="BQ19" s="492" t="str">
        <f t="shared" si="37"/>
        <v/>
      </c>
      <c r="BR19" s="492" t="str">
        <f t="shared" si="38"/>
        <v/>
      </c>
      <c r="BS19" s="492" t="str">
        <f t="shared" si="39"/>
        <v/>
      </c>
      <c r="BT19" s="492" t="str">
        <f t="shared" si="40"/>
        <v/>
      </c>
      <c r="BU19" s="492" t="str">
        <f t="shared" si="41"/>
        <v/>
      </c>
      <c r="BV19" s="492" t="str">
        <f t="shared" si="42"/>
        <v/>
      </c>
      <c r="BW19" s="492" t="str">
        <f t="shared" si="43"/>
        <v/>
      </c>
      <c r="BX19" s="492" t="str">
        <f t="shared" si="44"/>
        <v/>
      </c>
      <c r="BY19" s="492" t="str">
        <f t="shared" si="45"/>
        <v/>
      </c>
      <c r="BZ19" s="492" t="str">
        <f t="shared" si="46"/>
        <v/>
      </c>
      <c r="CA19" s="492" t="str">
        <f t="shared" si="47"/>
        <v/>
      </c>
      <c r="CB19" s="492" t="str">
        <f t="shared" si="48"/>
        <v/>
      </c>
      <c r="CC19" s="492" t="str">
        <f t="shared" si="49"/>
        <v/>
      </c>
      <c r="CD19" s="492" t="str">
        <f t="shared" si="50"/>
        <v/>
      </c>
      <c r="CE19" s="492" t="str">
        <f t="shared" si="51"/>
        <v/>
      </c>
      <c r="CF19" s="492" t="str">
        <f t="shared" si="52"/>
        <v/>
      </c>
      <c r="CG19" s="492" t="str">
        <f t="shared" si="53"/>
        <v/>
      </c>
      <c r="CH19" s="492" t="str">
        <f t="shared" si="54"/>
        <v/>
      </c>
      <c r="CI19" s="492" t="str">
        <f t="shared" si="55"/>
        <v/>
      </c>
      <c r="CJ19" s="492" t="str">
        <f t="shared" si="56"/>
        <v/>
      </c>
      <c r="CK19" s="492" t="str">
        <f t="shared" si="57"/>
        <v/>
      </c>
      <c r="CL19" s="492" t="str">
        <f t="shared" si="58"/>
        <v/>
      </c>
      <c r="CM19" s="492" t="str">
        <f t="shared" si="59"/>
        <v/>
      </c>
      <c r="CN19" s="492" t="str">
        <f t="shared" si="60"/>
        <v/>
      </c>
      <c r="CO19" s="492" t="str">
        <f t="shared" si="61"/>
        <v/>
      </c>
      <c r="CP19" s="492" t="str">
        <f t="shared" si="62"/>
        <v/>
      </c>
      <c r="CQ19" s="492" t="str">
        <f t="shared" si="63"/>
        <v/>
      </c>
      <c r="CR19" s="492" t="str">
        <f t="shared" si="64"/>
        <v/>
      </c>
      <c r="CS19" s="492" t="str">
        <f t="shared" si="65"/>
        <v/>
      </c>
      <c r="CT19" s="492" t="str">
        <f t="shared" si="66"/>
        <v/>
      </c>
      <c r="CU19" s="492" t="str">
        <f t="shared" si="67"/>
        <v/>
      </c>
      <c r="CV19" s="492" t="str">
        <f t="shared" si="68"/>
        <v/>
      </c>
      <c r="CW19" s="495">
        <v>1</v>
      </c>
    </row>
    <row r="20" spans="1:101" ht="13.5" customHeight="1">
      <c r="A20" s="1232">
        <v>10</v>
      </c>
      <c r="B20" s="1233"/>
      <c r="C20" s="1230"/>
      <c r="D20" s="1234"/>
      <c r="E20" s="1231"/>
      <c r="F20" s="1230"/>
      <c r="G20" s="1234"/>
      <c r="H20" s="1231"/>
      <c r="I20" s="1230"/>
      <c r="J20" s="1231"/>
      <c r="K20" s="1290"/>
      <c r="L20" s="1291"/>
      <c r="M20" s="1290"/>
      <c r="N20" s="1291"/>
      <c r="O20" s="1290"/>
      <c r="P20" s="1291"/>
      <c r="Q20" s="1230"/>
      <c r="R20" s="1231"/>
      <c r="S20" s="1230"/>
      <c r="T20" s="1231"/>
      <c r="U20" s="1228"/>
      <c r="V20" s="1229"/>
      <c r="W20" s="1230"/>
      <c r="X20" s="1231"/>
      <c r="Y20" s="1226"/>
      <c r="Z20" s="1227"/>
      <c r="AA20" s="1275"/>
      <c r="AB20" s="1275"/>
      <c r="AC20" s="1212" t="str">
        <f t="shared" si="0"/>
        <v/>
      </c>
      <c r="AD20" s="1213"/>
      <c r="AE20" s="1213"/>
      <c r="AF20" s="1213"/>
      <c r="AG20" s="492" t="str">
        <f t="shared" si="1"/>
        <v/>
      </c>
      <c r="AH20" s="466" t="str">
        <f t="shared" si="2"/>
        <v/>
      </c>
      <c r="AI20" s="466" t="str">
        <f t="shared" si="3"/>
        <v/>
      </c>
      <c r="AJ20" s="466" t="str">
        <f t="shared" si="4"/>
        <v/>
      </c>
      <c r="AK20" s="492" t="str">
        <f t="shared" si="5"/>
        <v>○</v>
      </c>
      <c r="AL20" s="492" t="str">
        <f t="shared" si="6"/>
        <v/>
      </c>
      <c r="AM20" s="492" t="str">
        <f t="shared" si="7"/>
        <v/>
      </c>
      <c r="AN20" s="492" t="str">
        <f t="shared" si="8"/>
        <v/>
      </c>
      <c r="AO20" s="492" t="str">
        <f t="shared" si="9"/>
        <v/>
      </c>
      <c r="AP20" s="492" t="str">
        <f t="shared" si="10"/>
        <v/>
      </c>
      <c r="AQ20" s="492" t="str">
        <f t="shared" si="11"/>
        <v/>
      </c>
      <c r="AR20" s="492" t="str">
        <f t="shared" si="12"/>
        <v/>
      </c>
      <c r="AS20" s="492" t="str">
        <f t="shared" si="13"/>
        <v/>
      </c>
      <c r="AT20" s="492" t="str">
        <f t="shared" si="14"/>
        <v/>
      </c>
      <c r="AU20" s="492" t="str">
        <f t="shared" si="15"/>
        <v/>
      </c>
      <c r="AV20" s="492" t="str">
        <f t="shared" si="16"/>
        <v/>
      </c>
      <c r="AW20" s="492" t="str">
        <f t="shared" si="17"/>
        <v/>
      </c>
      <c r="AX20" s="492" t="str">
        <f t="shared" si="18"/>
        <v/>
      </c>
      <c r="AY20" s="492" t="str">
        <f t="shared" si="19"/>
        <v/>
      </c>
      <c r="AZ20" s="492" t="str">
        <f t="shared" si="20"/>
        <v/>
      </c>
      <c r="BA20" s="492" t="str">
        <f t="shared" si="21"/>
        <v/>
      </c>
      <c r="BB20" s="492" t="str">
        <f t="shared" si="22"/>
        <v/>
      </c>
      <c r="BC20" s="492" t="str">
        <f t="shared" si="23"/>
        <v/>
      </c>
      <c r="BD20" s="492" t="str">
        <f t="shared" si="24"/>
        <v/>
      </c>
      <c r="BE20" s="492" t="str">
        <f t="shared" si="25"/>
        <v/>
      </c>
      <c r="BF20" s="492" t="str">
        <f t="shared" si="26"/>
        <v/>
      </c>
      <c r="BG20" s="492" t="str">
        <f t="shared" si="27"/>
        <v/>
      </c>
      <c r="BH20" s="492" t="str">
        <f t="shared" si="28"/>
        <v/>
      </c>
      <c r="BI20" s="492" t="str">
        <f t="shared" si="29"/>
        <v/>
      </c>
      <c r="BJ20" s="492" t="str">
        <f t="shared" si="30"/>
        <v/>
      </c>
      <c r="BK20" s="492" t="str">
        <f t="shared" si="31"/>
        <v/>
      </c>
      <c r="BL20" s="492" t="str">
        <f t="shared" si="32"/>
        <v/>
      </c>
      <c r="BM20" s="492" t="str">
        <f t="shared" si="33"/>
        <v/>
      </c>
      <c r="BN20" s="492" t="str">
        <f t="shared" si="34"/>
        <v/>
      </c>
      <c r="BO20" s="492" t="str">
        <f t="shared" si="35"/>
        <v/>
      </c>
      <c r="BP20" s="492" t="str">
        <f t="shared" si="36"/>
        <v/>
      </c>
      <c r="BQ20" s="492" t="str">
        <f t="shared" si="37"/>
        <v/>
      </c>
      <c r="BR20" s="492" t="str">
        <f t="shared" si="38"/>
        <v/>
      </c>
      <c r="BS20" s="492" t="str">
        <f t="shared" si="39"/>
        <v/>
      </c>
      <c r="BT20" s="492" t="str">
        <f t="shared" si="40"/>
        <v/>
      </c>
      <c r="BU20" s="492" t="str">
        <f t="shared" si="41"/>
        <v/>
      </c>
      <c r="BV20" s="492" t="str">
        <f t="shared" si="42"/>
        <v/>
      </c>
      <c r="BW20" s="492" t="str">
        <f t="shared" si="43"/>
        <v/>
      </c>
      <c r="BX20" s="492" t="str">
        <f t="shared" si="44"/>
        <v/>
      </c>
      <c r="BY20" s="492" t="str">
        <f t="shared" si="45"/>
        <v/>
      </c>
      <c r="BZ20" s="492" t="str">
        <f t="shared" si="46"/>
        <v/>
      </c>
      <c r="CA20" s="492" t="str">
        <f t="shared" si="47"/>
        <v/>
      </c>
      <c r="CB20" s="492" t="str">
        <f t="shared" si="48"/>
        <v/>
      </c>
      <c r="CC20" s="492" t="str">
        <f t="shared" si="49"/>
        <v/>
      </c>
      <c r="CD20" s="492" t="str">
        <f t="shared" si="50"/>
        <v/>
      </c>
      <c r="CE20" s="492" t="str">
        <f t="shared" si="51"/>
        <v/>
      </c>
      <c r="CF20" s="492" t="str">
        <f t="shared" si="52"/>
        <v/>
      </c>
      <c r="CG20" s="492" t="str">
        <f t="shared" si="53"/>
        <v/>
      </c>
      <c r="CH20" s="492" t="str">
        <f t="shared" si="54"/>
        <v/>
      </c>
      <c r="CI20" s="492" t="str">
        <f t="shared" si="55"/>
        <v/>
      </c>
      <c r="CJ20" s="492" t="str">
        <f t="shared" si="56"/>
        <v/>
      </c>
      <c r="CK20" s="492" t="str">
        <f t="shared" si="57"/>
        <v/>
      </c>
      <c r="CL20" s="492" t="str">
        <f t="shared" si="58"/>
        <v/>
      </c>
      <c r="CM20" s="492" t="str">
        <f t="shared" si="59"/>
        <v/>
      </c>
      <c r="CN20" s="492" t="str">
        <f t="shared" si="60"/>
        <v/>
      </c>
      <c r="CO20" s="492" t="str">
        <f t="shared" si="61"/>
        <v/>
      </c>
      <c r="CP20" s="492" t="str">
        <f t="shared" si="62"/>
        <v/>
      </c>
      <c r="CQ20" s="492" t="str">
        <f t="shared" si="63"/>
        <v/>
      </c>
      <c r="CR20" s="492" t="str">
        <f t="shared" si="64"/>
        <v/>
      </c>
      <c r="CS20" s="492" t="str">
        <f t="shared" si="65"/>
        <v/>
      </c>
      <c r="CT20" s="492" t="str">
        <f t="shared" si="66"/>
        <v/>
      </c>
      <c r="CU20" s="492" t="str">
        <f t="shared" si="67"/>
        <v/>
      </c>
      <c r="CV20" s="492" t="str">
        <f t="shared" si="68"/>
        <v/>
      </c>
      <c r="CW20" s="495">
        <v>1</v>
      </c>
    </row>
    <row r="21" spans="1:101" ht="13.5" customHeight="1">
      <c r="A21" s="1232">
        <v>11</v>
      </c>
      <c r="B21" s="1233"/>
      <c r="C21" s="1230"/>
      <c r="D21" s="1234"/>
      <c r="E21" s="1231"/>
      <c r="F21" s="1230"/>
      <c r="G21" s="1234"/>
      <c r="H21" s="1231"/>
      <c r="I21" s="1230"/>
      <c r="J21" s="1231"/>
      <c r="K21" s="1290"/>
      <c r="L21" s="1291"/>
      <c r="M21" s="1290"/>
      <c r="N21" s="1291"/>
      <c r="O21" s="1290"/>
      <c r="P21" s="1291"/>
      <c r="Q21" s="1230"/>
      <c r="R21" s="1231"/>
      <c r="S21" s="1230"/>
      <c r="T21" s="1231"/>
      <c r="U21" s="1228"/>
      <c r="V21" s="1229"/>
      <c r="W21" s="1230"/>
      <c r="X21" s="1231"/>
      <c r="Y21" s="1226"/>
      <c r="Z21" s="1227"/>
      <c r="AA21" s="1275"/>
      <c r="AB21" s="1275"/>
      <c r="AC21" s="1212" t="str">
        <f t="shared" si="0"/>
        <v/>
      </c>
      <c r="AD21" s="1213"/>
      <c r="AE21" s="1213"/>
      <c r="AF21" s="1213"/>
      <c r="AG21" s="492" t="str">
        <f t="shared" si="1"/>
        <v/>
      </c>
      <c r="AH21" s="466" t="str">
        <f t="shared" si="2"/>
        <v/>
      </c>
      <c r="AI21" s="466" t="str">
        <f t="shared" si="3"/>
        <v/>
      </c>
      <c r="AJ21" s="466" t="str">
        <f t="shared" si="4"/>
        <v/>
      </c>
      <c r="AK21" s="492" t="str">
        <f t="shared" si="5"/>
        <v>○</v>
      </c>
      <c r="AL21" s="492" t="str">
        <f t="shared" si="6"/>
        <v/>
      </c>
      <c r="AM21" s="492" t="str">
        <f t="shared" si="7"/>
        <v/>
      </c>
      <c r="AN21" s="492" t="str">
        <f t="shared" si="8"/>
        <v/>
      </c>
      <c r="AO21" s="492" t="str">
        <f t="shared" si="9"/>
        <v/>
      </c>
      <c r="AP21" s="492" t="str">
        <f t="shared" si="10"/>
        <v/>
      </c>
      <c r="AQ21" s="492" t="str">
        <f t="shared" si="11"/>
        <v/>
      </c>
      <c r="AR21" s="492" t="str">
        <f t="shared" si="12"/>
        <v/>
      </c>
      <c r="AS21" s="492" t="str">
        <f t="shared" si="13"/>
        <v/>
      </c>
      <c r="AT21" s="492" t="str">
        <f t="shared" si="14"/>
        <v/>
      </c>
      <c r="AU21" s="492" t="str">
        <f t="shared" si="15"/>
        <v/>
      </c>
      <c r="AV21" s="492" t="str">
        <f t="shared" si="16"/>
        <v/>
      </c>
      <c r="AW21" s="492" t="str">
        <f t="shared" si="17"/>
        <v/>
      </c>
      <c r="AX21" s="492" t="str">
        <f t="shared" si="18"/>
        <v/>
      </c>
      <c r="AY21" s="492" t="str">
        <f t="shared" si="19"/>
        <v/>
      </c>
      <c r="AZ21" s="492" t="str">
        <f t="shared" si="20"/>
        <v/>
      </c>
      <c r="BA21" s="492" t="str">
        <f t="shared" si="21"/>
        <v/>
      </c>
      <c r="BB21" s="492" t="str">
        <f t="shared" si="22"/>
        <v/>
      </c>
      <c r="BC21" s="492" t="str">
        <f t="shared" si="23"/>
        <v/>
      </c>
      <c r="BD21" s="492" t="str">
        <f t="shared" si="24"/>
        <v/>
      </c>
      <c r="BE21" s="492" t="str">
        <f t="shared" si="25"/>
        <v/>
      </c>
      <c r="BF21" s="492" t="str">
        <f t="shared" si="26"/>
        <v/>
      </c>
      <c r="BG21" s="492" t="str">
        <f t="shared" si="27"/>
        <v/>
      </c>
      <c r="BH21" s="492" t="str">
        <f t="shared" si="28"/>
        <v/>
      </c>
      <c r="BI21" s="492" t="str">
        <f t="shared" si="29"/>
        <v/>
      </c>
      <c r="BJ21" s="492" t="str">
        <f t="shared" si="30"/>
        <v/>
      </c>
      <c r="BK21" s="492" t="str">
        <f t="shared" si="31"/>
        <v/>
      </c>
      <c r="BL21" s="492" t="str">
        <f t="shared" si="32"/>
        <v/>
      </c>
      <c r="BM21" s="492" t="str">
        <f t="shared" si="33"/>
        <v/>
      </c>
      <c r="BN21" s="492" t="str">
        <f t="shared" si="34"/>
        <v/>
      </c>
      <c r="BO21" s="492" t="str">
        <f t="shared" si="35"/>
        <v/>
      </c>
      <c r="BP21" s="492" t="str">
        <f t="shared" si="36"/>
        <v/>
      </c>
      <c r="BQ21" s="492" t="str">
        <f t="shared" si="37"/>
        <v/>
      </c>
      <c r="BR21" s="492" t="str">
        <f t="shared" si="38"/>
        <v/>
      </c>
      <c r="BS21" s="492" t="str">
        <f t="shared" si="39"/>
        <v/>
      </c>
      <c r="BT21" s="492" t="str">
        <f t="shared" si="40"/>
        <v/>
      </c>
      <c r="BU21" s="492" t="str">
        <f t="shared" si="41"/>
        <v/>
      </c>
      <c r="BV21" s="492" t="str">
        <f t="shared" si="42"/>
        <v/>
      </c>
      <c r="BW21" s="492" t="str">
        <f t="shared" si="43"/>
        <v/>
      </c>
      <c r="BX21" s="492" t="str">
        <f t="shared" si="44"/>
        <v/>
      </c>
      <c r="BY21" s="492" t="str">
        <f t="shared" si="45"/>
        <v/>
      </c>
      <c r="BZ21" s="492" t="str">
        <f t="shared" si="46"/>
        <v/>
      </c>
      <c r="CA21" s="492" t="str">
        <f t="shared" si="47"/>
        <v/>
      </c>
      <c r="CB21" s="492" t="str">
        <f t="shared" si="48"/>
        <v/>
      </c>
      <c r="CC21" s="492" t="str">
        <f t="shared" si="49"/>
        <v/>
      </c>
      <c r="CD21" s="492" t="str">
        <f t="shared" si="50"/>
        <v/>
      </c>
      <c r="CE21" s="492" t="str">
        <f t="shared" si="51"/>
        <v/>
      </c>
      <c r="CF21" s="492" t="str">
        <f t="shared" si="52"/>
        <v/>
      </c>
      <c r="CG21" s="492" t="str">
        <f t="shared" si="53"/>
        <v/>
      </c>
      <c r="CH21" s="492" t="str">
        <f t="shared" si="54"/>
        <v/>
      </c>
      <c r="CI21" s="492" t="str">
        <f t="shared" si="55"/>
        <v/>
      </c>
      <c r="CJ21" s="492" t="str">
        <f t="shared" si="56"/>
        <v/>
      </c>
      <c r="CK21" s="492" t="str">
        <f t="shared" si="57"/>
        <v/>
      </c>
      <c r="CL21" s="492" t="str">
        <f t="shared" si="58"/>
        <v/>
      </c>
      <c r="CM21" s="492" t="str">
        <f t="shared" si="59"/>
        <v/>
      </c>
      <c r="CN21" s="492" t="str">
        <f t="shared" si="60"/>
        <v/>
      </c>
      <c r="CO21" s="492" t="str">
        <f t="shared" si="61"/>
        <v/>
      </c>
      <c r="CP21" s="492" t="str">
        <f t="shared" si="62"/>
        <v/>
      </c>
      <c r="CQ21" s="492" t="str">
        <f t="shared" si="63"/>
        <v/>
      </c>
      <c r="CR21" s="492" t="str">
        <f t="shared" si="64"/>
        <v/>
      </c>
      <c r="CS21" s="492" t="str">
        <f t="shared" si="65"/>
        <v/>
      </c>
      <c r="CT21" s="492" t="str">
        <f t="shared" si="66"/>
        <v/>
      </c>
      <c r="CU21" s="492" t="str">
        <f t="shared" si="67"/>
        <v/>
      </c>
      <c r="CV21" s="492" t="str">
        <f t="shared" si="68"/>
        <v/>
      </c>
      <c r="CW21" s="495">
        <v>1</v>
      </c>
    </row>
    <row r="22" spans="1:101" ht="13.5" customHeight="1">
      <c r="A22" s="1232">
        <v>12</v>
      </c>
      <c r="B22" s="1233"/>
      <c r="C22" s="1230"/>
      <c r="D22" s="1234"/>
      <c r="E22" s="1231"/>
      <c r="F22" s="1230"/>
      <c r="G22" s="1234"/>
      <c r="H22" s="1231"/>
      <c r="I22" s="1230"/>
      <c r="J22" s="1231"/>
      <c r="K22" s="1290"/>
      <c r="L22" s="1291"/>
      <c r="M22" s="1290"/>
      <c r="N22" s="1291"/>
      <c r="O22" s="1290"/>
      <c r="P22" s="1291"/>
      <c r="Q22" s="1230"/>
      <c r="R22" s="1231"/>
      <c r="S22" s="1230"/>
      <c r="T22" s="1231"/>
      <c r="U22" s="1228"/>
      <c r="V22" s="1229"/>
      <c r="W22" s="1230"/>
      <c r="X22" s="1231"/>
      <c r="Y22" s="1226"/>
      <c r="Z22" s="1227"/>
      <c r="AA22" s="1275"/>
      <c r="AB22" s="1275"/>
      <c r="AC22" s="1212" t="str">
        <f t="shared" si="0"/>
        <v/>
      </c>
      <c r="AD22" s="1213"/>
      <c r="AE22" s="1213"/>
      <c r="AF22" s="1213"/>
      <c r="AG22" s="492" t="str">
        <f t="shared" si="1"/>
        <v/>
      </c>
      <c r="AH22" s="466" t="str">
        <f t="shared" si="2"/>
        <v/>
      </c>
      <c r="AI22" s="466" t="str">
        <f t="shared" si="3"/>
        <v/>
      </c>
      <c r="AJ22" s="466" t="str">
        <f t="shared" si="4"/>
        <v/>
      </c>
      <c r="AK22" s="492" t="str">
        <f t="shared" si="5"/>
        <v>○</v>
      </c>
      <c r="AL22" s="492" t="str">
        <f t="shared" si="6"/>
        <v/>
      </c>
      <c r="AM22" s="492" t="str">
        <f t="shared" si="7"/>
        <v/>
      </c>
      <c r="AN22" s="492" t="str">
        <f t="shared" si="8"/>
        <v/>
      </c>
      <c r="AO22" s="492" t="str">
        <f t="shared" si="9"/>
        <v/>
      </c>
      <c r="AP22" s="492" t="str">
        <f t="shared" si="10"/>
        <v/>
      </c>
      <c r="AQ22" s="492" t="str">
        <f t="shared" si="11"/>
        <v/>
      </c>
      <c r="AR22" s="492" t="str">
        <f t="shared" si="12"/>
        <v/>
      </c>
      <c r="AS22" s="492" t="str">
        <f t="shared" si="13"/>
        <v/>
      </c>
      <c r="AT22" s="492" t="str">
        <f t="shared" si="14"/>
        <v/>
      </c>
      <c r="AU22" s="492" t="str">
        <f t="shared" si="15"/>
        <v/>
      </c>
      <c r="AV22" s="492" t="str">
        <f t="shared" si="16"/>
        <v/>
      </c>
      <c r="AW22" s="492" t="str">
        <f t="shared" si="17"/>
        <v/>
      </c>
      <c r="AX22" s="492" t="str">
        <f t="shared" si="18"/>
        <v/>
      </c>
      <c r="AY22" s="492" t="str">
        <f t="shared" si="19"/>
        <v/>
      </c>
      <c r="AZ22" s="492" t="str">
        <f t="shared" si="20"/>
        <v/>
      </c>
      <c r="BA22" s="492" t="str">
        <f t="shared" si="21"/>
        <v/>
      </c>
      <c r="BB22" s="492" t="str">
        <f t="shared" si="22"/>
        <v/>
      </c>
      <c r="BC22" s="492" t="str">
        <f t="shared" si="23"/>
        <v/>
      </c>
      <c r="BD22" s="492" t="str">
        <f t="shared" si="24"/>
        <v/>
      </c>
      <c r="BE22" s="492" t="str">
        <f t="shared" si="25"/>
        <v/>
      </c>
      <c r="BF22" s="492" t="str">
        <f t="shared" si="26"/>
        <v/>
      </c>
      <c r="BG22" s="492" t="str">
        <f t="shared" si="27"/>
        <v/>
      </c>
      <c r="BH22" s="492" t="str">
        <f t="shared" si="28"/>
        <v/>
      </c>
      <c r="BI22" s="492" t="str">
        <f t="shared" si="29"/>
        <v/>
      </c>
      <c r="BJ22" s="492" t="str">
        <f t="shared" si="30"/>
        <v/>
      </c>
      <c r="BK22" s="492" t="str">
        <f t="shared" si="31"/>
        <v/>
      </c>
      <c r="BL22" s="492" t="str">
        <f t="shared" si="32"/>
        <v/>
      </c>
      <c r="BM22" s="492" t="str">
        <f t="shared" si="33"/>
        <v/>
      </c>
      <c r="BN22" s="492" t="str">
        <f t="shared" si="34"/>
        <v/>
      </c>
      <c r="BO22" s="492" t="str">
        <f t="shared" si="35"/>
        <v/>
      </c>
      <c r="BP22" s="492" t="str">
        <f t="shared" si="36"/>
        <v/>
      </c>
      <c r="BQ22" s="492" t="str">
        <f t="shared" si="37"/>
        <v/>
      </c>
      <c r="BR22" s="492" t="str">
        <f t="shared" si="38"/>
        <v/>
      </c>
      <c r="BS22" s="492" t="str">
        <f t="shared" si="39"/>
        <v/>
      </c>
      <c r="BT22" s="492" t="str">
        <f t="shared" si="40"/>
        <v/>
      </c>
      <c r="BU22" s="492" t="str">
        <f t="shared" si="41"/>
        <v/>
      </c>
      <c r="BV22" s="492" t="str">
        <f t="shared" si="42"/>
        <v/>
      </c>
      <c r="BW22" s="492" t="str">
        <f t="shared" si="43"/>
        <v/>
      </c>
      <c r="BX22" s="492" t="str">
        <f t="shared" si="44"/>
        <v/>
      </c>
      <c r="BY22" s="492" t="str">
        <f t="shared" si="45"/>
        <v/>
      </c>
      <c r="BZ22" s="492" t="str">
        <f t="shared" si="46"/>
        <v/>
      </c>
      <c r="CA22" s="492" t="str">
        <f t="shared" si="47"/>
        <v/>
      </c>
      <c r="CB22" s="492" t="str">
        <f t="shared" si="48"/>
        <v/>
      </c>
      <c r="CC22" s="492" t="str">
        <f t="shared" si="49"/>
        <v/>
      </c>
      <c r="CD22" s="492" t="str">
        <f t="shared" si="50"/>
        <v/>
      </c>
      <c r="CE22" s="492" t="str">
        <f t="shared" si="51"/>
        <v/>
      </c>
      <c r="CF22" s="492" t="str">
        <f t="shared" si="52"/>
        <v/>
      </c>
      <c r="CG22" s="492" t="str">
        <f t="shared" si="53"/>
        <v/>
      </c>
      <c r="CH22" s="492" t="str">
        <f t="shared" si="54"/>
        <v/>
      </c>
      <c r="CI22" s="492" t="str">
        <f t="shared" si="55"/>
        <v/>
      </c>
      <c r="CJ22" s="492" t="str">
        <f t="shared" si="56"/>
        <v/>
      </c>
      <c r="CK22" s="492" t="str">
        <f t="shared" si="57"/>
        <v/>
      </c>
      <c r="CL22" s="492" t="str">
        <f t="shared" si="58"/>
        <v/>
      </c>
      <c r="CM22" s="492" t="str">
        <f t="shared" si="59"/>
        <v/>
      </c>
      <c r="CN22" s="492" t="str">
        <f t="shared" si="60"/>
        <v/>
      </c>
      <c r="CO22" s="492" t="str">
        <f t="shared" si="61"/>
        <v/>
      </c>
      <c r="CP22" s="492" t="str">
        <f t="shared" si="62"/>
        <v/>
      </c>
      <c r="CQ22" s="492" t="str">
        <f t="shared" si="63"/>
        <v/>
      </c>
      <c r="CR22" s="492" t="str">
        <f t="shared" si="64"/>
        <v/>
      </c>
      <c r="CS22" s="492" t="str">
        <f t="shared" si="65"/>
        <v/>
      </c>
      <c r="CT22" s="492" t="str">
        <f t="shared" si="66"/>
        <v/>
      </c>
      <c r="CU22" s="492" t="str">
        <f t="shared" si="67"/>
        <v/>
      </c>
      <c r="CV22" s="492" t="str">
        <f t="shared" si="68"/>
        <v/>
      </c>
      <c r="CW22" s="495">
        <v>1</v>
      </c>
    </row>
    <row r="23" spans="1:101" ht="13.5" customHeight="1">
      <c r="A23" s="1232">
        <v>13</v>
      </c>
      <c r="B23" s="1233"/>
      <c r="C23" s="1230"/>
      <c r="D23" s="1234"/>
      <c r="E23" s="1231"/>
      <c r="F23" s="1230"/>
      <c r="G23" s="1234"/>
      <c r="H23" s="1231"/>
      <c r="I23" s="1230"/>
      <c r="J23" s="1231"/>
      <c r="K23" s="1290"/>
      <c r="L23" s="1291"/>
      <c r="M23" s="1290"/>
      <c r="N23" s="1291"/>
      <c r="O23" s="1290"/>
      <c r="P23" s="1291"/>
      <c r="Q23" s="1230"/>
      <c r="R23" s="1231"/>
      <c r="S23" s="1230"/>
      <c r="T23" s="1231"/>
      <c r="U23" s="1228"/>
      <c r="V23" s="1229"/>
      <c r="W23" s="1230"/>
      <c r="X23" s="1231"/>
      <c r="Y23" s="1226"/>
      <c r="Z23" s="1227"/>
      <c r="AA23" s="1275"/>
      <c r="AB23" s="1275"/>
      <c r="AC23" s="1212" t="str">
        <f t="shared" si="0"/>
        <v/>
      </c>
      <c r="AD23" s="1213"/>
      <c r="AE23" s="1213"/>
      <c r="AF23" s="1213"/>
      <c r="AG23" s="492" t="str">
        <f t="shared" si="1"/>
        <v/>
      </c>
      <c r="AH23" s="466" t="str">
        <f t="shared" si="2"/>
        <v/>
      </c>
      <c r="AI23" s="466" t="str">
        <f t="shared" si="3"/>
        <v/>
      </c>
      <c r="AJ23" s="466" t="str">
        <f t="shared" si="4"/>
        <v/>
      </c>
      <c r="AK23" s="492" t="str">
        <f t="shared" si="5"/>
        <v>○</v>
      </c>
      <c r="AL23" s="492" t="str">
        <f t="shared" si="6"/>
        <v/>
      </c>
      <c r="AM23" s="492" t="str">
        <f t="shared" si="7"/>
        <v/>
      </c>
      <c r="AN23" s="492" t="str">
        <f t="shared" si="8"/>
        <v/>
      </c>
      <c r="AO23" s="492" t="str">
        <f t="shared" si="9"/>
        <v/>
      </c>
      <c r="AP23" s="492" t="str">
        <f t="shared" si="10"/>
        <v/>
      </c>
      <c r="AQ23" s="492" t="str">
        <f t="shared" si="11"/>
        <v/>
      </c>
      <c r="AR23" s="492" t="str">
        <f t="shared" si="12"/>
        <v/>
      </c>
      <c r="AS23" s="492" t="str">
        <f t="shared" si="13"/>
        <v/>
      </c>
      <c r="AT23" s="492" t="str">
        <f t="shared" si="14"/>
        <v/>
      </c>
      <c r="AU23" s="492" t="str">
        <f t="shared" si="15"/>
        <v/>
      </c>
      <c r="AV23" s="492" t="str">
        <f t="shared" si="16"/>
        <v/>
      </c>
      <c r="AW23" s="492" t="str">
        <f t="shared" si="17"/>
        <v/>
      </c>
      <c r="AX23" s="492" t="str">
        <f t="shared" si="18"/>
        <v/>
      </c>
      <c r="AY23" s="492" t="str">
        <f t="shared" si="19"/>
        <v/>
      </c>
      <c r="AZ23" s="492" t="str">
        <f t="shared" si="20"/>
        <v/>
      </c>
      <c r="BA23" s="492" t="str">
        <f t="shared" si="21"/>
        <v/>
      </c>
      <c r="BB23" s="492" t="str">
        <f t="shared" si="22"/>
        <v/>
      </c>
      <c r="BC23" s="492" t="str">
        <f t="shared" si="23"/>
        <v/>
      </c>
      <c r="BD23" s="492" t="str">
        <f t="shared" si="24"/>
        <v/>
      </c>
      <c r="BE23" s="492" t="str">
        <f t="shared" si="25"/>
        <v/>
      </c>
      <c r="BF23" s="492" t="str">
        <f t="shared" si="26"/>
        <v/>
      </c>
      <c r="BG23" s="492" t="str">
        <f t="shared" si="27"/>
        <v/>
      </c>
      <c r="BH23" s="492" t="str">
        <f t="shared" si="28"/>
        <v/>
      </c>
      <c r="BI23" s="492" t="str">
        <f t="shared" si="29"/>
        <v/>
      </c>
      <c r="BJ23" s="492" t="str">
        <f t="shared" si="30"/>
        <v/>
      </c>
      <c r="BK23" s="492" t="str">
        <f t="shared" si="31"/>
        <v/>
      </c>
      <c r="BL23" s="492" t="str">
        <f t="shared" si="32"/>
        <v/>
      </c>
      <c r="BM23" s="492" t="str">
        <f t="shared" si="33"/>
        <v/>
      </c>
      <c r="BN23" s="492" t="str">
        <f t="shared" si="34"/>
        <v/>
      </c>
      <c r="BO23" s="492" t="str">
        <f t="shared" si="35"/>
        <v/>
      </c>
      <c r="BP23" s="492" t="str">
        <f t="shared" si="36"/>
        <v/>
      </c>
      <c r="BQ23" s="492" t="str">
        <f t="shared" si="37"/>
        <v/>
      </c>
      <c r="BR23" s="492" t="str">
        <f t="shared" si="38"/>
        <v/>
      </c>
      <c r="BS23" s="492" t="str">
        <f t="shared" si="39"/>
        <v/>
      </c>
      <c r="BT23" s="492" t="str">
        <f t="shared" si="40"/>
        <v/>
      </c>
      <c r="BU23" s="492" t="str">
        <f t="shared" si="41"/>
        <v/>
      </c>
      <c r="BV23" s="492" t="str">
        <f t="shared" si="42"/>
        <v/>
      </c>
      <c r="BW23" s="492" t="str">
        <f t="shared" si="43"/>
        <v/>
      </c>
      <c r="BX23" s="492" t="str">
        <f t="shared" si="44"/>
        <v/>
      </c>
      <c r="BY23" s="492" t="str">
        <f t="shared" si="45"/>
        <v/>
      </c>
      <c r="BZ23" s="492" t="str">
        <f t="shared" si="46"/>
        <v/>
      </c>
      <c r="CA23" s="492" t="str">
        <f t="shared" si="47"/>
        <v/>
      </c>
      <c r="CB23" s="492" t="str">
        <f t="shared" si="48"/>
        <v/>
      </c>
      <c r="CC23" s="492" t="str">
        <f t="shared" si="49"/>
        <v/>
      </c>
      <c r="CD23" s="492" t="str">
        <f t="shared" si="50"/>
        <v/>
      </c>
      <c r="CE23" s="492" t="str">
        <f t="shared" si="51"/>
        <v/>
      </c>
      <c r="CF23" s="492" t="str">
        <f t="shared" si="52"/>
        <v/>
      </c>
      <c r="CG23" s="492" t="str">
        <f t="shared" si="53"/>
        <v/>
      </c>
      <c r="CH23" s="492" t="str">
        <f t="shared" si="54"/>
        <v/>
      </c>
      <c r="CI23" s="492" t="str">
        <f t="shared" si="55"/>
        <v/>
      </c>
      <c r="CJ23" s="492" t="str">
        <f t="shared" si="56"/>
        <v/>
      </c>
      <c r="CK23" s="492" t="str">
        <f t="shared" si="57"/>
        <v/>
      </c>
      <c r="CL23" s="492" t="str">
        <f t="shared" si="58"/>
        <v/>
      </c>
      <c r="CM23" s="492" t="str">
        <f t="shared" si="59"/>
        <v/>
      </c>
      <c r="CN23" s="492" t="str">
        <f t="shared" si="60"/>
        <v/>
      </c>
      <c r="CO23" s="492" t="str">
        <f t="shared" si="61"/>
        <v/>
      </c>
      <c r="CP23" s="492" t="str">
        <f t="shared" si="62"/>
        <v/>
      </c>
      <c r="CQ23" s="492" t="str">
        <f t="shared" si="63"/>
        <v/>
      </c>
      <c r="CR23" s="492" t="str">
        <f t="shared" si="64"/>
        <v/>
      </c>
      <c r="CS23" s="492" t="str">
        <f t="shared" si="65"/>
        <v/>
      </c>
      <c r="CT23" s="492" t="str">
        <f t="shared" si="66"/>
        <v/>
      </c>
      <c r="CU23" s="492" t="str">
        <f t="shared" si="67"/>
        <v/>
      </c>
      <c r="CV23" s="492" t="str">
        <f t="shared" si="68"/>
        <v/>
      </c>
      <c r="CW23" s="495">
        <v>1</v>
      </c>
    </row>
    <row r="24" spans="1:101" ht="13.5" customHeight="1">
      <c r="A24" s="1232">
        <v>14</v>
      </c>
      <c r="B24" s="1233"/>
      <c r="C24" s="1230"/>
      <c r="D24" s="1234"/>
      <c r="E24" s="1231"/>
      <c r="F24" s="1230"/>
      <c r="G24" s="1234"/>
      <c r="H24" s="1231"/>
      <c r="I24" s="1230"/>
      <c r="J24" s="1231"/>
      <c r="K24" s="1290"/>
      <c r="L24" s="1291"/>
      <c r="M24" s="1290"/>
      <c r="N24" s="1291"/>
      <c r="O24" s="1290"/>
      <c r="P24" s="1291"/>
      <c r="Q24" s="1230"/>
      <c r="R24" s="1231"/>
      <c r="S24" s="1230"/>
      <c r="T24" s="1231"/>
      <c r="U24" s="1228"/>
      <c r="V24" s="1229"/>
      <c r="W24" s="1230"/>
      <c r="X24" s="1231"/>
      <c r="Y24" s="1226"/>
      <c r="Z24" s="1227"/>
      <c r="AA24" s="1275"/>
      <c r="AB24" s="1275"/>
      <c r="AC24" s="1212" t="str">
        <f t="shared" si="0"/>
        <v/>
      </c>
      <c r="AD24" s="1213"/>
      <c r="AE24" s="1213"/>
      <c r="AF24" s="1213"/>
      <c r="AG24" s="492" t="str">
        <f t="shared" si="1"/>
        <v/>
      </c>
      <c r="AH24" s="466" t="str">
        <f t="shared" si="2"/>
        <v/>
      </c>
      <c r="AI24" s="466" t="str">
        <f t="shared" si="3"/>
        <v/>
      </c>
      <c r="AJ24" s="466" t="str">
        <f t="shared" si="4"/>
        <v/>
      </c>
      <c r="AK24" s="492" t="str">
        <f t="shared" si="5"/>
        <v>○</v>
      </c>
      <c r="AL24" s="492" t="str">
        <f t="shared" si="6"/>
        <v/>
      </c>
      <c r="AM24" s="492" t="str">
        <f t="shared" si="7"/>
        <v/>
      </c>
      <c r="AN24" s="492" t="str">
        <f t="shared" si="8"/>
        <v/>
      </c>
      <c r="AO24" s="492" t="str">
        <f t="shared" si="9"/>
        <v/>
      </c>
      <c r="AP24" s="492" t="str">
        <f t="shared" si="10"/>
        <v/>
      </c>
      <c r="AQ24" s="492" t="str">
        <f t="shared" si="11"/>
        <v/>
      </c>
      <c r="AR24" s="492" t="str">
        <f t="shared" si="12"/>
        <v/>
      </c>
      <c r="AS24" s="492" t="str">
        <f t="shared" si="13"/>
        <v/>
      </c>
      <c r="AT24" s="492" t="str">
        <f t="shared" si="14"/>
        <v/>
      </c>
      <c r="AU24" s="492" t="str">
        <f t="shared" si="15"/>
        <v/>
      </c>
      <c r="AV24" s="492" t="str">
        <f t="shared" si="16"/>
        <v/>
      </c>
      <c r="AW24" s="492" t="str">
        <f t="shared" si="17"/>
        <v/>
      </c>
      <c r="AX24" s="492" t="str">
        <f t="shared" si="18"/>
        <v/>
      </c>
      <c r="AY24" s="492" t="str">
        <f t="shared" si="19"/>
        <v/>
      </c>
      <c r="AZ24" s="492" t="str">
        <f t="shared" si="20"/>
        <v/>
      </c>
      <c r="BA24" s="492" t="str">
        <f t="shared" si="21"/>
        <v/>
      </c>
      <c r="BB24" s="492" t="str">
        <f t="shared" si="22"/>
        <v/>
      </c>
      <c r="BC24" s="492" t="str">
        <f t="shared" si="23"/>
        <v/>
      </c>
      <c r="BD24" s="492" t="str">
        <f t="shared" si="24"/>
        <v/>
      </c>
      <c r="BE24" s="492" t="str">
        <f t="shared" si="25"/>
        <v/>
      </c>
      <c r="BF24" s="492" t="str">
        <f t="shared" si="26"/>
        <v/>
      </c>
      <c r="BG24" s="492" t="str">
        <f t="shared" si="27"/>
        <v/>
      </c>
      <c r="BH24" s="492" t="str">
        <f t="shared" si="28"/>
        <v/>
      </c>
      <c r="BI24" s="492" t="str">
        <f t="shared" si="29"/>
        <v/>
      </c>
      <c r="BJ24" s="492" t="str">
        <f t="shared" si="30"/>
        <v/>
      </c>
      <c r="BK24" s="492" t="str">
        <f t="shared" si="31"/>
        <v/>
      </c>
      <c r="BL24" s="492" t="str">
        <f t="shared" si="32"/>
        <v/>
      </c>
      <c r="BM24" s="492" t="str">
        <f t="shared" si="33"/>
        <v/>
      </c>
      <c r="BN24" s="492" t="str">
        <f t="shared" si="34"/>
        <v/>
      </c>
      <c r="BO24" s="492" t="str">
        <f t="shared" si="35"/>
        <v/>
      </c>
      <c r="BP24" s="492" t="str">
        <f t="shared" si="36"/>
        <v/>
      </c>
      <c r="BQ24" s="492" t="str">
        <f t="shared" si="37"/>
        <v/>
      </c>
      <c r="BR24" s="492" t="str">
        <f t="shared" si="38"/>
        <v/>
      </c>
      <c r="BS24" s="492" t="str">
        <f t="shared" si="39"/>
        <v/>
      </c>
      <c r="BT24" s="492" t="str">
        <f t="shared" si="40"/>
        <v/>
      </c>
      <c r="BU24" s="492" t="str">
        <f t="shared" si="41"/>
        <v/>
      </c>
      <c r="BV24" s="492" t="str">
        <f t="shared" si="42"/>
        <v/>
      </c>
      <c r="BW24" s="492" t="str">
        <f t="shared" si="43"/>
        <v/>
      </c>
      <c r="BX24" s="492" t="str">
        <f t="shared" si="44"/>
        <v/>
      </c>
      <c r="BY24" s="492" t="str">
        <f t="shared" si="45"/>
        <v/>
      </c>
      <c r="BZ24" s="492" t="str">
        <f t="shared" si="46"/>
        <v/>
      </c>
      <c r="CA24" s="492" t="str">
        <f t="shared" si="47"/>
        <v/>
      </c>
      <c r="CB24" s="492" t="str">
        <f t="shared" si="48"/>
        <v/>
      </c>
      <c r="CC24" s="492" t="str">
        <f t="shared" si="49"/>
        <v/>
      </c>
      <c r="CD24" s="492" t="str">
        <f t="shared" si="50"/>
        <v/>
      </c>
      <c r="CE24" s="492" t="str">
        <f t="shared" si="51"/>
        <v/>
      </c>
      <c r="CF24" s="492" t="str">
        <f t="shared" si="52"/>
        <v/>
      </c>
      <c r="CG24" s="492" t="str">
        <f t="shared" si="53"/>
        <v/>
      </c>
      <c r="CH24" s="492" t="str">
        <f t="shared" si="54"/>
        <v/>
      </c>
      <c r="CI24" s="492" t="str">
        <f t="shared" si="55"/>
        <v/>
      </c>
      <c r="CJ24" s="492" t="str">
        <f t="shared" si="56"/>
        <v/>
      </c>
      <c r="CK24" s="492" t="str">
        <f t="shared" si="57"/>
        <v/>
      </c>
      <c r="CL24" s="492" t="str">
        <f t="shared" si="58"/>
        <v/>
      </c>
      <c r="CM24" s="492" t="str">
        <f t="shared" si="59"/>
        <v/>
      </c>
      <c r="CN24" s="492" t="str">
        <f t="shared" si="60"/>
        <v/>
      </c>
      <c r="CO24" s="492" t="str">
        <f t="shared" si="61"/>
        <v/>
      </c>
      <c r="CP24" s="492" t="str">
        <f t="shared" si="62"/>
        <v/>
      </c>
      <c r="CQ24" s="492" t="str">
        <f t="shared" si="63"/>
        <v/>
      </c>
      <c r="CR24" s="492" t="str">
        <f t="shared" si="64"/>
        <v/>
      </c>
      <c r="CS24" s="492" t="str">
        <f t="shared" si="65"/>
        <v/>
      </c>
      <c r="CT24" s="492" t="str">
        <f t="shared" si="66"/>
        <v/>
      </c>
      <c r="CU24" s="492" t="str">
        <f t="shared" si="67"/>
        <v/>
      </c>
      <c r="CV24" s="492" t="str">
        <f t="shared" si="68"/>
        <v/>
      </c>
      <c r="CW24" s="495">
        <v>1</v>
      </c>
    </row>
    <row r="25" spans="1:101" ht="13.5" customHeight="1">
      <c r="A25" s="1232">
        <v>15</v>
      </c>
      <c r="B25" s="1233"/>
      <c r="C25" s="1230"/>
      <c r="D25" s="1234"/>
      <c r="E25" s="1231"/>
      <c r="F25" s="1230"/>
      <c r="G25" s="1234"/>
      <c r="H25" s="1231"/>
      <c r="I25" s="1230"/>
      <c r="J25" s="1231"/>
      <c r="K25" s="1290"/>
      <c r="L25" s="1291"/>
      <c r="M25" s="1290"/>
      <c r="N25" s="1291"/>
      <c r="O25" s="1290"/>
      <c r="P25" s="1291"/>
      <c r="Q25" s="1230"/>
      <c r="R25" s="1231"/>
      <c r="S25" s="1230"/>
      <c r="T25" s="1231"/>
      <c r="U25" s="1228"/>
      <c r="V25" s="1229"/>
      <c r="W25" s="1230"/>
      <c r="X25" s="1231"/>
      <c r="Y25" s="1226"/>
      <c r="Z25" s="1227"/>
      <c r="AA25" s="1275"/>
      <c r="AB25" s="1275"/>
      <c r="AC25" s="1212" t="str">
        <f t="shared" si="0"/>
        <v/>
      </c>
      <c r="AD25" s="1213"/>
      <c r="AE25" s="1213"/>
      <c r="AF25" s="1213"/>
      <c r="AG25" s="492" t="str">
        <f t="shared" si="1"/>
        <v/>
      </c>
      <c r="AH25" s="466" t="str">
        <f t="shared" si="2"/>
        <v/>
      </c>
      <c r="AI25" s="466" t="str">
        <f t="shared" si="3"/>
        <v/>
      </c>
      <c r="AJ25" s="466" t="str">
        <f t="shared" si="4"/>
        <v/>
      </c>
      <c r="AK25" s="492" t="str">
        <f t="shared" si="5"/>
        <v>○</v>
      </c>
      <c r="AL25" s="492" t="str">
        <f t="shared" si="6"/>
        <v/>
      </c>
      <c r="AM25" s="492" t="str">
        <f t="shared" si="7"/>
        <v/>
      </c>
      <c r="AN25" s="492" t="str">
        <f t="shared" si="8"/>
        <v/>
      </c>
      <c r="AO25" s="492" t="str">
        <f t="shared" si="9"/>
        <v/>
      </c>
      <c r="AP25" s="492" t="str">
        <f t="shared" si="10"/>
        <v/>
      </c>
      <c r="AQ25" s="492" t="str">
        <f t="shared" si="11"/>
        <v/>
      </c>
      <c r="AR25" s="492" t="str">
        <f t="shared" si="12"/>
        <v/>
      </c>
      <c r="AS25" s="492" t="str">
        <f t="shared" si="13"/>
        <v/>
      </c>
      <c r="AT25" s="492" t="str">
        <f t="shared" si="14"/>
        <v/>
      </c>
      <c r="AU25" s="492" t="str">
        <f t="shared" si="15"/>
        <v/>
      </c>
      <c r="AV25" s="492" t="str">
        <f t="shared" si="16"/>
        <v/>
      </c>
      <c r="AW25" s="492" t="str">
        <f t="shared" si="17"/>
        <v/>
      </c>
      <c r="AX25" s="492" t="str">
        <f t="shared" si="18"/>
        <v/>
      </c>
      <c r="AY25" s="492" t="str">
        <f t="shared" si="19"/>
        <v/>
      </c>
      <c r="AZ25" s="492" t="str">
        <f t="shared" si="20"/>
        <v/>
      </c>
      <c r="BA25" s="492" t="str">
        <f t="shared" si="21"/>
        <v/>
      </c>
      <c r="BB25" s="492" t="str">
        <f t="shared" si="22"/>
        <v/>
      </c>
      <c r="BC25" s="492" t="str">
        <f t="shared" si="23"/>
        <v/>
      </c>
      <c r="BD25" s="492" t="str">
        <f t="shared" si="24"/>
        <v/>
      </c>
      <c r="BE25" s="492" t="str">
        <f t="shared" si="25"/>
        <v/>
      </c>
      <c r="BF25" s="492" t="str">
        <f t="shared" si="26"/>
        <v/>
      </c>
      <c r="BG25" s="492" t="str">
        <f t="shared" si="27"/>
        <v/>
      </c>
      <c r="BH25" s="492" t="str">
        <f t="shared" si="28"/>
        <v/>
      </c>
      <c r="BI25" s="492" t="str">
        <f t="shared" si="29"/>
        <v/>
      </c>
      <c r="BJ25" s="492" t="str">
        <f t="shared" si="30"/>
        <v/>
      </c>
      <c r="BK25" s="492" t="str">
        <f t="shared" si="31"/>
        <v/>
      </c>
      <c r="BL25" s="492" t="str">
        <f t="shared" si="32"/>
        <v/>
      </c>
      <c r="BM25" s="492" t="str">
        <f t="shared" si="33"/>
        <v/>
      </c>
      <c r="BN25" s="492" t="str">
        <f t="shared" si="34"/>
        <v/>
      </c>
      <c r="BO25" s="492" t="str">
        <f t="shared" si="35"/>
        <v/>
      </c>
      <c r="BP25" s="492" t="str">
        <f t="shared" si="36"/>
        <v/>
      </c>
      <c r="BQ25" s="492" t="str">
        <f t="shared" si="37"/>
        <v/>
      </c>
      <c r="BR25" s="492" t="str">
        <f t="shared" si="38"/>
        <v/>
      </c>
      <c r="BS25" s="492" t="str">
        <f t="shared" si="39"/>
        <v/>
      </c>
      <c r="BT25" s="492" t="str">
        <f t="shared" si="40"/>
        <v/>
      </c>
      <c r="BU25" s="492" t="str">
        <f t="shared" si="41"/>
        <v/>
      </c>
      <c r="BV25" s="492" t="str">
        <f t="shared" si="42"/>
        <v/>
      </c>
      <c r="BW25" s="492" t="str">
        <f t="shared" si="43"/>
        <v/>
      </c>
      <c r="BX25" s="492" t="str">
        <f t="shared" si="44"/>
        <v/>
      </c>
      <c r="BY25" s="492" t="str">
        <f t="shared" si="45"/>
        <v/>
      </c>
      <c r="BZ25" s="492" t="str">
        <f t="shared" si="46"/>
        <v/>
      </c>
      <c r="CA25" s="492" t="str">
        <f t="shared" si="47"/>
        <v/>
      </c>
      <c r="CB25" s="492" t="str">
        <f t="shared" si="48"/>
        <v/>
      </c>
      <c r="CC25" s="492" t="str">
        <f t="shared" si="49"/>
        <v/>
      </c>
      <c r="CD25" s="492" t="str">
        <f t="shared" si="50"/>
        <v/>
      </c>
      <c r="CE25" s="492" t="str">
        <f t="shared" si="51"/>
        <v/>
      </c>
      <c r="CF25" s="492" t="str">
        <f t="shared" si="52"/>
        <v/>
      </c>
      <c r="CG25" s="492" t="str">
        <f t="shared" si="53"/>
        <v/>
      </c>
      <c r="CH25" s="492" t="str">
        <f t="shared" si="54"/>
        <v/>
      </c>
      <c r="CI25" s="492" t="str">
        <f t="shared" si="55"/>
        <v/>
      </c>
      <c r="CJ25" s="492" t="str">
        <f t="shared" si="56"/>
        <v/>
      </c>
      <c r="CK25" s="492" t="str">
        <f t="shared" si="57"/>
        <v/>
      </c>
      <c r="CL25" s="492" t="str">
        <f t="shared" si="58"/>
        <v/>
      </c>
      <c r="CM25" s="492" t="str">
        <f t="shared" si="59"/>
        <v/>
      </c>
      <c r="CN25" s="492" t="str">
        <f t="shared" si="60"/>
        <v/>
      </c>
      <c r="CO25" s="492" t="str">
        <f t="shared" si="61"/>
        <v/>
      </c>
      <c r="CP25" s="492" t="str">
        <f t="shared" si="62"/>
        <v/>
      </c>
      <c r="CQ25" s="492" t="str">
        <f t="shared" si="63"/>
        <v/>
      </c>
      <c r="CR25" s="492" t="str">
        <f t="shared" si="64"/>
        <v/>
      </c>
      <c r="CS25" s="492" t="str">
        <f t="shared" si="65"/>
        <v/>
      </c>
      <c r="CT25" s="492" t="str">
        <f t="shared" si="66"/>
        <v/>
      </c>
      <c r="CU25" s="492" t="str">
        <f t="shared" si="67"/>
        <v/>
      </c>
      <c r="CV25" s="492" t="str">
        <f t="shared" si="68"/>
        <v/>
      </c>
      <c r="CW25" s="495">
        <v>1</v>
      </c>
    </row>
    <row r="26" spans="1:101" ht="13.5" customHeight="1">
      <c r="A26" s="1232">
        <v>16</v>
      </c>
      <c r="B26" s="1233"/>
      <c r="C26" s="1230"/>
      <c r="D26" s="1234"/>
      <c r="E26" s="1231"/>
      <c r="F26" s="1230"/>
      <c r="G26" s="1234"/>
      <c r="H26" s="1231"/>
      <c r="I26" s="1230"/>
      <c r="J26" s="1231"/>
      <c r="K26" s="1290"/>
      <c r="L26" s="1291"/>
      <c r="M26" s="1290"/>
      <c r="N26" s="1291"/>
      <c r="O26" s="1290"/>
      <c r="P26" s="1291"/>
      <c r="Q26" s="1230"/>
      <c r="R26" s="1231"/>
      <c r="S26" s="1230"/>
      <c r="T26" s="1231"/>
      <c r="U26" s="1228"/>
      <c r="V26" s="1229"/>
      <c r="W26" s="1230"/>
      <c r="X26" s="1231"/>
      <c r="Y26" s="1226"/>
      <c r="Z26" s="1227"/>
      <c r="AA26" s="1275"/>
      <c r="AB26" s="1275"/>
      <c r="AC26" s="1212" t="str">
        <f t="shared" si="0"/>
        <v/>
      </c>
      <c r="AD26" s="1213"/>
      <c r="AE26" s="1213"/>
      <c r="AF26" s="1213"/>
      <c r="AG26" s="492" t="str">
        <f t="shared" si="1"/>
        <v/>
      </c>
      <c r="AH26" s="466" t="str">
        <f t="shared" si="2"/>
        <v/>
      </c>
      <c r="AI26" s="466" t="str">
        <f t="shared" si="3"/>
        <v/>
      </c>
      <c r="AJ26" s="466" t="str">
        <f t="shared" si="4"/>
        <v/>
      </c>
      <c r="AK26" s="492" t="str">
        <f t="shared" si="5"/>
        <v>○</v>
      </c>
      <c r="AL26" s="492" t="str">
        <f t="shared" si="6"/>
        <v/>
      </c>
      <c r="AM26" s="492" t="str">
        <f t="shared" si="7"/>
        <v/>
      </c>
      <c r="AN26" s="492" t="str">
        <f t="shared" si="8"/>
        <v/>
      </c>
      <c r="AO26" s="492" t="str">
        <f t="shared" si="9"/>
        <v/>
      </c>
      <c r="AP26" s="492" t="str">
        <f t="shared" si="10"/>
        <v/>
      </c>
      <c r="AQ26" s="492" t="str">
        <f t="shared" si="11"/>
        <v/>
      </c>
      <c r="AR26" s="492" t="str">
        <f t="shared" si="12"/>
        <v/>
      </c>
      <c r="AS26" s="492" t="str">
        <f t="shared" si="13"/>
        <v/>
      </c>
      <c r="AT26" s="492" t="str">
        <f t="shared" si="14"/>
        <v/>
      </c>
      <c r="AU26" s="492" t="str">
        <f t="shared" si="15"/>
        <v/>
      </c>
      <c r="AV26" s="492" t="str">
        <f t="shared" si="16"/>
        <v/>
      </c>
      <c r="AW26" s="492" t="str">
        <f t="shared" si="17"/>
        <v/>
      </c>
      <c r="AX26" s="492" t="str">
        <f t="shared" si="18"/>
        <v/>
      </c>
      <c r="AY26" s="492" t="str">
        <f t="shared" si="19"/>
        <v/>
      </c>
      <c r="AZ26" s="492" t="str">
        <f t="shared" si="20"/>
        <v/>
      </c>
      <c r="BA26" s="492" t="str">
        <f t="shared" si="21"/>
        <v/>
      </c>
      <c r="BB26" s="492" t="str">
        <f t="shared" si="22"/>
        <v/>
      </c>
      <c r="BC26" s="492" t="str">
        <f t="shared" si="23"/>
        <v/>
      </c>
      <c r="BD26" s="492" t="str">
        <f t="shared" si="24"/>
        <v/>
      </c>
      <c r="BE26" s="492" t="str">
        <f t="shared" si="25"/>
        <v/>
      </c>
      <c r="BF26" s="492" t="str">
        <f t="shared" si="26"/>
        <v/>
      </c>
      <c r="BG26" s="492" t="str">
        <f t="shared" si="27"/>
        <v/>
      </c>
      <c r="BH26" s="492" t="str">
        <f t="shared" si="28"/>
        <v/>
      </c>
      <c r="BI26" s="492" t="str">
        <f t="shared" si="29"/>
        <v/>
      </c>
      <c r="BJ26" s="492" t="str">
        <f t="shared" si="30"/>
        <v/>
      </c>
      <c r="BK26" s="492" t="str">
        <f t="shared" si="31"/>
        <v/>
      </c>
      <c r="BL26" s="492" t="str">
        <f t="shared" si="32"/>
        <v/>
      </c>
      <c r="BM26" s="492" t="str">
        <f t="shared" si="33"/>
        <v/>
      </c>
      <c r="BN26" s="492" t="str">
        <f t="shared" si="34"/>
        <v/>
      </c>
      <c r="BO26" s="492" t="str">
        <f t="shared" si="35"/>
        <v/>
      </c>
      <c r="BP26" s="492" t="str">
        <f t="shared" si="36"/>
        <v/>
      </c>
      <c r="BQ26" s="492" t="str">
        <f t="shared" si="37"/>
        <v/>
      </c>
      <c r="BR26" s="492" t="str">
        <f t="shared" si="38"/>
        <v/>
      </c>
      <c r="BS26" s="492" t="str">
        <f t="shared" si="39"/>
        <v/>
      </c>
      <c r="BT26" s="492" t="str">
        <f t="shared" si="40"/>
        <v/>
      </c>
      <c r="BU26" s="492" t="str">
        <f t="shared" si="41"/>
        <v/>
      </c>
      <c r="BV26" s="492" t="str">
        <f t="shared" si="42"/>
        <v/>
      </c>
      <c r="BW26" s="492" t="str">
        <f t="shared" si="43"/>
        <v/>
      </c>
      <c r="BX26" s="492" t="str">
        <f t="shared" si="44"/>
        <v/>
      </c>
      <c r="BY26" s="492" t="str">
        <f t="shared" si="45"/>
        <v/>
      </c>
      <c r="BZ26" s="492" t="str">
        <f t="shared" si="46"/>
        <v/>
      </c>
      <c r="CA26" s="492" t="str">
        <f t="shared" si="47"/>
        <v/>
      </c>
      <c r="CB26" s="492" t="str">
        <f t="shared" si="48"/>
        <v/>
      </c>
      <c r="CC26" s="492" t="str">
        <f t="shared" si="49"/>
        <v/>
      </c>
      <c r="CD26" s="492" t="str">
        <f t="shared" si="50"/>
        <v/>
      </c>
      <c r="CE26" s="492" t="str">
        <f t="shared" si="51"/>
        <v/>
      </c>
      <c r="CF26" s="492" t="str">
        <f t="shared" si="52"/>
        <v/>
      </c>
      <c r="CG26" s="492" t="str">
        <f t="shared" si="53"/>
        <v/>
      </c>
      <c r="CH26" s="492" t="str">
        <f t="shared" si="54"/>
        <v/>
      </c>
      <c r="CI26" s="492" t="str">
        <f t="shared" si="55"/>
        <v/>
      </c>
      <c r="CJ26" s="492" t="str">
        <f t="shared" si="56"/>
        <v/>
      </c>
      <c r="CK26" s="492" t="str">
        <f t="shared" si="57"/>
        <v/>
      </c>
      <c r="CL26" s="492" t="str">
        <f t="shared" si="58"/>
        <v/>
      </c>
      <c r="CM26" s="492" t="str">
        <f t="shared" si="59"/>
        <v/>
      </c>
      <c r="CN26" s="492" t="str">
        <f t="shared" si="60"/>
        <v/>
      </c>
      <c r="CO26" s="492" t="str">
        <f t="shared" si="61"/>
        <v/>
      </c>
      <c r="CP26" s="492" t="str">
        <f t="shared" si="62"/>
        <v/>
      </c>
      <c r="CQ26" s="492" t="str">
        <f t="shared" si="63"/>
        <v/>
      </c>
      <c r="CR26" s="492" t="str">
        <f t="shared" si="64"/>
        <v/>
      </c>
      <c r="CS26" s="492" t="str">
        <f t="shared" si="65"/>
        <v/>
      </c>
      <c r="CT26" s="492" t="str">
        <f t="shared" si="66"/>
        <v/>
      </c>
      <c r="CU26" s="492" t="str">
        <f t="shared" si="67"/>
        <v/>
      </c>
      <c r="CV26" s="492" t="str">
        <f t="shared" si="68"/>
        <v/>
      </c>
      <c r="CW26" s="495">
        <v>1</v>
      </c>
    </row>
    <row r="27" spans="1:101" ht="13.5" customHeight="1">
      <c r="A27" s="1232">
        <v>17</v>
      </c>
      <c r="B27" s="1233"/>
      <c r="C27" s="1230"/>
      <c r="D27" s="1234"/>
      <c r="E27" s="1231"/>
      <c r="F27" s="1230"/>
      <c r="G27" s="1234"/>
      <c r="H27" s="1231"/>
      <c r="I27" s="1230"/>
      <c r="J27" s="1231"/>
      <c r="K27" s="1290"/>
      <c r="L27" s="1291"/>
      <c r="M27" s="1290"/>
      <c r="N27" s="1291"/>
      <c r="O27" s="1290"/>
      <c r="P27" s="1291"/>
      <c r="Q27" s="1230"/>
      <c r="R27" s="1231"/>
      <c r="S27" s="1230"/>
      <c r="T27" s="1231"/>
      <c r="U27" s="1228"/>
      <c r="V27" s="1229"/>
      <c r="W27" s="1230"/>
      <c r="X27" s="1231"/>
      <c r="Y27" s="1226"/>
      <c r="Z27" s="1227"/>
      <c r="AA27" s="1275"/>
      <c r="AB27" s="1275"/>
      <c r="AC27" s="1212" t="str">
        <f t="shared" si="0"/>
        <v/>
      </c>
      <c r="AD27" s="1213"/>
      <c r="AE27" s="1213"/>
      <c r="AF27" s="1213"/>
      <c r="AG27" s="492" t="str">
        <f t="shared" si="1"/>
        <v/>
      </c>
      <c r="AH27" s="466" t="str">
        <f t="shared" si="2"/>
        <v/>
      </c>
      <c r="AI27" s="466" t="str">
        <f t="shared" si="3"/>
        <v/>
      </c>
      <c r="AJ27" s="466" t="str">
        <f t="shared" si="4"/>
        <v/>
      </c>
      <c r="AK27" s="492" t="str">
        <f t="shared" si="5"/>
        <v>○</v>
      </c>
      <c r="AL27" s="492" t="str">
        <f t="shared" si="6"/>
        <v/>
      </c>
      <c r="AM27" s="492" t="str">
        <f t="shared" si="7"/>
        <v/>
      </c>
      <c r="AN27" s="492" t="str">
        <f t="shared" si="8"/>
        <v/>
      </c>
      <c r="AO27" s="492" t="str">
        <f t="shared" si="9"/>
        <v/>
      </c>
      <c r="AP27" s="492" t="str">
        <f t="shared" si="10"/>
        <v/>
      </c>
      <c r="AQ27" s="492" t="str">
        <f t="shared" si="11"/>
        <v/>
      </c>
      <c r="AR27" s="492" t="str">
        <f t="shared" si="12"/>
        <v/>
      </c>
      <c r="AS27" s="492" t="str">
        <f t="shared" si="13"/>
        <v/>
      </c>
      <c r="AT27" s="492" t="str">
        <f t="shared" si="14"/>
        <v/>
      </c>
      <c r="AU27" s="492" t="str">
        <f t="shared" si="15"/>
        <v/>
      </c>
      <c r="AV27" s="492" t="str">
        <f t="shared" si="16"/>
        <v/>
      </c>
      <c r="AW27" s="492" t="str">
        <f t="shared" si="17"/>
        <v/>
      </c>
      <c r="AX27" s="492" t="str">
        <f t="shared" si="18"/>
        <v/>
      </c>
      <c r="AY27" s="492" t="str">
        <f t="shared" si="19"/>
        <v/>
      </c>
      <c r="AZ27" s="492" t="str">
        <f t="shared" si="20"/>
        <v/>
      </c>
      <c r="BA27" s="492" t="str">
        <f t="shared" si="21"/>
        <v/>
      </c>
      <c r="BB27" s="492" t="str">
        <f t="shared" si="22"/>
        <v/>
      </c>
      <c r="BC27" s="492" t="str">
        <f t="shared" si="23"/>
        <v/>
      </c>
      <c r="BD27" s="492" t="str">
        <f t="shared" si="24"/>
        <v/>
      </c>
      <c r="BE27" s="492" t="str">
        <f t="shared" si="25"/>
        <v/>
      </c>
      <c r="BF27" s="492" t="str">
        <f t="shared" si="26"/>
        <v/>
      </c>
      <c r="BG27" s="492" t="str">
        <f t="shared" si="27"/>
        <v/>
      </c>
      <c r="BH27" s="492" t="str">
        <f t="shared" si="28"/>
        <v/>
      </c>
      <c r="BI27" s="492" t="str">
        <f t="shared" si="29"/>
        <v/>
      </c>
      <c r="BJ27" s="492" t="str">
        <f t="shared" si="30"/>
        <v/>
      </c>
      <c r="BK27" s="492" t="str">
        <f t="shared" si="31"/>
        <v/>
      </c>
      <c r="BL27" s="492" t="str">
        <f t="shared" si="32"/>
        <v/>
      </c>
      <c r="BM27" s="492" t="str">
        <f t="shared" si="33"/>
        <v/>
      </c>
      <c r="BN27" s="492" t="str">
        <f t="shared" si="34"/>
        <v/>
      </c>
      <c r="BO27" s="492" t="str">
        <f t="shared" si="35"/>
        <v/>
      </c>
      <c r="BP27" s="492" t="str">
        <f t="shared" si="36"/>
        <v/>
      </c>
      <c r="BQ27" s="492" t="str">
        <f t="shared" si="37"/>
        <v/>
      </c>
      <c r="BR27" s="492" t="str">
        <f t="shared" si="38"/>
        <v/>
      </c>
      <c r="BS27" s="492" t="str">
        <f t="shared" si="39"/>
        <v/>
      </c>
      <c r="BT27" s="492" t="str">
        <f t="shared" si="40"/>
        <v/>
      </c>
      <c r="BU27" s="492" t="str">
        <f t="shared" si="41"/>
        <v/>
      </c>
      <c r="BV27" s="492" t="str">
        <f t="shared" si="42"/>
        <v/>
      </c>
      <c r="BW27" s="492" t="str">
        <f t="shared" si="43"/>
        <v/>
      </c>
      <c r="BX27" s="492" t="str">
        <f t="shared" si="44"/>
        <v/>
      </c>
      <c r="BY27" s="492" t="str">
        <f t="shared" si="45"/>
        <v/>
      </c>
      <c r="BZ27" s="492" t="str">
        <f t="shared" si="46"/>
        <v/>
      </c>
      <c r="CA27" s="492" t="str">
        <f t="shared" si="47"/>
        <v/>
      </c>
      <c r="CB27" s="492" t="str">
        <f t="shared" si="48"/>
        <v/>
      </c>
      <c r="CC27" s="492" t="str">
        <f t="shared" si="49"/>
        <v/>
      </c>
      <c r="CD27" s="492" t="str">
        <f t="shared" si="50"/>
        <v/>
      </c>
      <c r="CE27" s="492" t="str">
        <f t="shared" si="51"/>
        <v/>
      </c>
      <c r="CF27" s="492" t="str">
        <f t="shared" si="52"/>
        <v/>
      </c>
      <c r="CG27" s="492" t="str">
        <f t="shared" si="53"/>
        <v/>
      </c>
      <c r="CH27" s="492" t="str">
        <f t="shared" si="54"/>
        <v/>
      </c>
      <c r="CI27" s="492" t="str">
        <f t="shared" si="55"/>
        <v/>
      </c>
      <c r="CJ27" s="492" t="str">
        <f t="shared" si="56"/>
        <v/>
      </c>
      <c r="CK27" s="492" t="str">
        <f t="shared" si="57"/>
        <v/>
      </c>
      <c r="CL27" s="492" t="str">
        <f t="shared" si="58"/>
        <v/>
      </c>
      <c r="CM27" s="492" t="str">
        <f t="shared" si="59"/>
        <v/>
      </c>
      <c r="CN27" s="492" t="str">
        <f t="shared" si="60"/>
        <v/>
      </c>
      <c r="CO27" s="492" t="str">
        <f t="shared" si="61"/>
        <v/>
      </c>
      <c r="CP27" s="492" t="str">
        <f t="shared" si="62"/>
        <v/>
      </c>
      <c r="CQ27" s="492" t="str">
        <f t="shared" si="63"/>
        <v/>
      </c>
      <c r="CR27" s="492" t="str">
        <f t="shared" si="64"/>
        <v/>
      </c>
      <c r="CS27" s="492" t="str">
        <f t="shared" si="65"/>
        <v/>
      </c>
      <c r="CT27" s="492" t="str">
        <f t="shared" si="66"/>
        <v/>
      </c>
      <c r="CU27" s="492" t="str">
        <f t="shared" si="67"/>
        <v/>
      </c>
      <c r="CV27" s="492" t="str">
        <f t="shared" si="68"/>
        <v/>
      </c>
      <c r="CW27" s="495">
        <v>1</v>
      </c>
    </row>
    <row r="28" spans="1:101" ht="13.5" customHeight="1">
      <c r="A28" s="1232">
        <v>18</v>
      </c>
      <c r="B28" s="1233"/>
      <c r="C28" s="1230"/>
      <c r="D28" s="1234"/>
      <c r="E28" s="1231"/>
      <c r="F28" s="1230"/>
      <c r="G28" s="1234"/>
      <c r="H28" s="1231"/>
      <c r="I28" s="1230"/>
      <c r="J28" s="1231"/>
      <c r="K28" s="1290"/>
      <c r="L28" s="1291"/>
      <c r="M28" s="1290"/>
      <c r="N28" s="1291"/>
      <c r="O28" s="1290"/>
      <c r="P28" s="1291"/>
      <c r="Q28" s="1230"/>
      <c r="R28" s="1231"/>
      <c r="S28" s="1230"/>
      <c r="T28" s="1231"/>
      <c r="U28" s="1228"/>
      <c r="V28" s="1229"/>
      <c r="W28" s="1230"/>
      <c r="X28" s="1231"/>
      <c r="Y28" s="1226"/>
      <c r="Z28" s="1227"/>
      <c r="AA28" s="1275"/>
      <c r="AB28" s="1275"/>
      <c r="AC28" s="1212" t="str">
        <f t="shared" si="0"/>
        <v/>
      </c>
      <c r="AD28" s="1213"/>
      <c r="AE28" s="1213"/>
      <c r="AF28" s="1213"/>
      <c r="AG28" s="492" t="str">
        <f t="shared" si="1"/>
        <v/>
      </c>
      <c r="AH28" s="466" t="str">
        <f t="shared" si="2"/>
        <v/>
      </c>
      <c r="AI28" s="466" t="str">
        <f t="shared" si="3"/>
        <v/>
      </c>
      <c r="AJ28" s="466" t="str">
        <f t="shared" si="4"/>
        <v/>
      </c>
      <c r="AK28" s="492" t="str">
        <f t="shared" si="5"/>
        <v>○</v>
      </c>
      <c r="AL28" s="492" t="str">
        <f t="shared" si="6"/>
        <v/>
      </c>
      <c r="AM28" s="492" t="str">
        <f t="shared" si="7"/>
        <v/>
      </c>
      <c r="AN28" s="492" t="str">
        <f t="shared" si="8"/>
        <v/>
      </c>
      <c r="AO28" s="492" t="str">
        <f t="shared" si="9"/>
        <v/>
      </c>
      <c r="AP28" s="492" t="str">
        <f t="shared" si="10"/>
        <v/>
      </c>
      <c r="AQ28" s="492" t="str">
        <f t="shared" si="11"/>
        <v/>
      </c>
      <c r="AR28" s="492" t="str">
        <f t="shared" si="12"/>
        <v/>
      </c>
      <c r="AS28" s="492" t="str">
        <f t="shared" si="13"/>
        <v/>
      </c>
      <c r="AT28" s="492" t="str">
        <f t="shared" si="14"/>
        <v/>
      </c>
      <c r="AU28" s="492" t="str">
        <f t="shared" si="15"/>
        <v/>
      </c>
      <c r="AV28" s="492" t="str">
        <f t="shared" si="16"/>
        <v/>
      </c>
      <c r="AW28" s="492" t="str">
        <f t="shared" si="17"/>
        <v/>
      </c>
      <c r="AX28" s="492" t="str">
        <f t="shared" si="18"/>
        <v/>
      </c>
      <c r="AY28" s="492" t="str">
        <f t="shared" si="19"/>
        <v/>
      </c>
      <c r="AZ28" s="492" t="str">
        <f t="shared" si="20"/>
        <v/>
      </c>
      <c r="BA28" s="492" t="str">
        <f t="shared" si="21"/>
        <v/>
      </c>
      <c r="BB28" s="492" t="str">
        <f t="shared" si="22"/>
        <v/>
      </c>
      <c r="BC28" s="492" t="str">
        <f t="shared" si="23"/>
        <v/>
      </c>
      <c r="BD28" s="492" t="str">
        <f t="shared" si="24"/>
        <v/>
      </c>
      <c r="BE28" s="492" t="str">
        <f t="shared" si="25"/>
        <v/>
      </c>
      <c r="BF28" s="492" t="str">
        <f t="shared" si="26"/>
        <v/>
      </c>
      <c r="BG28" s="492" t="str">
        <f t="shared" si="27"/>
        <v/>
      </c>
      <c r="BH28" s="492" t="str">
        <f t="shared" si="28"/>
        <v/>
      </c>
      <c r="BI28" s="492" t="str">
        <f t="shared" si="29"/>
        <v/>
      </c>
      <c r="BJ28" s="492" t="str">
        <f t="shared" si="30"/>
        <v/>
      </c>
      <c r="BK28" s="492" t="str">
        <f t="shared" si="31"/>
        <v/>
      </c>
      <c r="BL28" s="492" t="str">
        <f t="shared" si="32"/>
        <v/>
      </c>
      <c r="BM28" s="492" t="str">
        <f t="shared" si="33"/>
        <v/>
      </c>
      <c r="BN28" s="492" t="str">
        <f t="shared" si="34"/>
        <v/>
      </c>
      <c r="BO28" s="492" t="str">
        <f t="shared" si="35"/>
        <v/>
      </c>
      <c r="BP28" s="492" t="str">
        <f t="shared" si="36"/>
        <v/>
      </c>
      <c r="BQ28" s="492" t="str">
        <f t="shared" si="37"/>
        <v/>
      </c>
      <c r="BR28" s="492" t="str">
        <f t="shared" si="38"/>
        <v/>
      </c>
      <c r="BS28" s="492" t="str">
        <f t="shared" si="39"/>
        <v/>
      </c>
      <c r="BT28" s="492" t="str">
        <f t="shared" si="40"/>
        <v/>
      </c>
      <c r="BU28" s="492" t="str">
        <f t="shared" si="41"/>
        <v/>
      </c>
      <c r="BV28" s="492" t="str">
        <f t="shared" si="42"/>
        <v/>
      </c>
      <c r="BW28" s="492" t="str">
        <f t="shared" si="43"/>
        <v/>
      </c>
      <c r="BX28" s="492" t="str">
        <f t="shared" si="44"/>
        <v/>
      </c>
      <c r="BY28" s="492" t="str">
        <f t="shared" si="45"/>
        <v/>
      </c>
      <c r="BZ28" s="492" t="str">
        <f t="shared" si="46"/>
        <v/>
      </c>
      <c r="CA28" s="492" t="str">
        <f t="shared" si="47"/>
        <v/>
      </c>
      <c r="CB28" s="492" t="str">
        <f t="shared" si="48"/>
        <v/>
      </c>
      <c r="CC28" s="492" t="str">
        <f t="shared" si="49"/>
        <v/>
      </c>
      <c r="CD28" s="492" t="str">
        <f t="shared" si="50"/>
        <v/>
      </c>
      <c r="CE28" s="492" t="str">
        <f t="shared" si="51"/>
        <v/>
      </c>
      <c r="CF28" s="492" t="str">
        <f t="shared" si="52"/>
        <v/>
      </c>
      <c r="CG28" s="492" t="str">
        <f t="shared" si="53"/>
        <v/>
      </c>
      <c r="CH28" s="492" t="str">
        <f t="shared" si="54"/>
        <v/>
      </c>
      <c r="CI28" s="492" t="str">
        <f t="shared" si="55"/>
        <v/>
      </c>
      <c r="CJ28" s="492" t="str">
        <f t="shared" si="56"/>
        <v/>
      </c>
      <c r="CK28" s="492" t="str">
        <f t="shared" si="57"/>
        <v/>
      </c>
      <c r="CL28" s="492" t="str">
        <f t="shared" si="58"/>
        <v/>
      </c>
      <c r="CM28" s="492" t="str">
        <f t="shared" si="59"/>
        <v/>
      </c>
      <c r="CN28" s="492" t="str">
        <f t="shared" si="60"/>
        <v/>
      </c>
      <c r="CO28" s="492" t="str">
        <f t="shared" si="61"/>
        <v/>
      </c>
      <c r="CP28" s="492" t="str">
        <f t="shared" si="62"/>
        <v/>
      </c>
      <c r="CQ28" s="492" t="str">
        <f t="shared" si="63"/>
        <v/>
      </c>
      <c r="CR28" s="492" t="str">
        <f t="shared" si="64"/>
        <v/>
      </c>
      <c r="CS28" s="492" t="str">
        <f t="shared" si="65"/>
        <v/>
      </c>
      <c r="CT28" s="492" t="str">
        <f t="shared" si="66"/>
        <v/>
      </c>
      <c r="CU28" s="492" t="str">
        <f t="shared" si="67"/>
        <v/>
      </c>
      <c r="CV28" s="492" t="str">
        <f t="shared" si="68"/>
        <v/>
      </c>
      <c r="CW28" s="495">
        <v>1</v>
      </c>
    </row>
    <row r="29" spans="1:101" ht="13.5" customHeight="1">
      <c r="A29" s="1232">
        <v>19</v>
      </c>
      <c r="B29" s="1233"/>
      <c r="C29" s="1230"/>
      <c r="D29" s="1234"/>
      <c r="E29" s="1231"/>
      <c r="F29" s="1230"/>
      <c r="G29" s="1234"/>
      <c r="H29" s="1231"/>
      <c r="I29" s="1230"/>
      <c r="J29" s="1231"/>
      <c r="K29" s="1290"/>
      <c r="L29" s="1291"/>
      <c r="M29" s="1290"/>
      <c r="N29" s="1291"/>
      <c r="O29" s="1290"/>
      <c r="P29" s="1291"/>
      <c r="Q29" s="1230"/>
      <c r="R29" s="1231"/>
      <c r="S29" s="1230"/>
      <c r="T29" s="1231"/>
      <c r="U29" s="1228"/>
      <c r="V29" s="1229"/>
      <c r="W29" s="1230"/>
      <c r="X29" s="1231"/>
      <c r="Y29" s="1226"/>
      <c r="Z29" s="1227"/>
      <c r="AA29" s="1275"/>
      <c r="AB29" s="1275"/>
      <c r="AC29" s="1212" t="str">
        <f t="shared" si="0"/>
        <v/>
      </c>
      <c r="AD29" s="1213"/>
      <c r="AE29" s="1213"/>
      <c r="AF29" s="1213"/>
      <c r="AG29" s="492" t="str">
        <f t="shared" si="1"/>
        <v/>
      </c>
      <c r="AH29" s="466" t="str">
        <f t="shared" si="2"/>
        <v/>
      </c>
      <c r="AI29" s="466" t="str">
        <f t="shared" si="3"/>
        <v/>
      </c>
      <c r="AJ29" s="466" t="str">
        <f t="shared" si="4"/>
        <v/>
      </c>
      <c r="AK29" s="492" t="str">
        <f t="shared" si="5"/>
        <v>○</v>
      </c>
      <c r="AL29" s="492" t="str">
        <f t="shared" si="6"/>
        <v/>
      </c>
      <c r="AM29" s="492" t="str">
        <f t="shared" si="7"/>
        <v/>
      </c>
      <c r="AN29" s="492" t="str">
        <f t="shared" si="8"/>
        <v/>
      </c>
      <c r="AO29" s="492" t="str">
        <f t="shared" si="9"/>
        <v/>
      </c>
      <c r="AP29" s="492" t="str">
        <f t="shared" si="10"/>
        <v/>
      </c>
      <c r="AQ29" s="492" t="str">
        <f t="shared" si="11"/>
        <v/>
      </c>
      <c r="AR29" s="492" t="str">
        <f t="shared" si="12"/>
        <v/>
      </c>
      <c r="AS29" s="492" t="str">
        <f t="shared" si="13"/>
        <v/>
      </c>
      <c r="AT29" s="492" t="str">
        <f t="shared" si="14"/>
        <v/>
      </c>
      <c r="AU29" s="492" t="str">
        <f t="shared" si="15"/>
        <v/>
      </c>
      <c r="AV29" s="492" t="str">
        <f t="shared" si="16"/>
        <v/>
      </c>
      <c r="AW29" s="492" t="str">
        <f t="shared" si="17"/>
        <v/>
      </c>
      <c r="AX29" s="492" t="str">
        <f t="shared" si="18"/>
        <v/>
      </c>
      <c r="AY29" s="492" t="str">
        <f t="shared" si="19"/>
        <v/>
      </c>
      <c r="AZ29" s="492" t="str">
        <f t="shared" si="20"/>
        <v/>
      </c>
      <c r="BA29" s="492" t="str">
        <f t="shared" si="21"/>
        <v/>
      </c>
      <c r="BB29" s="492" t="str">
        <f t="shared" si="22"/>
        <v/>
      </c>
      <c r="BC29" s="492" t="str">
        <f t="shared" si="23"/>
        <v/>
      </c>
      <c r="BD29" s="492" t="str">
        <f t="shared" si="24"/>
        <v/>
      </c>
      <c r="BE29" s="492" t="str">
        <f t="shared" si="25"/>
        <v/>
      </c>
      <c r="BF29" s="492" t="str">
        <f t="shared" si="26"/>
        <v/>
      </c>
      <c r="BG29" s="492" t="str">
        <f t="shared" si="27"/>
        <v/>
      </c>
      <c r="BH29" s="492" t="str">
        <f t="shared" si="28"/>
        <v/>
      </c>
      <c r="BI29" s="492" t="str">
        <f t="shared" si="29"/>
        <v/>
      </c>
      <c r="BJ29" s="492" t="str">
        <f t="shared" si="30"/>
        <v/>
      </c>
      <c r="BK29" s="492" t="str">
        <f t="shared" si="31"/>
        <v/>
      </c>
      <c r="BL29" s="492" t="str">
        <f t="shared" si="32"/>
        <v/>
      </c>
      <c r="BM29" s="492" t="str">
        <f t="shared" si="33"/>
        <v/>
      </c>
      <c r="BN29" s="492" t="str">
        <f t="shared" si="34"/>
        <v/>
      </c>
      <c r="BO29" s="492" t="str">
        <f t="shared" si="35"/>
        <v/>
      </c>
      <c r="BP29" s="492" t="str">
        <f t="shared" si="36"/>
        <v/>
      </c>
      <c r="BQ29" s="492" t="str">
        <f t="shared" si="37"/>
        <v/>
      </c>
      <c r="BR29" s="492" t="str">
        <f t="shared" si="38"/>
        <v/>
      </c>
      <c r="BS29" s="492" t="str">
        <f t="shared" si="39"/>
        <v/>
      </c>
      <c r="BT29" s="492" t="str">
        <f t="shared" si="40"/>
        <v/>
      </c>
      <c r="BU29" s="492" t="str">
        <f t="shared" si="41"/>
        <v/>
      </c>
      <c r="BV29" s="492" t="str">
        <f t="shared" si="42"/>
        <v/>
      </c>
      <c r="BW29" s="492" t="str">
        <f t="shared" si="43"/>
        <v/>
      </c>
      <c r="BX29" s="492" t="str">
        <f t="shared" si="44"/>
        <v/>
      </c>
      <c r="BY29" s="492" t="str">
        <f t="shared" si="45"/>
        <v/>
      </c>
      <c r="BZ29" s="492" t="str">
        <f t="shared" si="46"/>
        <v/>
      </c>
      <c r="CA29" s="492" t="str">
        <f t="shared" si="47"/>
        <v/>
      </c>
      <c r="CB29" s="492" t="str">
        <f t="shared" si="48"/>
        <v/>
      </c>
      <c r="CC29" s="492" t="str">
        <f t="shared" si="49"/>
        <v/>
      </c>
      <c r="CD29" s="492" t="str">
        <f t="shared" si="50"/>
        <v/>
      </c>
      <c r="CE29" s="492" t="str">
        <f t="shared" si="51"/>
        <v/>
      </c>
      <c r="CF29" s="492" t="str">
        <f t="shared" si="52"/>
        <v/>
      </c>
      <c r="CG29" s="492" t="str">
        <f t="shared" si="53"/>
        <v/>
      </c>
      <c r="CH29" s="492" t="str">
        <f t="shared" si="54"/>
        <v/>
      </c>
      <c r="CI29" s="492" t="str">
        <f t="shared" si="55"/>
        <v/>
      </c>
      <c r="CJ29" s="492" t="str">
        <f t="shared" si="56"/>
        <v/>
      </c>
      <c r="CK29" s="492" t="str">
        <f t="shared" si="57"/>
        <v/>
      </c>
      <c r="CL29" s="492" t="str">
        <f t="shared" si="58"/>
        <v/>
      </c>
      <c r="CM29" s="492" t="str">
        <f t="shared" si="59"/>
        <v/>
      </c>
      <c r="CN29" s="492" t="str">
        <f t="shared" si="60"/>
        <v/>
      </c>
      <c r="CO29" s="492" t="str">
        <f t="shared" si="61"/>
        <v/>
      </c>
      <c r="CP29" s="492" t="str">
        <f t="shared" si="62"/>
        <v/>
      </c>
      <c r="CQ29" s="492" t="str">
        <f t="shared" si="63"/>
        <v/>
      </c>
      <c r="CR29" s="492" t="str">
        <f t="shared" si="64"/>
        <v/>
      </c>
      <c r="CS29" s="492" t="str">
        <f t="shared" si="65"/>
        <v/>
      </c>
      <c r="CT29" s="492" t="str">
        <f t="shared" si="66"/>
        <v/>
      </c>
      <c r="CU29" s="492" t="str">
        <f t="shared" si="67"/>
        <v/>
      </c>
      <c r="CV29" s="492" t="str">
        <f t="shared" si="68"/>
        <v/>
      </c>
      <c r="CW29" s="495">
        <v>1</v>
      </c>
    </row>
    <row r="30" spans="1:101" ht="13.5" customHeight="1">
      <c r="A30" s="1232">
        <v>20</v>
      </c>
      <c r="B30" s="1233"/>
      <c r="C30" s="1230"/>
      <c r="D30" s="1234"/>
      <c r="E30" s="1231"/>
      <c r="F30" s="1230"/>
      <c r="G30" s="1234"/>
      <c r="H30" s="1231"/>
      <c r="I30" s="1230"/>
      <c r="J30" s="1231"/>
      <c r="K30" s="1290"/>
      <c r="L30" s="1291"/>
      <c r="M30" s="1290"/>
      <c r="N30" s="1291"/>
      <c r="O30" s="1290"/>
      <c r="P30" s="1291"/>
      <c r="Q30" s="1230"/>
      <c r="R30" s="1231"/>
      <c r="S30" s="1230"/>
      <c r="T30" s="1231"/>
      <c r="U30" s="1228"/>
      <c r="V30" s="1229"/>
      <c r="W30" s="1230"/>
      <c r="X30" s="1231"/>
      <c r="Y30" s="1226"/>
      <c r="Z30" s="1227"/>
      <c r="AA30" s="1275"/>
      <c r="AB30" s="1275"/>
      <c r="AC30" s="1212" t="str">
        <f t="shared" si="0"/>
        <v/>
      </c>
      <c r="AD30" s="1213"/>
      <c r="AE30" s="1213"/>
      <c r="AF30" s="1213"/>
      <c r="AG30" s="492" t="str">
        <f t="shared" si="1"/>
        <v/>
      </c>
      <c r="AH30" s="466" t="str">
        <f t="shared" si="2"/>
        <v/>
      </c>
      <c r="AI30" s="466" t="str">
        <f t="shared" si="3"/>
        <v/>
      </c>
      <c r="AJ30" s="466" t="str">
        <f t="shared" si="4"/>
        <v/>
      </c>
      <c r="AK30" s="492" t="str">
        <f t="shared" si="5"/>
        <v>○</v>
      </c>
      <c r="AL30" s="492" t="str">
        <f t="shared" si="6"/>
        <v/>
      </c>
      <c r="AM30" s="492" t="str">
        <f t="shared" si="7"/>
        <v/>
      </c>
      <c r="AN30" s="492" t="str">
        <f t="shared" si="8"/>
        <v/>
      </c>
      <c r="AO30" s="492" t="str">
        <f t="shared" si="9"/>
        <v/>
      </c>
      <c r="AP30" s="492" t="str">
        <f t="shared" si="10"/>
        <v/>
      </c>
      <c r="AQ30" s="492" t="str">
        <f t="shared" si="11"/>
        <v/>
      </c>
      <c r="AR30" s="492" t="str">
        <f t="shared" si="12"/>
        <v/>
      </c>
      <c r="AS30" s="492" t="str">
        <f t="shared" si="13"/>
        <v/>
      </c>
      <c r="AT30" s="492" t="str">
        <f t="shared" si="14"/>
        <v/>
      </c>
      <c r="AU30" s="492" t="str">
        <f t="shared" si="15"/>
        <v/>
      </c>
      <c r="AV30" s="492" t="str">
        <f t="shared" si="16"/>
        <v/>
      </c>
      <c r="AW30" s="492" t="str">
        <f t="shared" si="17"/>
        <v/>
      </c>
      <c r="AX30" s="492" t="str">
        <f t="shared" si="18"/>
        <v/>
      </c>
      <c r="AY30" s="492" t="str">
        <f t="shared" si="19"/>
        <v/>
      </c>
      <c r="AZ30" s="492" t="str">
        <f t="shared" si="20"/>
        <v/>
      </c>
      <c r="BA30" s="492" t="str">
        <f t="shared" si="21"/>
        <v/>
      </c>
      <c r="BB30" s="492" t="str">
        <f t="shared" si="22"/>
        <v/>
      </c>
      <c r="BC30" s="492" t="str">
        <f t="shared" si="23"/>
        <v/>
      </c>
      <c r="BD30" s="492" t="str">
        <f t="shared" si="24"/>
        <v/>
      </c>
      <c r="BE30" s="492" t="str">
        <f t="shared" si="25"/>
        <v/>
      </c>
      <c r="BF30" s="492" t="str">
        <f t="shared" si="26"/>
        <v/>
      </c>
      <c r="BG30" s="492" t="str">
        <f t="shared" si="27"/>
        <v/>
      </c>
      <c r="BH30" s="492" t="str">
        <f t="shared" si="28"/>
        <v/>
      </c>
      <c r="BI30" s="492" t="str">
        <f t="shared" si="29"/>
        <v/>
      </c>
      <c r="BJ30" s="492" t="str">
        <f t="shared" si="30"/>
        <v/>
      </c>
      <c r="BK30" s="492" t="str">
        <f t="shared" si="31"/>
        <v/>
      </c>
      <c r="BL30" s="492" t="str">
        <f t="shared" si="32"/>
        <v/>
      </c>
      <c r="BM30" s="492" t="str">
        <f t="shared" si="33"/>
        <v/>
      </c>
      <c r="BN30" s="492" t="str">
        <f t="shared" si="34"/>
        <v/>
      </c>
      <c r="BO30" s="492" t="str">
        <f t="shared" si="35"/>
        <v/>
      </c>
      <c r="BP30" s="492" t="str">
        <f t="shared" si="36"/>
        <v/>
      </c>
      <c r="BQ30" s="492" t="str">
        <f t="shared" si="37"/>
        <v/>
      </c>
      <c r="BR30" s="492" t="str">
        <f t="shared" si="38"/>
        <v/>
      </c>
      <c r="BS30" s="492" t="str">
        <f t="shared" si="39"/>
        <v/>
      </c>
      <c r="BT30" s="492" t="str">
        <f t="shared" si="40"/>
        <v/>
      </c>
      <c r="BU30" s="492" t="str">
        <f t="shared" si="41"/>
        <v/>
      </c>
      <c r="BV30" s="492" t="str">
        <f t="shared" si="42"/>
        <v/>
      </c>
      <c r="BW30" s="492" t="str">
        <f t="shared" si="43"/>
        <v/>
      </c>
      <c r="BX30" s="492" t="str">
        <f t="shared" si="44"/>
        <v/>
      </c>
      <c r="BY30" s="492" t="str">
        <f t="shared" si="45"/>
        <v/>
      </c>
      <c r="BZ30" s="492" t="str">
        <f t="shared" si="46"/>
        <v/>
      </c>
      <c r="CA30" s="492" t="str">
        <f t="shared" si="47"/>
        <v/>
      </c>
      <c r="CB30" s="492" t="str">
        <f t="shared" si="48"/>
        <v/>
      </c>
      <c r="CC30" s="492" t="str">
        <f t="shared" si="49"/>
        <v/>
      </c>
      <c r="CD30" s="492" t="str">
        <f t="shared" si="50"/>
        <v/>
      </c>
      <c r="CE30" s="492" t="str">
        <f t="shared" si="51"/>
        <v/>
      </c>
      <c r="CF30" s="492" t="str">
        <f t="shared" si="52"/>
        <v/>
      </c>
      <c r="CG30" s="492" t="str">
        <f t="shared" si="53"/>
        <v/>
      </c>
      <c r="CH30" s="492" t="str">
        <f t="shared" si="54"/>
        <v/>
      </c>
      <c r="CI30" s="492" t="str">
        <f t="shared" si="55"/>
        <v/>
      </c>
      <c r="CJ30" s="492" t="str">
        <f t="shared" si="56"/>
        <v/>
      </c>
      <c r="CK30" s="492" t="str">
        <f t="shared" si="57"/>
        <v/>
      </c>
      <c r="CL30" s="492" t="str">
        <f t="shared" si="58"/>
        <v/>
      </c>
      <c r="CM30" s="492" t="str">
        <f t="shared" si="59"/>
        <v/>
      </c>
      <c r="CN30" s="492" t="str">
        <f t="shared" si="60"/>
        <v/>
      </c>
      <c r="CO30" s="492" t="str">
        <f t="shared" si="61"/>
        <v/>
      </c>
      <c r="CP30" s="492" t="str">
        <f t="shared" si="62"/>
        <v/>
      </c>
      <c r="CQ30" s="492" t="str">
        <f t="shared" si="63"/>
        <v/>
      </c>
      <c r="CR30" s="492" t="str">
        <f t="shared" si="64"/>
        <v/>
      </c>
      <c r="CS30" s="492" t="str">
        <f t="shared" si="65"/>
        <v/>
      </c>
      <c r="CT30" s="492" t="str">
        <f t="shared" si="66"/>
        <v/>
      </c>
      <c r="CU30" s="492" t="str">
        <f t="shared" si="67"/>
        <v/>
      </c>
      <c r="CV30" s="492" t="str">
        <f t="shared" si="68"/>
        <v/>
      </c>
      <c r="CW30" s="495">
        <v>1</v>
      </c>
    </row>
    <row r="31" spans="1:101" ht="13.5" customHeight="1">
      <c r="A31" s="1232">
        <v>21</v>
      </c>
      <c r="B31" s="1233"/>
      <c r="C31" s="1230"/>
      <c r="D31" s="1234"/>
      <c r="E31" s="1231"/>
      <c r="F31" s="1230"/>
      <c r="G31" s="1234"/>
      <c r="H31" s="1231"/>
      <c r="I31" s="1230"/>
      <c r="J31" s="1231"/>
      <c r="K31" s="1290"/>
      <c r="L31" s="1291"/>
      <c r="M31" s="1290"/>
      <c r="N31" s="1291"/>
      <c r="O31" s="1290"/>
      <c r="P31" s="1291"/>
      <c r="Q31" s="1230"/>
      <c r="R31" s="1231"/>
      <c r="S31" s="1230"/>
      <c r="T31" s="1231"/>
      <c r="U31" s="1228"/>
      <c r="V31" s="1229"/>
      <c r="W31" s="1230"/>
      <c r="X31" s="1231"/>
      <c r="Y31" s="1226"/>
      <c r="Z31" s="1227"/>
      <c r="AA31" s="1275"/>
      <c r="AB31" s="1275"/>
      <c r="AC31" s="1212" t="str">
        <f t="shared" si="0"/>
        <v/>
      </c>
      <c r="AD31" s="1213"/>
      <c r="AE31" s="1213"/>
      <c r="AF31" s="1213"/>
      <c r="AG31" s="492" t="str">
        <f t="shared" si="1"/>
        <v/>
      </c>
      <c r="AH31" s="466" t="str">
        <f t="shared" si="2"/>
        <v/>
      </c>
      <c r="AI31" s="466" t="str">
        <f t="shared" si="3"/>
        <v/>
      </c>
      <c r="AJ31" s="466" t="str">
        <f t="shared" si="4"/>
        <v/>
      </c>
      <c r="AK31" s="492" t="str">
        <f t="shared" si="5"/>
        <v>○</v>
      </c>
      <c r="AL31" s="492" t="str">
        <f t="shared" si="6"/>
        <v/>
      </c>
      <c r="AM31" s="492" t="str">
        <f t="shared" si="7"/>
        <v/>
      </c>
      <c r="AN31" s="492" t="str">
        <f t="shared" si="8"/>
        <v/>
      </c>
      <c r="AO31" s="492" t="str">
        <f t="shared" si="9"/>
        <v/>
      </c>
      <c r="AP31" s="492" t="str">
        <f t="shared" si="10"/>
        <v/>
      </c>
      <c r="AQ31" s="492" t="str">
        <f t="shared" si="11"/>
        <v/>
      </c>
      <c r="AR31" s="492" t="str">
        <f t="shared" si="12"/>
        <v/>
      </c>
      <c r="AS31" s="492" t="str">
        <f t="shared" si="13"/>
        <v/>
      </c>
      <c r="AT31" s="492" t="str">
        <f t="shared" si="14"/>
        <v/>
      </c>
      <c r="AU31" s="492" t="str">
        <f t="shared" si="15"/>
        <v/>
      </c>
      <c r="AV31" s="492" t="str">
        <f t="shared" si="16"/>
        <v/>
      </c>
      <c r="AW31" s="492" t="str">
        <f t="shared" si="17"/>
        <v/>
      </c>
      <c r="AX31" s="492" t="str">
        <f t="shared" si="18"/>
        <v/>
      </c>
      <c r="AY31" s="492" t="str">
        <f t="shared" si="19"/>
        <v/>
      </c>
      <c r="AZ31" s="492" t="str">
        <f t="shared" si="20"/>
        <v/>
      </c>
      <c r="BA31" s="492" t="str">
        <f t="shared" si="21"/>
        <v/>
      </c>
      <c r="BB31" s="492" t="str">
        <f t="shared" si="22"/>
        <v/>
      </c>
      <c r="BC31" s="492" t="str">
        <f t="shared" si="23"/>
        <v/>
      </c>
      <c r="BD31" s="492" t="str">
        <f t="shared" si="24"/>
        <v/>
      </c>
      <c r="BE31" s="492" t="str">
        <f t="shared" si="25"/>
        <v/>
      </c>
      <c r="BF31" s="492" t="str">
        <f t="shared" si="26"/>
        <v/>
      </c>
      <c r="BG31" s="492" t="str">
        <f t="shared" si="27"/>
        <v/>
      </c>
      <c r="BH31" s="492" t="str">
        <f t="shared" si="28"/>
        <v/>
      </c>
      <c r="BI31" s="492" t="str">
        <f t="shared" si="29"/>
        <v/>
      </c>
      <c r="BJ31" s="492" t="str">
        <f t="shared" si="30"/>
        <v/>
      </c>
      <c r="BK31" s="492" t="str">
        <f t="shared" si="31"/>
        <v/>
      </c>
      <c r="BL31" s="492" t="str">
        <f t="shared" si="32"/>
        <v/>
      </c>
      <c r="BM31" s="492" t="str">
        <f t="shared" si="33"/>
        <v/>
      </c>
      <c r="BN31" s="492" t="str">
        <f t="shared" si="34"/>
        <v/>
      </c>
      <c r="BO31" s="492" t="str">
        <f t="shared" si="35"/>
        <v/>
      </c>
      <c r="BP31" s="492" t="str">
        <f t="shared" si="36"/>
        <v/>
      </c>
      <c r="BQ31" s="492" t="str">
        <f t="shared" si="37"/>
        <v/>
      </c>
      <c r="BR31" s="492" t="str">
        <f t="shared" si="38"/>
        <v/>
      </c>
      <c r="BS31" s="492" t="str">
        <f t="shared" si="39"/>
        <v/>
      </c>
      <c r="BT31" s="492" t="str">
        <f t="shared" si="40"/>
        <v/>
      </c>
      <c r="BU31" s="492" t="str">
        <f t="shared" si="41"/>
        <v/>
      </c>
      <c r="BV31" s="492" t="str">
        <f t="shared" si="42"/>
        <v/>
      </c>
      <c r="BW31" s="492" t="str">
        <f t="shared" si="43"/>
        <v/>
      </c>
      <c r="BX31" s="492" t="str">
        <f t="shared" si="44"/>
        <v/>
      </c>
      <c r="BY31" s="492" t="str">
        <f t="shared" si="45"/>
        <v/>
      </c>
      <c r="BZ31" s="492" t="str">
        <f t="shared" si="46"/>
        <v/>
      </c>
      <c r="CA31" s="492" t="str">
        <f t="shared" si="47"/>
        <v/>
      </c>
      <c r="CB31" s="492" t="str">
        <f t="shared" si="48"/>
        <v/>
      </c>
      <c r="CC31" s="492" t="str">
        <f t="shared" si="49"/>
        <v/>
      </c>
      <c r="CD31" s="492" t="str">
        <f t="shared" si="50"/>
        <v/>
      </c>
      <c r="CE31" s="492" t="str">
        <f t="shared" si="51"/>
        <v/>
      </c>
      <c r="CF31" s="492" t="str">
        <f t="shared" si="52"/>
        <v/>
      </c>
      <c r="CG31" s="492" t="str">
        <f t="shared" si="53"/>
        <v/>
      </c>
      <c r="CH31" s="492" t="str">
        <f t="shared" si="54"/>
        <v/>
      </c>
      <c r="CI31" s="492" t="str">
        <f t="shared" si="55"/>
        <v/>
      </c>
      <c r="CJ31" s="492" t="str">
        <f t="shared" si="56"/>
        <v/>
      </c>
      <c r="CK31" s="492" t="str">
        <f t="shared" si="57"/>
        <v/>
      </c>
      <c r="CL31" s="492" t="str">
        <f t="shared" si="58"/>
        <v/>
      </c>
      <c r="CM31" s="492" t="str">
        <f t="shared" si="59"/>
        <v/>
      </c>
      <c r="CN31" s="492" t="str">
        <f t="shared" si="60"/>
        <v/>
      </c>
      <c r="CO31" s="492" t="str">
        <f t="shared" si="61"/>
        <v/>
      </c>
      <c r="CP31" s="492" t="str">
        <f t="shared" si="62"/>
        <v/>
      </c>
      <c r="CQ31" s="492" t="str">
        <f t="shared" si="63"/>
        <v/>
      </c>
      <c r="CR31" s="492" t="str">
        <f t="shared" si="64"/>
        <v/>
      </c>
      <c r="CS31" s="492" t="str">
        <f t="shared" si="65"/>
        <v/>
      </c>
      <c r="CT31" s="492" t="str">
        <f t="shared" si="66"/>
        <v/>
      </c>
      <c r="CU31" s="492" t="str">
        <f t="shared" si="67"/>
        <v/>
      </c>
      <c r="CV31" s="492" t="str">
        <f t="shared" si="68"/>
        <v/>
      </c>
      <c r="CW31" s="495">
        <v>1</v>
      </c>
    </row>
    <row r="32" spans="1:101" ht="13.5" customHeight="1">
      <c r="A32" s="1232">
        <v>22</v>
      </c>
      <c r="B32" s="1233"/>
      <c r="C32" s="1230"/>
      <c r="D32" s="1234"/>
      <c r="E32" s="1231"/>
      <c r="F32" s="1230"/>
      <c r="G32" s="1234"/>
      <c r="H32" s="1231"/>
      <c r="I32" s="1230"/>
      <c r="J32" s="1231"/>
      <c r="K32" s="1290"/>
      <c r="L32" s="1291"/>
      <c r="M32" s="1290"/>
      <c r="N32" s="1291"/>
      <c r="O32" s="1290"/>
      <c r="P32" s="1291"/>
      <c r="Q32" s="1230"/>
      <c r="R32" s="1231"/>
      <c r="S32" s="1230"/>
      <c r="T32" s="1231"/>
      <c r="U32" s="1228"/>
      <c r="V32" s="1229"/>
      <c r="W32" s="1230"/>
      <c r="X32" s="1231"/>
      <c r="Y32" s="1226"/>
      <c r="Z32" s="1227"/>
      <c r="AA32" s="1275"/>
      <c r="AB32" s="1275"/>
      <c r="AC32" s="1212" t="str">
        <f t="shared" si="0"/>
        <v/>
      </c>
      <c r="AD32" s="1213"/>
      <c r="AE32" s="1213"/>
      <c r="AF32" s="1213"/>
      <c r="AG32" s="492" t="str">
        <f t="shared" si="1"/>
        <v/>
      </c>
      <c r="AH32" s="466" t="str">
        <f t="shared" si="2"/>
        <v/>
      </c>
      <c r="AI32" s="466" t="str">
        <f t="shared" si="3"/>
        <v/>
      </c>
      <c r="AJ32" s="466" t="str">
        <f t="shared" si="4"/>
        <v/>
      </c>
      <c r="AK32" s="492" t="str">
        <f t="shared" si="5"/>
        <v>○</v>
      </c>
      <c r="AL32" s="492" t="str">
        <f t="shared" si="6"/>
        <v/>
      </c>
      <c r="AM32" s="492" t="str">
        <f t="shared" si="7"/>
        <v/>
      </c>
      <c r="AN32" s="492" t="str">
        <f t="shared" si="8"/>
        <v/>
      </c>
      <c r="AO32" s="492" t="str">
        <f t="shared" si="9"/>
        <v/>
      </c>
      <c r="AP32" s="492" t="str">
        <f t="shared" si="10"/>
        <v/>
      </c>
      <c r="AQ32" s="492" t="str">
        <f t="shared" si="11"/>
        <v/>
      </c>
      <c r="AR32" s="492" t="str">
        <f t="shared" si="12"/>
        <v/>
      </c>
      <c r="AS32" s="492" t="str">
        <f t="shared" si="13"/>
        <v/>
      </c>
      <c r="AT32" s="492" t="str">
        <f t="shared" si="14"/>
        <v/>
      </c>
      <c r="AU32" s="492" t="str">
        <f t="shared" si="15"/>
        <v/>
      </c>
      <c r="AV32" s="492" t="str">
        <f t="shared" si="16"/>
        <v/>
      </c>
      <c r="AW32" s="492" t="str">
        <f t="shared" si="17"/>
        <v/>
      </c>
      <c r="AX32" s="492" t="str">
        <f t="shared" si="18"/>
        <v/>
      </c>
      <c r="AY32" s="492" t="str">
        <f t="shared" si="19"/>
        <v/>
      </c>
      <c r="AZ32" s="492" t="str">
        <f t="shared" si="20"/>
        <v/>
      </c>
      <c r="BA32" s="492" t="str">
        <f t="shared" si="21"/>
        <v/>
      </c>
      <c r="BB32" s="492" t="str">
        <f t="shared" si="22"/>
        <v/>
      </c>
      <c r="BC32" s="492" t="str">
        <f t="shared" si="23"/>
        <v/>
      </c>
      <c r="BD32" s="492" t="str">
        <f t="shared" si="24"/>
        <v/>
      </c>
      <c r="BE32" s="492" t="str">
        <f t="shared" si="25"/>
        <v/>
      </c>
      <c r="BF32" s="492" t="str">
        <f t="shared" si="26"/>
        <v/>
      </c>
      <c r="BG32" s="492" t="str">
        <f t="shared" si="27"/>
        <v/>
      </c>
      <c r="BH32" s="492" t="str">
        <f t="shared" si="28"/>
        <v/>
      </c>
      <c r="BI32" s="492" t="str">
        <f t="shared" si="29"/>
        <v/>
      </c>
      <c r="BJ32" s="492" t="str">
        <f t="shared" si="30"/>
        <v/>
      </c>
      <c r="BK32" s="492" t="str">
        <f t="shared" si="31"/>
        <v/>
      </c>
      <c r="BL32" s="492" t="str">
        <f t="shared" si="32"/>
        <v/>
      </c>
      <c r="BM32" s="492" t="str">
        <f t="shared" si="33"/>
        <v/>
      </c>
      <c r="BN32" s="492" t="str">
        <f t="shared" si="34"/>
        <v/>
      </c>
      <c r="BO32" s="492" t="str">
        <f t="shared" si="35"/>
        <v/>
      </c>
      <c r="BP32" s="492" t="str">
        <f t="shared" si="36"/>
        <v/>
      </c>
      <c r="BQ32" s="492" t="str">
        <f t="shared" si="37"/>
        <v/>
      </c>
      <c r="BR32" s="492" t="str">
        <f t="shared" si="38"/>
        <v/>
      </c>
      <c r="BS32" s="492" t="str">
        <f t="shared" si="39"/>
        <v/>
      </c>
      <c r="BT32" s="492" t="str">
        <f t="shared" si="40"/>
        <v/>
      </c>
      <c r="BU32" s="492" t="str">
        <f t="shared" si="41"/>
        <v/>
      </c>
      <c r="BV32" s="492" t="str">
        <f t="shared" si="42"/>
        <v/>
      </c>
      <c r="BW32" s="492" t="str">
        <f t="shared" si="43"/>
        <v/>
      </c>
      <c r="BX32" s="492" t="str">
        <f t="shared" si="44"/>
        <v/>
      </c>
      <c r="BY32" s="492" t="str">
        <f t="shared" si="45"/>
        <v/>
      </c>
      <c r="BZ32" s="492" t="str">
        <f t="shared" si="46"/>
        <v/>
      </c>
      <c r="CA32" s="492" t="str">
        <f t="shared" si="47"/>
        <v/>
      </c>
      <c r="CB32" s="492" t="str">
        <f t="shared" si="48"/>
        <v/>
      </c>
      <c r="CC32" s="492" t="str">
        <f t="shared" si="49"/>
        <v/>
      </c>
      <c r="CD32" s="492" t="str">
        <f t="shared" si="50"/>
        <v/>
      </c>
      <c r="CE32" s="492" t="str">
        <f t="shared" si="51"/>
        <v/>
      </c>
      <c r="CF32" s="492" t="str">
        <f t="shared" si="52"/>
        <v/>
      </c>
      <c r="CG32" s="492" t="str">
        <f t="shared" si="53"/>
        <v/>
      </c>
      <c r="CH32" s="492" t="str">
        <f t="shared" si="54"/>
        <v/>
      </c>
      <c r="CI32" s="492" t="str">
        <f t="shared" si="55"/>
        <v/>
      </c>
      <c r="CJ32" s="492" t="str">
        <f t="shared" si="56"/>
        <v/>
      </c>
      <c r="CK32" s="492" t="str">
        <f t="shared" si="57"/>
        <v/>
      </c>
      <c r="CL32" s="492" t="str">
        <f t="shared" si="58"/>
        <v/>
      </c>
      <c r="CM32" s="492" t="str">
        <f t="shared" si="59"/>
        <v/>
      </c>
      <c r="CN32" s="492" t="str">
        <f t="shared" si="60"/>
        <v/>
      </c>
      <c r="CO32" s="492" t="str">
        <f t="shared" si="61"/>
        <v/>
      </c>
      <c r="CP32" s="492" t="str">
        <f t="shared" si="62"/>
        <v/>
      </c>
      <c r="CQ32" s="492" t="str">
        <f t="shared" si="63"/>
        <v/>
      </c>
      <c r="CR32" s="492" t="str">
        <f t="shared" si="64"/>
        <v/>
      </c>
      <c r="CS32" s="492" t="str">
        <f t="shared" si="65"/>
        <v/>
      </c>
      <c r="CT32" s="492" t="str">
        <f t="shared" si="66"/>
        <v/>
      </c>
      <c r="CU32" s="492" t="str">
        <f t="shared" si="67"/>
        <v/>
      </c>
      <c r="CV32" s="492" t="str">
        <f t="shared" si="68"/>
        <v/>
      </c>
      <c r="CW32" s="495">
        <v>1</v>
      </c>
    </row>
    <row r="33" spans="1:106" ht="13.5" customHeight="1">
      <c r="A33" s="1232">
        <v>23</v>
      </c>
      <c r="B33" s="1233"/>
      <c r="C33" s="1230"/>
      <c r="D33" s="1234"/>
      <c r="E33" s="1231"/>
      <c r="F33" s="1230"/>
      <c r="G33" s="1234"/>
      <c r="H33" s="1231"/>
      <c r="I33" s="1230"/>
      <c r="J33" s="1231"/>
      <c r="K33" s="1290"/>
      <c r="L33" s="1291"/>
      <c r="M33" s="1290"/>
      <c r="N33" s="1291"/>
      <c r="O33" s="1290"/>
      <c r="P33" s="1291"/>
      <c r="Q33" s="1230"/>
      <c r="R33" s="1231"/>
      <c r="S33" s="1230"/>
      <c r="T33" s="1231"/>
      <c r="U33" s="1228"/>
      <c r="V33" s="1229"/>
      <c r="W33" s="1230"/>
      <c r="X33" s="1231"/>
      <c r="Y33" s="1226"/>
      <c r="Z33" s="1227"/>
      <c r="AA33" s="1275"/>
      <c r="AB33" s="1275"/>
      <c r="AC33" s="1212" t="str">
        <f t="shared" si="0"/>
        <v/>
      </c>
      <c r="AD33" s="1213"/>
      <c r="AE33" s="1213"/>
      <c r="AF33" s="1213"/>
      <c r="AG33" s="492" t="str">
        <f t="shared" si="1"/>
        <v/>
      </c>
      <c r="AH33" s="466" t="str">
        <f t="shared" si="2"/>
        <v/>
      </c>
      <c r="AI33" s="466" t="str">
        <f t="shared" si="3"/>
        <v/>
      </c>
      <c r="AJ33" s="466" t="str">
        <f t="shared" si="4"/>
        <v/>
      </c>
      <c r="AK33" s="492" t="str">
        <f t="shared" si="5"/>
        <v>○</v>
      </c>
      <c r="AL33" s="492" t="str">
        <f t="shared" si="6"/>
        <v/>
      </c>
      <c r="AM33" s="492" t="str">
        <f t="shared" si="7"/>
        <v/>
      </c>
      <c r="AN33" s="492" t="str">
        <f t="shared" si="8"/>
        <v/>
      </c>
      <c r="AO33" s="492" t="str">
        <f t="shared" si="9"/>
        <v/>
      </c>
      <c r="AP33" s="492" t="str">
        <f t="shared" si="10"/>
        <v/>
      </c>
      <c r="AQ33" s="492" t="str">
        <f t="shared" si="11"/>
        <v/>
      </c>
      <c r="AR33" s="492" t="str">
        <f t="shared" si="12"/>
        <v/>
      </c>
      <c r="AS33" s="492" t="str">
        <f t="shared" si="13"/>
        <v/>
      </c>
      <c r="AT33" s="492" t="str">
        <f t="shared" si="14"/>
        <v/>
      </c>
      <c r="AU33" s="492" t="str">
        <f t="shared" si="15"/>
        <v/>
      </c>
      <c r="AV33" s="492" t="str">
        <f t="shared" si="16"/>
        <v/>
      </c>
      <c r="AW33" s="492" t="str">
        <f t="shared" si="17"/>
        <v/>
      </c>
      <c r="AX33" s="492" t="str">
        <f t="shared" si="18"/>
        <v/>
      </c>
      <c r="AY33" s="492" t="str">
        <f t="shared" si="19"/>
        <v/>
      </c>
      <c r="AZ33" s="492" t="str">
        <f t="shared" si="20"/>
        <v/>
      </c>
      <c r="BA33" s="492" t="str">
        <f t="shared" si="21"/>
        <v/>
      </c>
      <c r="BB33" s="492" t="str">
        <f t="shared" si="22"/>
        <v/>
      </c>
      <c r="BC33" s="492" t="str">
        <f t="shared" si="23"/>
        <v/>
      </c>
      <c r="BD33" s="492" t="str">
        <f t="shared" si="24"/>
        <v/>
      </c>
      <c r="BE33" s="492" t="str">
        <f t="shared" si="25"/>
        <v/>
      </c>
      <c r="BF33" s="492" t="str">
        <f t="shared" si="26"/>
        <v/>
      </c>
      <c r="BG33" s="492" t="str">
        <f t="shared" si="27"/>
        <v/>
      </c>
      <c r="BH33" s="492" t="str">
        <f t="shared" si="28"/>
        <v/>
      </c>
      <c r="BI33" s="492" t="str">
        <f t="shared" si="29"/>
        <v/>
      </c>
      <c r="BJ33" s="492" t="str">
        <f t="shared" si="30"/>
        <v/>
      </c>
      <c r="BK33" s="492" t="str">
        <f t="shared" si="31"/>
        <v/>
      </c>
      <c r="BL33" s="492" t="str">
        <f t="shared" si="32"/>
        <v/>
      </c>
      <c r="BM33" s="492" t="str">
        <f t="shared" si="33"/>
        <v/>
      </c>
      <c r="BN33" s="492" t="str">
        <f t="shared" si="34"/>
        <v/>
      </c>
      <c r="BO33" s="492" t="str">
        <f t="shared" si="35"/>
        <v/>
      </c>
      <c r="BP33" s="492" t="str">
        <f t="shared" si="36"/>
        <v/>
      </c>
      <c r="BQ33" s="492" t="str">
        <f t="shared" si="37"/>
        <v/>
      </c>
      <c r="BR33" s="492" t="str">
        <f t="shared" si="38"/>
        <v/>
      </c>
      <c r="BS33" s="492" t="str">
        <f t="shared" si="39"/>
        <v/>
      </c>
      <c r="BT33" s="492" t="str">
        <f t="shared" si="40"/>
        <v/>
      </c>
      <c r="BU33" s="492" t="str">
        <f t="shared" si="41"/>
        <v/>
      </c>
      <c r="BV33" s="492" t="str">
        <f t="shared" si="42"/>
        <v/>
      </c>
      <c r="BW33" s="492" t="str">
        <f t="shared" si="43"/>
        <v/>
      </c>
      <c r="BX33" s="492" t="str">
        <f t="shared" si="44"/>
        <v/>
      </c>
      <c r="BY33" s="492" t="str">
        <f t="shared" si="45"/>
        <v/>
      </c>
      <c r="BZ33" s="492" t="str">
        <f t="shared" si="46"/>
        <v/>
      </c>
      <c r="CA33" s="492" t="str">
        <f t="shared" si="47"/>
        <v/>
      </c>
      <c r="CB33" s="492" t="str">
        <f t="shared" si="48"/>
        <v/>
      </c>
      <c r="CC33" s="492" t="str">
        <f t="shared" si="49"/>
        <v/>
      </c>
      <c r="CD33" s="492" t="str">
        <f t="shared" si="50"/>
        <v/>
      </c>
      <c r="CE33" s="492" t="str">
        <f t="shared" si="51"/>
        <v/>
      </c>
      <c r="CF33" s="492" t="str">
        <f t="shared" si="52"/>
        <v/>
      </c>
      <c r="CG33" s="492" t="str">
        <f t="shared" si="53"/>
        <v/>
      </c>
      <c r="CH33" s="492" t="str">
        <f t="shared" si="54"/>
        <v/>
      </c>
      <c r="CI33" s="492" t="str">
        <f t="shared" si="55"/>
        <v/>
      </c>
      <c r="CJ33" s="492" t="str">
        <f t="shared" si="56"/>
        <v/>
      </c>
      <c r="CK33" s="492" t="str">
        <f t="shared" si="57"/>
        <v/>
      </c>
      <c r="CL33" s="492" t="str">
        <f t="shared" si="58"/>
        <v/>
      </c>
      <c r="CM33" s="492" t="str">
        <f t="shared" si="59"/>
        <v/>
      </c>
      <c r="CN33" s="492" t="str">
        <f t="shared" si="60"/>
        <v/>
      </c>
      <c r="CO33" s="492" t="str">
        <f t="shared" si="61"/>
        <v/>
      </c>
      <c r="CP33" s="492" t="str">
        <f t="shared" si="62"/>
        <v/>
      </c>
      <c r="CQ33" s="492" t="str">
        <f t="shared" si="63"/>
        <v/>
      </c>
      <c r="CR33" s="492" t="str">
        <f t="shared" si="64"/>
        <v/>
      </c>
      <c r="CS33" s="492" t="str">
        <f t="shared" si="65"/>
        <v/>
      </c>
      <c r="CT33" s="492" t="str">
        <f t="shared" si="66"/>
        <v/>
      </c>
      <c r="CU33" s="492" t="str">
        <f t="shared" si="67"/>
        <v/>
      </c>
      <c r="CV33" s="492" t="str">
        <f t="shared" si="68"/>
        <v/>
      </c>
      <c r="CW33" s="495">
        <v>1</v>
      </c>
    </row>
    <row r="34" spans="1:106" ht="13.5" customHeight="1">
      <c r="A34" s="1232">
        <v>24</v>
      </c>
      <c r="B34" s="1233"/>
      <c r="C34" s="1230"/>
      <c r="D34" s="1234"/>
      <c r="E34" s="1231"/>
      <c r="F34" s="1230"/>
      <c r="G34" s="1234"/>
      <c r="H34" s="1231"/>
      <c r="I34" s="1230"/>
      <c r="J34" s="1231"/>
      <c r="K34" s="1290"/>
      <c r="L34" s="1291"/>
      <c r="M34" s="1290"/>
      <c r="N34" s="1291"/>
      <c r="O34" s="1290"/>
      <c r="P34" s="1291"/>
      <c r="Q34" s="1230"/>
      <c r="R34" s="1231"/>
      <c r="S34" s="1230"/>
      <c r="T34" s="1231"/>
      <c r="U34" s="1228"/>
      <c r="V34" s="1229"/>
      <c r="W34" s="1230"/>
      <c r="X34" s="1231"/>
      <c r="Y34" s="1226"/>
      <c r="Z34" s="1227"/>
      <c r="AA34" s="1275"/>
      <c r="AB34" s="1275"/>
      <c r="AC34" s="1212" t="str">
        <f t="shared" si="0"/>
        <v/>
      </c>
      <c r="AD34" s="1213"/>
      <c r="AE34" s="1213"/>
      <c r="AF34" s="1213"/>
      <c r="AG34" s="492" t="str">
        <f t="shared" si="1"/>
        <v/>
      </c>
      <c r="AH34" s="466" t="str">
        <f t="shared" si="2"/>
        <v/>
      </c>
      <c r="AI34" s="466" t="str">
        <f t="shared" si="3"/>
        <v/>
      </c>
      <c r="AJ34" s="466" t="str">
        <f t="shared" si="4"/>
        <v/>
      </c>
      <c r="AK34" s="492" t="str">
        <f t="shared" si="5"/>
        <v>○</v>
      </c>
      <c r="AL34" s="492" t="str">
        <f t="shared" si="6"/>
        <v/>
      </c>
      <c r="AM34" s="492" t="str">
        <f t="shared" si="7"/>
        <v/>
      </c>
      <c r="AN34" s="492" t="str">
        <f t="shared" si="8"/>
        <v/>
      </c>
      <c r="AO34" s="492" t="str">
        <f t="shared" si="9"/>
        <v/>
      </c>
      <c r="AP34" s="492" t="str">
        <f t="shared" si="10"/>
        <v/>
      </c>
      <c r="AQ34" s="492" t="str">
        <f t="shared" si="11"/>
        <v/>
      </c>
      <c r="AR34" s="492" t="str">
        <f t="shared" si="12"/>
        <v/>
      </c>
      <c r="AS34" s="492" t="str">
        <f t="shared" si="13"/>
        <v/>
      </c>
      <c r="AT34" s="492" t="str">
        <f t="shared" si="14"/>
        <v/>
      </c>
      <c r="AU34" s="492" t="str">
        <f t="shared" si="15"/>
        <v/>
      </c>
      <c r="AV34" s="492" t="str">
        <f t="shared" si="16"/>
        <v/>
      </c>
      <c r="AW34" s="492" t="str">
        <f t="shared" si="17"/>
        <v/>
      </c>
      <c r="AX34" s="492" t="str">
        <f t="shared" si="18"/>
        <v/>
      </c>
      <c r="AY34" s="492" t="str">
        <f t="shared" si="19"/>
        <v/>
      </c>
      <c r="AZ34" s="492" t="str">
        <f t="shared" si="20"/>
        <v/>
      </c>
      <c r="BA34" s="492" t="str">
        <f t="shared" si="21"/>
        <v/>
      </c>
      <c r="BB34" s="492" t="str">
        <f t="shared" si="22"/>
        <v/>
      </c>
      <c r="BC34" s="492" t="str">
        <f t="shared" si="23"/>
        <v/>
      </c>
      <c r="BD34" s="492" t="str">
        <f t="shared" si="24"/>
        <v/>
      </c>
      <c r="BE34" s="492" t="str">
        <f t="shared" si="25"/>
        <v/>
      </c>
      <c r="BF34" s="492" t="str">
        <f t="shared" si="26"/>
        <v/>
      </c>
      <c r="BG34" s="492" t="str">
        <f t="shared" si="27"/>
        <v/>
      </c>
      <c r="BH34" s="492" t="str">
        <f t="shared" si="28"/>
        <v/>
      </c>
      <c r="BI34" s="492" t="str">
        <f t="shared" si="29"/>
        <v/>
      </c>
      <c r="BJ34" s="492" t="str">
        <f t="shared" si="30"/>
        <v/>
      </c>
      <c r="BK34" s="492" t="str">
        <f t="shared" si="31"/>
        <v/>
      </c>
      <c r="BL34" s="492" t="str">
        <f t="shared" si="32"/>
        <v/>
      </c>
      <c r="BM34" s="492" t="str">
        <f t="shared" si="33"/>
        <v/>
      </c>
      <c r="BN34" s="492" t="str">
        <f t="shared" si="34"/>
        <v/>
      </c>
      <c r="BO34" s="492" t="str">
        <f t="shared" si="35"/>
        <v/>
      </c>
      <c r="BP34" s="492" t="str">
        <f t="shared" si="36"/>
        <v/>
      </c>
      <c r="BQ34" s="492" t="str">
        <f t="shared" si="37"/>
        <v/>
      </c>
      <c r="BR34" s="492" t="str">
        <f t="shared" si="38"/>
        <v/>
      </c>
      <c r="BS34" s="492" t="str">
        <f t="shared" si="39"/>
        <v/>
      </c>
      <c r="BT34" s="492" t="str">
        <f t="shared" si="40"/>
        <v/>
      </c>
      <c r="BU34" s="492" t="str">
        <f t="shared" si="41"/>
        <v/>
      </c>
      <c r="BV34" s="492" t="str">
        <f t="shared" si="42"/>
        <v/>
      </c>
      <c r="BW34" s="492" t="str">
        <f t="shared" si="43"/>
        <v/>
      </c>
      <c r="BX34" s="492" t="str">
        <f t="shared" si="44"/>
        <v/>
      </c>
      <c r="BY34" s="492" t="str">
        <f t="shared" si="45"/>
        <v/>
      </c>
      <c r="BZ34" s="492" t="str">
        <f t="shared" si="46"/>
        <v/>
      </c>
      <c r="CA34" s="492" t="str">
        <f t="shared" si="47"/>
        <v/>
      </c>
      <c r="CB34" s="492" t="str">
        <f t="shared" si="48"/>
        <v/>
      </c>
      <c r="CC34" s="492" t="str">
        <f t="shared" si="49"/>
        <v/>
      </c>
      <c r="CD34" s="492" t="str">
        <f t="shared" si="50"/>
        <v/>
      </c>
      <c r="CE34" s="492" t="str">
        <f t="shared" si="51"/>
        <v/>
      </c>
      <c r="CF34" s="492" t="str">
        <f t="shared" si="52"/>
        <v/>
      </c>
      <c r="CG34" s="492" t="str">
        <f t="shared" si="53"/>
        <v/>
      </c>
      <c r="CH34" s="492" t="str">
        <f t="shared" si="54"/>
        <v/>
      </c>
      <c r="CI34" s="492" t="str">
        <f t="shared" si="55"/>
        <v/>
      </c>
      <c r="CJ34" s="492" t="str">
        <f t="shared" si="56"/>
        <v/>
      </c>
      <c r="CK34" s="492" t="str">
        <f t="shared" si="57"/>
        <v/>
      </c>
      <c r="CL34" s="492" t="str">
        <f t="shared" si="58"/>
        <v/>
      </c>
      <c r="CM34" s="492" t="str">
        <f t="shared" si="59"/>
        <v/>
      </c>
      <c r="CN34" s="492" t="str">
        <f t="shared" si="60"/>
        <v/>
      </c>
      <c r="CO34" s="492" t="str">
        <f t="shared" si="61"/>
        <v/>
      </c>
      <c r="CP34" s="492" t="str">
        <f t="shared" si="62"/>
        <v/>
      </c>
      <c r="CQ34" s="492" t="str">
        <f t="shared" si="63"/>
        <v/>
      </c>
      <c r="CR34" s="492" t="str">
        <f t="shared" si="64"/>
        <v/>
      </c>
      <c r="CS34" s="492" t="str">
        <f t="shared" si="65"/>
        <v/>
      </c>
      <c r="CT34" s="492" t="str">
        <f t="shared" si="66"/>
        <v/>
      </c>
      <c r="CU34" s="492" t="str">
        <f t="shared" si="67"/>
        <v/>
      </c>
      <c r="CV34" s="492" t="str">
        <f t="shared" si="68"/>
        <v/>
      </c>
      <c r="CW34" s="495">
        <v>1</v>
      </c>
    </row>
    <row r="35" spans="1:106" ht="13.5" customHeight="1">
      <c r="A35" s="1232">
        <v>25</v>
      </c>
      <c r="B35" s="1233"/>
      <c r="C35" s="1230"/>
      <c r="D35" s="1234"/>
      <c r="E35" s="1231"/>
      <c r="F35" s="1230"/>
      <c r="G35" s="1234"/>
      <c r="H35" s="1231"/>
      <c r="I35" s="1230"/>
      <c r="J35" s="1231"/>
      <c r="K35" s="1290"/>
      <c r="L35" s="1291"/>
      <c r="M35" s="1290"/>
      <c r="N35" s="1291"/>
      <c r="O35" s="1290"/>
      <c r="P35" s="1291"/>
      <c r="Q35" s="1230"/>
      <c r="R35" s="1231"/>
      <c r="S35" s="1230"/>
      <c r="T35" s="1231"/>
      <c r="U35" s="1228"/>
      <c r="V35" s="1229"/>
      <c r="W35" s="1230"/>
      <c r="X35" s="1231"/>
      <c r="Y35" s="1226"/>
      <c r="Z35" s="1227"/>
      <c r="AA35" s="1275"/>
      <c r="AB35" s="1275"/>
      <c r="AC35" s="1212" t="str">
        <f t="shared" si="0"/>
        <v/>
      </c>
      <c r="AD35" s="1213"/>
      <c r="AE35" s="1213"/>
      <c r="AF35" s="1213"/>
      <c r="AG35" s="492" t="str">
        <f t="shared" si="1"/>
        <v/>
      </c>
      <c r="AH35" s="466" t="str">
        <f t="shared" si="2"/>
        <v/>
      </c>
      <c r="AI35" s="466" t="str">
        <f t="shared" si="3"/>
        <v/>
      </c>
      <c r="AJ35" s="466" t="str">
        <f t="shared" si="4"/>
        <v/>
      </c>
      <c r="AK35" s="492" t="str">
        <f t="shared" si="5"/>
        <v>○</v>
      </c>
      <c r="AL35" s="492" t="str">
        <f t="shared" si="6"/>
        <v/>
      </c>
      <c r="AM35" s="492" t="str">
        <f t="shared" si="7"/>
        <v/>
      </c>
      <c r="AN35" s="492" t="str">
        <f t="shared" si="8"/>
        <v/>
      </c>
      <c r="AO35" s="492" t="str">
        <f t="shared" si="9"/>
        <v/>
      </c>
      <c r="AP35" s="492" t="str">
        <f t="shared" si="10"/>
        <v/>
      </c>
      <c r="AQ35" s="492" t="str">
        <f t="shared" si="11"/>
        <v/>
      </c>
      <c r="AR35" s="492" t="str">
        <f t="shared" si="12"/>
        <v/>
      </c>
      <c r="AS35" s="492" t="str">
        <f t="shared" si="13"/>
        <v/>
      </c>
      <c r="AT35" s="492" t="str">
        <f t="shared" si="14"/>
        <v/>
      </c>
      <c r="AU35" s="492" t="str">
        <f t="shared" si="15"/>
        <v/>
      </c>
      <c r="AV35" s="492" t="str">
        <f t="shared" si="16"/>
        <v/>
      </c>
      <c r="AW35" s="492" t="str">
        <f t="shared" si="17"/>
        <v/>
      </c>
      <c r="AX35" s="492" t="str">
        <f t="shared" si="18"/>
        <v/>
      </c>
      <c r="AY35" s="492" t="str">
        <f t="shared" si="19"/>
        <v/>
      </c>
      <c r="AZ35" s="492" t="str">
        <f t="shared" si="20"/>
        <v/>
      </c>
      <c r="BA35" s="492" t="str">
        <f t="shared" si="21"/>
        <v/>
      </c>
      <c r="BB35" s="492" t="str">
        <f t="shared" si="22"/>
        <v/>
      </c>
      <c r="BC35" s="492" t="str">
        <f t="shared" si="23"/>
        <v/>
      </c>
      <c r="BD35" s="492" t="str">
        <f t="shared" si="24"/>
        <v/>
      </c>
      <c r="BE35" s="492" t="str">
        <f t="shared" si="25"/>
        <v/>
      </c>
      <c r="BF35" s="492" t="str">
        <f t="shared" si="26"/>
        <v/>
      </c>
      <c r="BG35" s="492" t="str">
        <f t="shared" si="27"/>
        <v/>
      </c>
      <c r="BH35" s="492" t="str">
        <f t="shared" si="28"/>
        <v/>
      </c>
      <c r="BI35" s="492" t="str">
        <f t="shared" si="29"/>
        <v/>
      </c>
      <c r="BJ35" s="492" t="str">
        <f t="shared" si="30"/>
        <v/>
      </c>
      <c r="BK35" s="492" t="str">
        <f t="shared" si="31"/>
        <v/>
      </c>
      <c r="BL35" s="492" t="str">
        <f t="shared" si="32"/>
        <v/>
      </c>
      <c r="BM35" s="492" t="str">
        <f t="shared" si="33"/>
        <v/>
      </c>
      <c r="BN35" s="492" t="str">
        <f t="shared" si="34"/>
        <v/>
      </c>
      <c r="BO35" s="492" t="str">
        <f t="shared" si="35"/>
        <v/>
      </c>
      <c r="BP35" s="492" t="str">
        <f t="shared" si="36"/>
        <v/>
      </c>
      <c r="BQ35" s="492" t="str">
        <f t="shared" si="37"/>
        <v/>
      </c>
      <c r="BR35" s="492" t="str">
        <f t="shared" si="38"/>
        <v/>
      </c>
      <c r="BS35" s="492" t="str">
        <f t="shared" si="39"/>
        <v/>
      </c>
      <c r="BT35" s="492" t="str">
        <f t="shared" si="40"/>
        <v/>
      </c>
      <c r="BU35" s="492" t="str">
        <f t="shared" si="41"/>
        <v/>
      </c>
      <c r="BV35" s="492" t="str">
        <f t="shared" si="42"/>
        <v/>
      </c>
      <c r="BW35" s="492" t="str">
        <f t="shared" si="43"/>
        <v/>
      </c>
      <c r="BX35" s="492" t="str">
        <f t="shared" si="44"/>
        <v/>
      </c>
      <c r="BY35" s="492" t="str">
        <f t="shared" si="45"/>
        <v/>
      </c>
      <c r="BZ35" s="492" t="str">
        <f t="shared" si="46"/>
        <v/>
      </c>
      <c r="CA35" s="492" t="str">
        <f t="shared" si="47"/>
        <v/>
      </c>
      <c r="CB35" s="492" t="str">
        <f t="shared" si="48"/>
        <v/>
      </c>
      <c r="CC35" s="492" t="str">
        <f t="shared" si="49"/>
        <v/>
      </c>
      <c r="CD35" s="492" t="str">
        <f t="shared" si="50"/>
        <v/>
      </c>
      <c r="CE35" s="492" t="str">
        <f t="shared" si="51"/>
        <v/>
      </c>
      <c r="CF35" s="492" t="str">
        <f t="shared" si="52"/>
        <v/>
      </c>
      <c r="CG35" s="492" t="str">
        <f t="shared" si="53"/>
        <v/>
      </c>
      <c r="CH35" s="492" t="str">
        <f t="shared" si="54"/>
        <v/>
      </c>
      <c r="CI35" s="492" t="str">
        <f t="shared" si="55"/>
        <v/>
      </c>
      <c r="CJ35" s="492" t="str">
        <f t="shared" si="56"/>
        <v/>
      </c>
      <c r="CK35" s="492" t="str">
        <f t="shared" si="57"/>
        <v/>
      </c>
      <c r="CL35" s="492" t="str">
        <f t="shared" si="58"/>
        <v/>
      </c>
      <c r="CM35" s="492" t="str">
        <f t="shared" si="59"/>
        <v/>
      </c>
      <c r="CN35" s="492" t="str">
        <f t="shared" si="60"/>
        <v/>
      </c>
      <c r="CO35" s="492" t="str">
        <f t="shared" si="61"/>
        <v/>
      </c>
      <c r="CP35" s="492" t="str">
        <f t="shared" si="62"/>
        <v/>
      </c>
      <c r="CQ35" s="492" t="str">
        <f t="shared" si="63"/>
        <v/>
      </c>
      <c r="CR35" s="492" t="str">
        <f t="shared" si="64"/>
        <v/>
      </c>
      <c r="CS35" s="492" t="str">
        <f t="shared" si="65"/>
        <v/>
      </c>
      <c r="CT35" s="492" t="str">
        <f t="shared" si="66"/>
        <v/>
      </c>
      <c r="CU35" s="492" t="str">
        <f t="shared" si="67"/>
        <v/>
      </c>
      <c r="CV35" s="492" t="str">
        <f t="shared" si="68"/>
        <v/>
      </c>
      <c r="CW35" s="495">
        <v>1</v>
      </c>
      <c r="CX35" s="496"/>
      <c r="CY35" s="496"/>
      <c r="CZ35" s="496"/>
      <c r="DA35" s="496"/>
      <c r="DB35" s="496"/>
    </row>
    <row r="36" spans="1:106" ht="13.5" customHeight="1">
      <c r="A36" s="1232">
        <v>26</v>
      </c>
      <c r="B36" s="1233"/>
      <c r="C36" s="1230"/>
      <c r="D36" s="1234"/>
      <c r="E36" s="1231"/>
      <c r="F36" s="1230"/>
      <c r="G36" s="1234"/>
      <c r="H36" s="1231"/>
      <c r="I36" s="1230"/>
      <c r="J36" s="1231"/>
      <c r="K36" s="1290"/>
      <c r="L36" s="1291"/>
      <c r="M36" s="1290"/>
      <c r="N36" s="1291"/>
      <c r="O36" s="1290"/>
      <c r="P36" s="1291"/>
      <c r="Q36" s="1230"/>
      <c r="R36" s="1231"/>
      <c r="S36" s="1230"/>
      <c r="T36" s="1231"/>
      <c r="U36" s="1228"/>
      <c r="V36" s="1229"/>
      <c r="W36" s="1230"/>
      <c r="X36" s="1231"/>
      <c r="Y36" s="1226"/>
      <c r="Z36" s="1227"/>
      <c r="AA36" s="1275"/>
      <c r="AB36" s="1275"/>
      <c r="AC36" s="1212" t="str">
        <f t="shared" si="0"/>
        <v/>
      </c>
      <c r="AD36" s="1213"/>
      <c r="AE36" s="1213"/>
      <c r="AF36" s="1213"/>
      <c r="AG36" s="492" t="str">
        <f t="shared" si="1"/>
        <v/>
      </c>
      <c r="AH36" s="466" t="str">
        <f t="shared" si="2"/>
        <v/>
      </c>
      <c r="AI36" s="466" t="str">
        <f t="shared" si="3"/>
        <v/>
      </c>
      <c r="AJ36" s="466" t="str">
        <f t="shared" si="4"/>
        <v/>
      </c>
      <c r="AK36" s="492" t="str">
        <f t="shared" si="5"/>
        <v>○</v>
      </c>
      <c r="AL36" s="492" t="str">
        <f t="shared" si="6"/>
        <v/>
      </c>
      <c r="AM36" s="492" t="str">
        <f t="shared" si="7"/>
        <v/>
      </c>
      <c r="AN36" s="492" t="str">
        <f t="shared" si="8"/>
        <v/>
      </c>
      <c r="AO36" s="492" t="str">
        <f t="shared" si="9"/>
        <v/>
      </c>
      <c r="AP36" s="492" t="str">
        <f t="shared" si="10"/>
        <v/>
      </c>
      <c r="AQ36" s="492" t="str">
        <f t="shared" si="11"/>
        <v/>
      </c>
      <c r="AR36" s="492" t="str">
        <f t="shared" si="12"/>
        <v/>
      </c>
      <c r="AS36" s="492" t="str">
        <f t="shared" si="13"/>
        <v/>
      </c>
      <c r="AT36" s="492" t="str">
        <f t="shared" si="14"/>
        <v/>
      </c>
      <c r="AU36" s="492" t="str">
        <f t="shared" si="15"/>
        <v/>
      </c>
      <c r="AV36" s="492" t="str">
        <f t="shared" si="16"/>
        <v/>
      </c>
      <c r="AW36" s="492" t="str">
        <f t="shared" si="17"/>
        <v/>
      </c>
      <c r="AX36" s="492" t="str">
        <f t="shared" si="18"/>
        <v/>
      </c>
      <c r="AY36" s="492" t="str">
        <f t="shared" si="19"/>
        <v/>
      </c>
      <c r="AZ36" s="492" t="str">
        <f t="shared" si="20"/>
        <v/>
      </c>
      <c r="BA36" s="492" t="str">
        <f t="shared" si="21"/>
        <v/>
      </c>
      <c r="BB36" s="492" t="str">
        <f t="shared" si="22"/>
        <v/>
      </c>
      <c r="BC36" s="492" t="str">
        <f t="shared" si="23"/>
        <v/>
      </c>
      <c r="BD36" s="492" t="str">
        <f t="shared" si="24"/>
        <v/>
      </c>
      <c r="BE36" s="492" t="str">
        <f t="shared" si="25"/>
        <v/>
      </c>
      <c r="BF36" s="492" t="str">
        <f t="shared" si="26"/>
        <v/>
      </c>
      <c r="BG36" s="492" t="str">
        <f t="shared" si="27"/>
        <v/>
      </c>
      <c r="BH36" s="492" t="str">
        <f t="shared" si="28"/>
        <v/>
      </c>
      <c r="BI36" s="492" t="str">
        <f t="shared" si="29"/>
        <v/>
      </c>
      <c r="BJ36" s="492" t="str">
        <f t="shared" si="30"/>
        <v/>
      </c>
      <c r="BK36" s="492" t="str">
        <f t="shared" si="31"/>
        <v/>
      </c>
      <c r="BL36" s="492" t="str">
        <f t="shared" si="32"/>
        <v/>
      </c>
      <c r="BM36" s="492" t="str">
        <f t="shared" si="33"/>
        <v/>
      </c>
      <c r="BN36" s="492" t="str">
        <f t="shared" si="34"/>
        <v/>
      </c>
      <c r="BO36" s="492" t="str">
        <f t="shared" si="35"/>
        <v/>
      </c>
      <c r="BP36" s="492" t="str">
        <f t="shared" si="36"/>
        <v/>
      </c>
      <c r="BQ36" s="492" t="str">
        <f t="shared" si="37"/>
        <v/>
      </c>
      <c r="BR36" s="492" t="str">
        <f t="shared" si="38"/>
        <v/>
      </c>
      <c r="BS36" s="492" t="str">
        <f t="shared" si="39"/>
        <v/>
      </c>
      <c r="BT36" s="492" t="str">
        <f t="shared" si="40"/>
        <v/>
      </c>
      <c r="BU36" s="492" t="str">
        <f t="shared" si="41"/>
        <v/>
      </c>
      <c r="BV36" s="492" t="str">
        <f t="shared" si="42"/>
        <v/>
      </c>
      <c r="BW36" s="492" t="str">
        <f t="shared" si="43"/>
        <v/>
      </c>
      <c r="BX36" s="492" t="str">
        <f t="shared" si="44"/>
        <v/>
      </c>
      <c r="BY36" s="492" t="str">
        <f t="shared" si="45"/>
        <v/>
      </c>
      <c r="BZ36" s="492" t="str">
        <f t="shared" si="46"/>
        <v/>
      </c>
      <c r="CA36" s="492" t="str">
        <f t="shared" si="47"/>
        <v/>
      </c>
      <c r="CB36" s="492" t="str">
        <f t="shared" si="48"/>
        <v/>
      </c>
      <c r="CC36" s="492" t="str">
        <f t="shared" si="49"/>
        <v/>
      </c>
      <c r="CD36" s="492" t="str">
        <f t="shared" si="50"/>
        <v/>
      </c>
      <c r="CE36" s="492" t="str">
        <f t="shared" si="51"/>
        <v/>
      </c>
      <c r="CF36" s="492" t="str">
        <f t="shared" si="52"/>
        <v/>
      </c>
      <c r="CG36" s="492" t="str">
        <f t="shared" si="53"/>
        <v/>
      </c>
      <c r="CH36" s="492" t="str">
        <f t="shared" si="54"/>
        <v/>
      </c>
      <c r="CI36" s="492" t="str">
        <f t="shared" si="55"/>
        <v/>
      </c>
      <c r="CJ36" s="492" t="str">
        <f t="shared" si="56"/>
        <v/>
      </c>
      <c r="CK36" s="492" t="str">
        <f t="shared" si="57"/>
        <v/>
      </c>
      <c r="CL36" s="492" t="str">
        <f t="shared" si="58"/>
        <v/>
      </c>
      <c r="CM36" s="492" t="str">
        <f t="shared" si="59"/>
        <v/>
      </c>
      <c r="CN36" s="492" t="str">
        <f t="shared" si="60"/>
        <v/>
      </c>
      <c r="CO36" s="492" t="str">
        <f t="shared" si="61"/>
        <v/>
      </c>
      <c r="CP36" s="492" t="str">
        <f t="shared" si="62"/>
        <v/>
      </c>
      <c r="CQ36" s="492" t="str">
        <f t="shared" si="63"/>
        <v/>
      </c>
      <c r="CR36" s="492" t="str">
        <f t="shared" si="64"/>
        <v/>
      </c>
      <c r="CS36" s="492" t="str">
        <f t="shared" si="65"/>
        <v/>
      </c>
      <c r="CT36" s="492" t="str">
        <f t="shared" si="66"/>
        <v/>
      </c>
      <c r="CU36" s="492" t="str">
        <f t="shared" si="67"/>
        <v/>
      </c>
      <c r="CV36" s="492" t="str">
        <f t="shared" si="68"/>
        <v/>
      </c>
      <c r="CW36" s="495">
        <v>1</v>
      </c>
      <c r="CX36" s="496"/>
      <c r="CY36" s="496"/>
      <c r="CZ36" s="496"/>
      <c r="DA36" s="496"/>
      <c r="DB36" s="496"/>
    </row>
    <row r="37" spans="1:106" ht="13.5" customHeight="1">
      <c r="A37" s="1232">
        <v>27</v>
      </c>
      <c r="B37" s="1233"/>
      <c r="C37" s="1230"/>
      <c r="D37" s="1234"/>
      <c r="E37" s="1231"/>
      <c r="F37" s="1230"/>
      <c r="G37" s="1234"/>
      <c r="H37" s="1231"/>
      <c r="I37" s="1230"/>
      <c r="J37" s="1231"/>
      <c r="K37" s="1290"/>
      <c r="L37" s="1291"/>
      <c r="M37" s="1290"/>
      <c r="N37" s="1291"/>
      <c r="O37" s="1290"/>
      <c r="P37" s="1291"/>
      <c r="Q37" s="1230"/>
      <c r="R37" s="1231"/>
      <c r="S37" s="1230"/>
      <c r="T37" s="1231"/>
      <c r="U37" s="1228"/>
      <c r="V37" s="1229"/>
      <c r="W37" s="1230"/>
      <c r="X37" s="1231"/>
      <c r="Y37" s="1226"/>
      <c r="Z37" s="1227"/>
      <c r="AA37" s="1275"/>
      <c r="AB37" s="1275"/>
      <c r="AC37" s="1212" t="str">
        <f t="shared" si="0"/>
        <v/>
      </c>
      <c r="AD37" s="1213"/>
      <c r="AE37" s="1213"/>
      <c r="AF37" s="1213"/>
      <c r="AG37" s="492" t="str">
        <f t="shared" si="1"/>
        <v/>
      </c>
      <c r="AH37" s="466" t="str">
        <f t="shared" si="2"/>
        <v/>
      </c>
      <c r="AI37" s="466" t="str">
        <f t="shared" si="3"/>
        <v/>
      </c>
      <c r="AJ37" s="466" t="str">
        <f t="shared" si="4"/>
        <v/>
      </c>
      <c r="AK37" s="492" t="str">
        <f t="shared" si="5"/>
        <v>○</v>
      </c>
      <c r="AL37" s="492" t="str">
        <f t="shared" si="6"/>
        <v/>
      </c>
      <c r="AM37" s="492" t="str">
        <f t="shared" si="7"/>
        <v/>
      </c>
      <c r="AN37" s="492" t="str">
        <f t="shared" si="8"/>
        <v/>
      </c>
      <c r="AO37" s="492" t="str">
        <f t="shared" si="9"/>
        <v/>
      </c>
      <c r="AP37" s="492" t="str">
        <f t="shared" si="10"/>
        <v/>
      </c>
      <c r="AQ37" s="492" t="str">
        <f t="shared" si="11"/>
        <v/>
      </c>
      <c r="AR37" s="492" t="str">
        <f t="shared" si="12"/>
        <v/>
      </c>
      <c r="AS37" s="492" t="str">
        <f t="shared" si="13"/>
        <v/>
      </c>
      <c r="AT37" s="492" t="str">
        <f t="shared" si="14"/>
        <v/>
      </c>
      <c r="AU37" s="492" t="str">
        <f t="shared" si="15"/>
        <v/>
      </c>
      <c r="AV37" s="492" t="str">
        <f t="shared" si="16"/>
        <v/>
      </c>
      <c r="AW37" s="492" t="str">
        <f t="shared" si="17"/>
        <v/>
      </c>
      <c r="AX37" s="492" t="str">
        <f t="shared" si="18"/>
        <v/>
      </c>
      <c r="AY37" s="492" t="str">
        <f t="shared" si="19"/>
        <v/>
      </c>
      <c r="AZ37" s="492" t="str">
        <f t="shared" si="20"/>
        <v/>
      </c>
      <c r="BA37" s="492" t="str">
        <f t="shared" si="21"/>
        <v/>
      </c>
      <c r="BB37" s="492" t="str">
        <f t="shared" si="22"/>
        <v/>
      </c>
      <c r="BC37" s="492" t="str">
        <f t="shared" si="23"/>
        <v/>
      </c>
      <c r="BD37" s="492" t="str">
        <f t="shared" si="24"/>
        <v/>
      </c>
      <c r="BE37" s="492" t="str">
        <f t="shared" si="25"/>
        <v/>
      </c>
      <c r="BF37" s="492" t="str">
        <f t="shared" si="26"/>
        <v/>
      </c>
      <c r="BG37" s="492" t="str">
        <f t="shared" si="27"/>
        <v/>
      </c>
      <c r="BH37" s="492" t="str">
        <f t="shared" si="28"/>
        <v/>
      </c>
      <c r="BI37" s="492" t="str">
        <f t="shared" si="29"/>
        <v/>
      </c>
      <c r="BJ37" s="492" t="str">
        <f t="shared" si="30"/>
        <v/>
      </c>
      <c r="BK37" s="492" t="str">
        <f t="shared" si="31"/>
        <v/>
      </c>
      <c r="BL37" s="492" t="str">
        <f t="shared" si="32"/>
        <v/>
      </c>
      <c r="BM37" s="492" t="str">
        <f t="shared" si="33"/>
        <v/>
      </c>
      <c r="BN37" s="492" t="str">
        <f t="shared" si="34"/>
        <v/>
      </c>
      <c r="BO37" s="492" t="str">
        <f t="shared" si="35"/>
        <v/>
      </c>
      <c r="BP37" s="492" t="str">
        <f t="shared" si="36"/>
        <v/>
      </c>
      <c r="BQ37" s="492" t="str">
        <f t="shared" si="37"/>
        <v/>
      </c>
      <c r="BR37" s="492" t="str">
        <f t="shared" si="38"/>
        <v/>
      </c>
      <c r="BS37" s="492" t="str">
        <f t="shared" si="39"/>
        <v/>
      </c>
      <c r="BT37" s="492" t="str">
        <f t="shared" si="40"/>
        <v/>
      </c>
      <c r="BU37" s="492" t="str">
        <f t="shared" si="41"/>
        <v/>
      </c>
      <c r="BV37" s="492" t="str">
        <f t="shared" si="42"/>
        <v/>
      </c>
      <c r="BW37" s="492" t="str">
        <f t="shared" si="43"/>
        <v/>
      </c>
      <c r="BX37" s="492" t="str">
        <f t="shared" si="44"/>
        <v/>
      </c>
      <c r="BY37" s="492" t="str">
        <f t="shared" si="45"/>
        <v/>
      </c>
      <c r="BZ37" s="492" t="str">
        <f t="shared" si="46"/>
        <v/>
      </c>
      <c r="CA37" s="492" t="str">
        <f t="shared" si="47"/>
        <v/>
      </c>
      <c r="CB37" s="492" t="str">
        <f t="shared" si="48"/>
        <v/>
      </c>
      <c r="CC37" s="492" t="str">
        <f t="shared" si="49"/>
        <v/>
      </c>
      <c r="CD37" s="492" t="str">
        <f t="shared" si="50"/>
        <v/>
      </c>
      <c r="CE37" s="492" t="str">
        <f t="shared" si="51"/>
        <v/>
      </c>
      <c r="CF37" s="492" t="str">
        <f t="shared" si="52"/>
        <v/>
      </c>
      <c r="CG37" s="492" t="str">
        <f t="shared" si="53"/>
        <v/>
      </c>
      <c r="CH37" s="492" t="str">
        <f t="shared" si="54"/>
        <v/>
      </c>
      <c r="CI37" s="492" t="str">
        <f t="shared" si="55"/>
        <v/>
      </c>
      <c r="CJ37" s="492" t="str">
        <f t="shared" si="56"/>
        <v/>
      </c>
      <c r="CK37" s="492" t="str">
        <f t="shared" si="57"/>
        <v/>
      </c>
      <c r="CL37" s="492" t="str">
        <f t="shared" si="58"/>
        <v/>
      </c>
      <c r="CM37" s="492" t="str">
        <f t="shared" si="59"/>
        <v/>
      </c>
      <c r="CN37" s="492" t="str">
        <f t="shared" si="60"/>
        <v/>
      </c>
      <c r="CO37" s="492" t="str">
        <f t="shared" si="61"/>
        <v/>
      </c>
      <c r="CP37" s="492" t="str">
        <f t="shared" si="62"/>
        <v/>
      </c>
      <c r="CQ37" s="492" t="str">
        <f t="shared" si="63"/>
        <v/>
      </c>
      <c r="CR37" s="492" t="str">
        <f t="shared" si="64"/>
        <v/>
      </c>
      <c r="CS37" s="492" t="str">
        <f t="shared" si="65"/>
        <v/>
      </c>
      <c r="CT37" s="492" t="str">
        <f t="shared" si="66"/>
        <v/>
      </c>
      <c r="CU37" s="492" t="str">
        <f t="shared" si="67"/>
        <v/>
      </c>
      <c r="CV37" s="492" t="str">
        <f t="shared" si="68"/>
        <v/>
      </c>
      <c r="CW37" s="495">
        <v>1</v>
      </c>
      <c r="CX37" s="496"/>
      <c r="CY37" s="496"/>
      <c r="CZ37" s="496"/>
      <c r="DA37" s="496"/>
      <c r="DB37" s="496"/>
    </row>
    <row r="38" spans="1:106" ht="13.5" customHeight="1">
      <c r="A38" s="1232">
        <v>28</v>
      </c>
      <c r="B38" s="1233"/>
      <c r="C38" s="1230"/>
      <c r="D38" s="1234"/>
      <c r="E38" s="1231"/>
      <c r="F38" s="1230"/>
      <c r="G38" s="1234"/>
      <c r="H38" s="1231"/>
      <c r="I38" s="1230"/>
      <c r="J38" s="1231"/>
      <c r="K38" s="1290"/>
      <c r="L38" s="1291"/>
      <c r="M38" s="1290"/>
      <c r="N38" s="1291"/>
      <c r="O38" s="1290"/>
      <c r="P38" s="1291"/>
      <c r="Q38" s="1230"/>
      <c r="R38" s="1231"/>
      <c r="S38" s="1230"/>
      <c r="T38" s="1231"/>
      <c r="U38" s="1228"/>
      <c r="V38" s="1229"/>
      <c r="W38" s="1230"/>
      <c r="X38" s="1231"/>
      <c r="Y38" s="1226"/>
      <c r="Z38" s="1227"/>
      <c r="AA38" s="1275"/>
      <c r="AB38" s="1275"/>
      <c r="AC38" s="1212" t="str">
        <f t="shared" si="0"/>
        <v/>
      </c>
      <c r="AD38" s="1213"/>
      <c r="AE38" s="1213"/>
      <c r="AF38" s="1213"/>
      <c r="AG38" s="492" t="str">
        <f t="shared" si="1"/>
        <v/>
      </c>
      <c r="AH38" s="466" t="str">
        <f t="shared" si="2"/>
        <v/>
      </c>
      <c r="AI38" s="466" t="str">
        <f t="shared" si="3"/>
        <v/>
      </c>
      <c r="AJ38" s="466" t="str">
        <f t="shared" si="4"/>
        <v/>
      </c>
      <c r="AK38" s="492" t="str">
        <f t="shared" si="5"/>
        <v>○</v>
      </c>
      <c r="AL38" s="492" t="str">
        <f t="shared" si="6"/>
        <v/>
      </c>
      <c r="AM38" s="492" t="str">
        <f t="shared" si="7"/>
        <v/>
      </c>
      <c r="AN38" s="492" t="str">
        <f t="shared" si="8"/>
        <v/>
      </c>
      <c r="AO38" s="492" t="str">
        <f t="shared" si="9"/>
        <v/>
      </c>
      <c r="AP38" s="492" t="str">
        <f t="shared" si="10"/>
        <v/>
      </c>
      <c r="AQ38" s="492" t="str">
        <f t="shared" si="11"/>
        <v/>
      </c>
      <c r="AR38" s="492" t="str">
        <f t="shared" si="12"/>
        <v/>
      </c>
      <c r="AS38" s="492" t="str">
        <f t="shared" si="13"/>
        <v/>
      </c>
      <c r="AT38" s="492" t="str">
        <f t="shared" si="14"/>
        <v/>
      </c>
      <c r="AU38" s="492" t="str">
        <f t="shared" si="15"/>
        <v/>
      </c>
      <c r="AV38" s="492" t="str">
        <f t="shared" si="16"/>
        <v/>
      </c>
      <c r="AW38" s="492" t="str">
        <f t="shared" si="17"/>
        <v/>
      </c>
      <c r="AX38" s="492" t="str">
        <f t="shared" si="18"/>
        <v/>
      </c>
      <c r="AY38" s="492" t="str">
        <f t="shared" si="19"/>
        <v/>
      </c>
      <c r="AZ38" s="492" t="str">
        <f t="shared" si="20"/>
        <v/>
      </c>
      <c r="BA38" s="492" t="str">
        <f t="shared" si="21"/>
        <v/>
      </c>
      <c r="BB38" s="492" t="str">
        <f t="shared" si="22"/>
        <v/>
      </c>
      <c r="BC38" s="492" t="str">
        <f t="shared" si="23"/>
        <v/>
      </c>
      <c r="BD38" s="492" t="str">
        <f t="shared" si="24"/>
        <v/>
      </c>
      <c r="BE38" s="492" t="str">
        <f t="shared" si="25"/>
        <v/>
      </c>
      <c r="BF38" s="492" t="str">
        <f t="shared" si="26"/>
        <v/>
      </c>
      <c r="BG38" s="492" t="str">
        <f t="shared" si="27"/>
        <v/>
      </c>
      <c r="BH38" s="492" t="str">
        <f t="shared" si="28"/>
        <v/>
      </c>
      <c r="BI38" s="492" t="str">
        <f t="shared" si="29"/>
        <v/>
      </c>
      <c r="BJ38" s="492" t="str">
        <f t="shared" si="30"/>
        <v/>
      </c>
      <c r="BK38" s="492" t="str">
        <f t="shared" si="31"/>
        <v/>
      </c>
      <c r="BL38" s="492" t="str">
        <f t="shared" si="32"/>
        <v/>
      </c>
      <c r="BM38" s="492" t="str">
        <f t="shared" si="33"/>
        <v/>
      </c>
      <c r="BN38" s="492" t="str">
        <f t="shared" si="34"/>
        <v/>
      </c>
      <c r="BO38" s="492" t="str">
        <f t="shared" si="35"/>
        <v/>
      </c>
      <c r="BP38" s="492" t="str">
        <f t="shared" si="36"/>
        <v/>
      </c>
      <c r="BQ38" s="492" t="str">
        <f t="shared" si="37"/>
        <v/>
      </c>
      <c r="BR38" s="492" t="str">
        <f t="shared" si="38"/>
        <v/>
      </c>
      <c r="BS38" s="492" t="str">
        <f t="shared" si="39"/>
        <v/>
      </c>
      <c r="BT38" s="492" t="str">
        <f t="shared" si="40"/>
        <v/>
      </c>
      <c r="BU38" s="492" t="str">
        <f t="shared" si="41"/>
        <v/>
      </c>
      <c r="BV38" s="492" t="str">
        <f t="shared" si="42"/>
        <v/>
      </c>
      <c r="BW38" s="492" t="str">
        <f t="shared" si="43"/>
        <v/>
      </c>
      <c r="BX38" s="492" t="str">
        <f t="shared" si="44"/>
        <v/>
      </c>
      <c r="BY38" s="492" t="str">
        <f t="shared" si="45"/>
        <v/>
      </c>
      <c r="BZ38" s="492" t="str">
        <f t="shared" si="46"/>
        <v/>
      </c>
      <c r="CA38" s="492" t="str">
        <f t="shared" si="47"/>
        <v/>
      </c>
      <c r="CB38" s="492" t="str">
        <f t="shared" si="48"/>
        <v/>
      </c>
      <c r="CC38" s="492" t="str">
        <f t="shared" si="49"/>
        <v/>
      </c>
      <c r="CD38" s="492" t="str">
        <f t="shared" si="50"/>
        <v/>
      </c>
      <c r="CE38" s="492" t="str">
        <f t="shared" si="51"/>
        <v/>
      </c>
      <c r="CF38" s="492" t="str">
        <f t="shared" si="52"/>
        <v/>
      </c>
      <c r="CG38" s="492" t="str">
        <f t="shared" si="53"/>
        <v/>
      </c>
      <c r="CH38" s="492" t="str">
        <f t="shared" si="54"/>
        <v/>
      </c>
      <c r="CI38" s="492" t="str">
        <f t="shared" si="55"/>
        <v/>
      </c>
      <c r="CJ38" s="492" t="str">
        <f t="shared" si="56"/>
        <v/>
      </c>
      <c r="CK38" s="492" t="str">
        <f t="shared" si="57"/>
        <v/>
      </c>
      <c r="CL38" s="492" t="str">
        <f t="shared" si="58"/>
        <v/>
      </c>
      <c r="CM38" s="492" t="str">
        <f t="shared" si="59"/>
        <v/>
      </c>
      <c r="CN38" s="492" t="str">
        <f t="shared" si="60"/>
        <v/>
      </c>
      <c r="CO38" s="492" t="str">
        <f t="shared" si="61"/>
        <v/>
      </c>
      <c r="CP38" s="492" t="str">
        <f t="shared" si="62"/>
        <v/>
      </c>
      <c r="CQ38" s="492" t="str">
        <f t="shared" si="63"/>
        <v/>
      </c>
      <c r="CR38" s="492" t="str">
        <f t="shared" si="64"/>
        <v/>
      </c>
      <c r="CS38" s="492" t="str">
        <f t="shared" si="65"/>
        <v/>
      </c>
      <c r="CT38" s="492" t="str">
        <f t="shared" si="66"/>
        <v/>
      </c>
      <c r="CU38" s="492" t="str">
        <f t="shared" si="67"/>
        <v/>
      </c>
      <c r="CV38" s="492" t="str">
        <f t="shared" si="68"/>
        <v/>
      </c>
      <c r="CW38" s="495">
        <v>1</v>
      </c>
      <c r="CX38" s="496"/>
      <c r="CY38" s="496"/>
      <c r="CZ38" s="496"/>
      <c r="DA38" s="496"/>
      <c r="DB38" s="496"/>
    </row>
    <row r="39" spans="1:106" ht="13.5" customHeight="1">
      <c r="A39" s="1232">
        <v>29</v>
      </c>
      <c r="B39" s="1233"/>
      <c r="C39" s="1230"/>
      <c r="D39" s="1234"/>
      <c r="E39" s="1231"/>
      <c r="F39" s="1230"/>
      <c r="G39" s="1234"/>
      <c r="H39" s="1231"/>
      <c r="I39" s="1230"/>
      <c r="J39" s="1231"/>
      <c r="K39" s="1290"/>
      <c r="L39" s="1291"/>
      <c r="M39" s="1290"/>
      <c r="N39" s="1291"/>
      <c r="O39" s="1290"/>
      <c r="P39" s="1291"/>
      <c r="Q39" s="1230"/>
      <c r="R39" s="1231"/>
      <c r="S39" s="1230"/>
      <c r="T39" s="1231"/>
      <c r="U39" s="1228"/>
      <c r="V39" s="1229"/>
      <c r="W39" s="1230"/>
      <c r="X39" s="1231"/>
      <c r="Y39" s="1226"/>
      <c r="Z39" s="1227"/>
      <c r="AA39" s="1275"/>
      <c r="AB39" s="1275"/>
      <c r="AC39" s="1212" t="str">
        <f t="shared" si="0"/>
        <v/>
      </c>
      <c r="AD39" s="1213"/>
      <c r="AE39" s="1213"/>
      <c r="AF39" s="1213"/>
      <c r="AG39" s="492" t="str">
        <f t="shared" si="1"/>
        <v/>
      </c>
      <c r="AH39" s="466" t="str">
        <f t="shared" si="2"/>
        <v/>
      </c>
      <c r="AI39" s="466" t="str">
        <f t="shared" si="3"/>
        <v/>
      </c>
      <c r="AJ39" s="466" t="str">
        <f t="shared" si="4"/>
        <v/>
      </c>
      <c r="AK39" s="492" t="str">
        <f t="shared" si="5"/>
        <v>○</v>
      </c>
      <c r="AL39" s="492" t="str">
        <f t="shared" si="6"/>
        <v/>
      </c>
      <c r="AM39" s="492" t="str">
        <f t="shared" si="7"/>
        <v/>
      </c>
      <c r="AN39" s="492" t="str">
        <f t="shared" si="8"/>
        <v/>
      </c>
      <c r="AO39" s="492" t="str">
        <f t="shared" si="9"/>
        <v/>
      </c>
      <c r="AP39" s="492" t="str">
        <f t="shared" si="10"/>
        <v/>
      </c>
      <c r="AQ39" s="492" t="str">
        <f t="shared" si="11"/>
        <v/>
      </c>
      <c r="AR39" s="492" t="str">
        <f t="shared" si="12"/>
        <v/>
      </c>
      <c r="AS39" s="492" t="str">
        <f t="shared" si="13"/>
        <v/>
      </c>
      <c r="AT39" s="492" t="str">
        <f t="shared" si="14"/>
        <v/>
      </c>
      <c r="AU39" s="492" t="str">
        <f t="shared" si="15"/>
        <v/>
      </c>
      <c r="AV39" s="492" t="str">
        <f t="shared" si="16"/>
        <v/>
      </c>
      <c r="AW39" s="492" t="str">
        <f t="shared" si="17"/>
        <v/>
      </c>
      <c r="AX39" s="492" t="str">
        <f t="shared" si="18"/>
        <v/>
      </c>
      <c r="AY39" s="492" t="str">
        <f t="shared" si="19"/>
        <v/>
      </c>
      <c r="AZ39" s="492" t="str">
        <f t="shared" si="20"/>
        <v/>
      </c>
      <c r="BA39" s="492" t="str">
        <f t="shared" si="21"/>
        <v/>
      </c>
      <c r="BB39" s="492" t="str">
        <f t="shared" si="22"/>
        <v/>
      </c>
      <c r="BC39" s="492" t="str">
        <f t="shared" si="23"/>
        <v/>
      </c>
      <c r="BD39" s="492" t="str">
        <f t="shared" si="24"/>
        <v/>
      </c>
      <c r="BE39" s="492" t="str">
        <f t="shared" si="25"/>
        <v/>
      </c>
      <c r="BF39" s="492" t="str">
        <f t="shared" si="26"/>
        <v/>
      </c>
      <c r="BG39" s="492" t="str">
        <f t="shared" si="27"/>
        <v/>
      </c>
      <c r="BH39" s="492" t="str">
        <f t="shared" si="28"/>
        <v/>
      </c>
      <c r="BI39" s="492" t="str">
        <f t="shared" si="29"/>
        <v/>
      </c>
      <c r="BJ39" s="492" t="str">
        <f t="shared" si="30"/>
        <v/>
      </c>
      <c r="BK39" s="492" t="str">
        <f t="shared" si="31"/>
        <v/>
      </c>
      <c r="BL39" s="492" t="str">
        <f t="shared" si="32"/>
        <v/>
      </c>
      <c r="BM39" s="492" t="str">
        <f t="shared" si="33"/>
        <v/>
      </c>
      <c r="BN39" s="492" t="str">
        <f t="shared" si="34"/>
        <v/>
      </c>
      <c r="BO39" s="492" t="str">
        <f t="shared" si="35"/>
        <v/>
      </c>
      <c r="BP39" s="492" t="str">
        <f t="shared" si="36"/>
        <v/>
      </c>
      <c r="BQ39" s="492" t="str">
        <f t="shared" si="37"/>
        <v/>
      </c>
      <c r="BR39" s="492" t="str">
        <f t="shared" si="38"/>
        <v/>
      </c>
      <c r="BS39" s="492" t="str">
        <f t="shared" si="39"/>
        <v/>
      </c>
      <c r="BT39" s="492" t="str">
        <f t="shared" si="40"/>
        <v/>
      </c>
      <c r="BU39" s="492" t="str">
        <f t="shared" si="41"/>
        <v/>
      </c>
      <c r="BV39" s="492" t="str">
        <f t="shared" si="42"/>
        <v/>
      </c>
      <c r="BW39" s="492" t="str">
        <f t="shared" si="43"/>
        <v/>
      </c>
      <c r="BX39" s="492" t="str">
        <f t="shared" si="44"/>
        <v/>
      </c>
      <c r="BY39" s="492" t="str">
        <f t="shared" si="45"/>
        <v/>
      </c>
      <c r="BZ39" s="492" t="str">
        <f t="shared" si="46"/>
        <v/>
      </c>
      <c r="CA39" s="492" t="str">
        <f t="shared" si="47"/>
        <v/>
      </c>
      <c r="CB39" s="492" t="str">
        <f t="shared" si="48"/>
        <v/>
      </c>
      <c r="CC39" s="492" t="str">
        <f t="shared" si="49"/>
        <v/>
      </c>
      <c r="CD39" s="492" t="str">
        <f t="shared" si="50"/>
        <v/>
      </c>
      <c r="CE39" s="492" t="str">
        <f t="shared" si="51"/>
        <v/>
      </c>
      <c r="CF39" s="492" t="str">
        <f t="shared" si="52"/>
        <v/>
      </c>
      <c r="CG39" s="492" t="str">
        <f t="shared" si="53"/>
        <v/>
      </c>
      <c r="CH39" s="492" t="str">
        <f t="shared" si="54"/>
        <v/>
      </c>
      <c r="CI39" s="492" t="str">
        <f t="shared" si="55"/>
        <v/>
      </c>
      <c r="CJ39" s="492" t="str">
        <f t="shared" si="56"/>
        <v/>
      </c>
      <c r="CK39" s="492" t="str">
        <f t="shared" si="57"/>
        <v/>
      </c>
      <c r="CL39" s="492" t="str">
        <f t="shared" si="58"/>
        <v/>
      </c>
      <c r="CM39" s="492" t="str">
        <f t="shared" si="59"/>
        <v/>
      </c>
      <c r="CN39" s="492" t="str">
        <f t="shared" si="60"/>
        <v/>
      </c>
      <c r="CO39" s="492" t="str">
        <f t="shared" si="61"/>
        <v/>
      </c>
      <c r="CP39" s="492" t="str">
        <f t="shared" si="62"/>
        <v/>
      </c>
      <c r="CQ39" s="492" t="str">
        <f t="shared" si="63"/>
        <v/>
      </c>
      <c r="CR39" s="492" t="str">
        <f t="shared" si="64"/>
        <v/>
      </c>
      <c r="CS39" s="492" t="str">
        <f t="shared" si="65"/>
        <v/>
      </c>
      <c r="CT39" s="492" t="str">
        <f t="shared" si="66"/>
        <v/>
      </c>
      <c r="CU39" s="492" t="str">
        <f t="shared" si="67"/>
        <v/>
      </c>
      <c r="CV39" s="492" t="str">
        <f t="shared" si="68"/>
        <v/>
      </c>
      <c r="CW39" s="495">
        <v>1</v>
      </c>
      <c r="CX39" s="496"/>
      <c r="CY39" s="496"/>
      <c r="CZ39" s="496"/>
      <c r="DA39" s="496"/>
      <c r="DB39" s="496"/>
    </row>
    <row r="40" spans="1:106" ht="13.5" customHeight="1">
      <c r="A40" s="1232">
        <v>30</v>
      </c>
      <c r="B40" s="1233"/>
      <c r="C40" s="1230"/>
      <c r="D40" s="1234"/>
      <c r="E40" s="1231"/>
      <c r="F40" s="1230"/>
      <c r="G40" s="1234"/>
      <c r="H40" s="1231"/>
      <c r="I40" s="1230"/>
      <c r="J40" s="1231"/>
      <c r="K40" s="1290"/>
      <c r="L40" s="1291"/>
      <c r="M40" s="1290"/>
      <c r="N40" s="1291"/>
      <c r="O40" s="1290"/>
      <c r="P40" s="1291"/>
      <c r="Q40" s="1230"/>
      <c r="R40" s="1231"/>
      <c r="S40" s="1230"/>
      <c r="T40" s="1231"/>
      <c r="U40" s="1228"/>
      <c r="V40" s="1229"/>
      <c r="W40" s="1230"/>
      <c r="X40" s="1231"/>
      <c r="Y40" s="1226"/>
      <c r="Z40" s="1227"/>
      <c r="AA40" s="1275"/>
      <c r="AB40" s="1275"/>
      <c r="AC40" s="1212" t="str">
        <f t="shared" si="0"/>
        <v/>
      </c>
      <c r="AD40" s="1213"/>
      <c r="AE40" s="1213"/>
      <c r="AF40" s="1213"/>
      <c r="AG40" s="492" t="str">
        <f t="shared" si="1"/>
        <v/>
      </c>
      <c r="AH40" s="466" t="str">
        <f t="shared" si="2"/>
        <v/>
      </c>
      <c r="AI40" s="466" t="str">
        <f t="shared" si="3"/>
        <v/>
      </c>
      <c r="AJ40" s="466" t="str">
        <f t="shared" si="4"/>
        <v/>
      </c>
      <c r="AK40" s="492" t="str">
        <f t="shared" si="5"/>
        <v>○</v>
      </c>
      <c r="AL40" s="492" t="str">
        <f t="shared" si="6"/>
        <v/>
      </c>
      <c r="AM40" s="492" t="str">
        <f t="shared" si="7"/>
        <v/>
      </c>
      <c r="AN40" s="492" t="str">
        <f t="shared" si="8"/>
        <v/>
      </c>
      <c r="AO40" s="492" t="str">
        <f t="shared" si="9"/>
        <v/>
      </c>
      <c r="AP40" s="492" t="str">
        <f t="shared" si="10"/>
        <v/>
      </c>
      <c r="AQ40" s="492" t="str">
        <f t="shared" si="11"/>
        <v/>
      </c>
      <c r="AR40" s="492" t="str">
        <f t="shared" si="12"/>
        <v/>
      </c>
      <c r="AS40" s="492" t="str">
        <f t="shared" si="13"/>
        <v/>
      </c>
      <c r="AT40" s="492" t="str">
        <f t="shared" si="14"/>
        <v/>
      </c>
      <c r="AU40" s="492" t="str">
        <f t="shared" si="15"/>
        <v/>
      </c>
      <c r="AV40" s="492" t="str">
        <f t="shared" si="16"/>
        <v/>
      </c>
      <c r="AW40" s="492" t="str">
        <f t="shared" si="17"/>
        <v/>
      </c>
      <c r="AX40" s="492" t="str">
        <f t="shared" si="18"/>
        <v/>
      </c>
      <c r="AY40" s="492" t="str">
        <f t="shared" si="19"/>
        <v/>
      </c>
      <c r="AZ40" s="492" t="str">
        <f t="shared" si="20"/>
        <v/>
      </c>
      <c r="BA40" s="492" t="str">
        <f t="shared" si="21"/>
        <v/>
      </c>
      <c r="BB40" s="492" t="str">
        <f t="shared" si="22"/>
        <v/>
      </c>
      <c r="BC40" s="492" t="str">
        <f t="shared" si="23"/>
        <v/>
      </c>
      <c r="BD40" s="492" t="str">
        <f t="shared" si="24"/>
        <v/>
      </c>
      <c r="BE40" s="492" t="str">
        <f t="shared" si="25"/>
        <v/>
      </c>
      <c r="BF40" s="492" t="str">
        <f t="shared" si="26"/>
        <v/>
      </c>
      <c r="BG40" s="492" t="str">
        <f t="shared" si="27"/>
        <v/>
      </c>
      <c r="BH40" s="492" t="str">
        <f t="shared" si="28"/>
        <v/>
      </c>
      <c r="BI40" s="492" t="str">
        <f t="shared" si="29"/>
        <v/>
      </c>
      <c r="BJ40" s="492" t="str">
        <f t="shared" si="30"/>
        <v/>
      </c>
      <c r="BK40" s="492" t="str">
        <f t="shared" si="31"/>
        <v/>
      </c>
      <c r="BL40" s="492" t="str">
        <f t="shared" si="32"/>
        <v/>
      </c>
      <c r="BM40" s="492" t="str">
        <f t="shared" si="33"/>
        <v/>
      </c>
      <c r="BN40" s="492" t="str">
        <f t="shared" si="34"/>
        <v/>
      </c>
      <c r="BO40" s="492" t="str">
        <f t="shared" si="35"/>
        <v/>
      </c>
      <c r="BP40" s="492" t="str">
        <f t="shared" si="36"/>
        <v/>
      </c>
      <c r="BQ40" s="492" t="str">
        <f t="shared" si="37"/>
        <v/>
      </c>
      <c r="BR40" s="492" t="str">
        <f t="shared" si="38"/>
        <v/>
      </c>
      <c r="BS40" s="492" t="str">
        <f t="shared" si="39"/>
        <v/>
      </c>
      <c r="BT40" s="492" t="str">
        <f t="shared" si="40"/>
        <v/>
      </c>
      <c r="BU40" s="492" t="str">
        <f t="shared" si="41"/>
        <v/>
      </c>
      <c r="BV40" s="492" t="str">
        <f t="shared" si="42"/>
        <v/>
      </c>
      <c r="BW40" s="492" t="str">
        <f t="shared" si="43"/>
        <v/>
      </c>
      <c r="BX40" s="492" t="str">
        <f t="shared" si="44"/>
        <v/>
      </c>
      <c r="BY40" s="492" t="str">
        <f t="shared" si="45"/>
        <v/>
      </c>
      <c r="BZ40" s="492" t="str">
        <f t="shared" si="46"/>
        <v/>
      </c>
      <c r="CA40" s="492" t="str">
        <f t="shared" si="47"/>
        <v/>
      </c>
      <c r="CB40" s="492" t="str">
        <f t="shared" si="48"/>
        <v/>
      </c>
      <c r="CC40" s="492" t="str">
        <f t="shared" si="49"/>
        <v/>
      </c>
      <c r="CD40" s="492" t="str">
        <f t="shared" si="50"/>
        <v/>
      </c>
      <c r="CE40" s="492" t="str">
        <f t="shared" si="51"/>
        <v/>
      </c>
      <c r="CF40" s="492" t="str">
        <f t="shared" si="52"/>
        <v/>
      </c>
      <c r="CG40" s="492" t="str">
        <f t="shared" si="53"/>
        <v/>
      </c>
      <c r="CH40" s="492" t="str">
        <f t="shared" si="54"/>
        <v/>
      </c>
      <c r="CI40" s="492" t="str">
        <f t="shared" si="55"/>
        <v/>
      </c>
      <c r="CJ40" s="492" t="str">
        <f t="shared" si="56"/>
        <v/>
      </c>
      <c r="CK40" s="492" t="str">
        <f t="shared" si="57"/>
        <v/>
      </c>
      <c r="CL40" s="492" t="str">
        <f t="shared" si="58"/>
        <v/>
      </c>
      <c r="CM40" s="492" t="str">
        <f t="shared" si="59"/>
        <v/>
      </c>
      <c r="CN40" s="492" t="str">
        <f t="shared" si="60"/>
        <v/>
      </c>
      <c r="CO40" s="492" t="str">
        <f t="shared" si="61"/>
        <v/>
      </c>
      <c r="CP40" s="492" t="str">
        <f t="shared" si="62"/>
        <v/>
      </c>
      <c r="CQ40" s="492" t="str">
        <f t="shared" si="63"/>
        <v/>
      </c>
      <c r="CR40" s="492" t="str">
        <f t="shared" si="64"/>
        <v/>
      </c>
      <c r="CS40" s="492" t="str">
        <f t="shared" si="65"/>
        <v/>
      </c>
      <c r="CT40" s="492" t="str">
        <f t="shared" si="66"/>
        <v/>
      </c>
      <c r="CU40" s="492" t="str">
        <f t="shared" si="67"/>
        <v/>
      </c>
      <c r="CV40" s="492" t="str">
        <f t="shared" si="68"/>
        <v/>
      </c>
      <c r="CW40" s="495">
        <v>1</v>
      </c>
      <c r="CX40" s="496"/>
      <c r="CY40" s="496"/>
      <c r="CZ40" s="496"/>
      <c r="DA40" s="496"/>
      <c r="DB40" s="496"/>
    </row>
    <row r="41" spans="1:106" ht="13.5" customHeight="1">
      <c r="A41" s="1232">
        <v>31</v>
      </c>
      <c r="B41" s="1233"/>
      <c r="C41" s="1230"/>
      <c r="D41" s="1234"/>
      <c r="E41" s="1231"/>
      <c r="F41" s="1230"/>
      <c r="G41" s="1234"/>
      <c r="H41" s="1231"/>
      <c r="I41" s="1230"/>
      <c r="J41" s="1231"/>
      <c r="K41" s="1290"/>
      <c r="L41" s="1291"/>
      <c r="M41" s="1290"/>
      <c r="N41" s="1291"/>
      <c r="O41" s="1290"/>
      <c r="P41" s="1291"/>
      <c r="Q41" s="1230"/>
      <c r="R41" s="1231"/>
      <c r="S41" s="1230"/>
      <c r="T41" s="1231"/>
      <c r="U41" s="1228"/>
      <c r="V41" s="1229"/>
      <c r="W41" s="1230"/>
      <c r="X41" s="1231"/>
      <c r="Y41" s="1226"/>
      <c r="Z41" s="1227"/>
      <c r="AA41" s="1275"/>
      <c r="AB41" s="1275"/>
      <c r="AC41" s="1212" t="str">
        <f t="shared" si="0"/>
        <v/>
      </c>
      <c r="AD41" s="1213"/>
      <c r="AE41" s="1213"/>
      <c r="AF41" s="1213"/>
      <c r="AG41" s="492" t="str">
        <f t="shared" si="1"/>
        <v/>
      </c>
      <c r="AH41" s="466" t="str">
        <f t="shared" si="2"/>
        <v/>
      </c>
      <c r="AI41" s="466" t="str">
        <f t="shared" si="3"/>
        <v/>
      </c>
      <c r="AJ41" s="466" t="str">
        <f t="shared" si="4"/>
        <v/>
      </c>
      <c r="AK41" s="492" t="str">
        <f t="shared" si="5"/>
        <v>○</v>
      </c>
      <c r="AL41" s="492" t="str">
        <f t="shared" si="6"/>
        <v/>
      </c>
      <c r="AM41" s="492" t="str">
        <f t="shared" si="7"/>
        <v/>
      </c>
      <c r="AN41" s="492" t="str">
        <f t="shared" si="8"/>
        <v/>
      </c>
      <c r="AO41" s="492" t="str">
        <f t="shared" si="9"/>
        <v/>
      </c>
      <c r="AP41" s="492" t="str">
        <f t="shared" si="10"/>
        <v/>
      </c>
      <c r="AQ41" s="492" t="str">
        <f t="shared" si="11"/>
        <v/>
      </c>
      <c r="AR41" s="492" t="str">
        <f t="shared" si="12"/>
        <v/>
      </c>
      <c r="AS41" s="492" t="str">
        <f t="shared" si="13"/>
        <v/>
      </c>
      <c r="AT41" s="492" t="str">
        <f t="shared" si="14"/>
        <v/>
      </c>
      <c r="AU41" s="492" t="str">
        <f t="shared" si="15"/>
        <v/>
      </c>
      <c r="AV41" s="492" t="str">
        <f t="shared" si="16"/>
        <v/>
      </c>
      <c r="AW41" s="492" t="str">
        <f t="shared" si="17"/>
        <v/>
      </c>
      <c r="AX41" s="492" t="str">
        <f t="shared" si="18"/>
        <v/>
      </c>
      <c r="AY41" s="492" t="str">
        <f t="shared" si="19"/>
        <v/>
      </c>
      <c r="AZ41" s="492" t="str">
        <f t="shared" si="20"/>
        <v/>
      </c>
      <c r="BA41" s="492" t="str">
        <f t="shared" si="21"/>
        <v/>
      </c>
      <c r="BB41" s="492" t="str">
        <f t="shared" si="22"/>
        <v/>
      </c>
      <c r="BC41" s="492" t="str">
        <f t="shared" si="23"/>
        <v/>
      </c>
      <c r="BD41" s="492" t="str">
        <f t="shared" si="24"/>
        <v/>
      </c>
      <c r="BE41" s="492" t="str">
        <f t="shared" si="25"/>
        <v/>
      </c>
      <c r="BF41" s="492" t="str">
        <f t="shared" si="26"/>
        <v/>
      </c>
      <c r="BG41" s="492" t="str">
        <f t="shared" si="27"/>
        <v/>
      </c>
      <c r="BH41" s="492" t="str">
        <f t="shared" si="28"/>
        <v/>
      </c>
      <c r="BI41" s="492" t="str">
        <f t="shared" si="29"/>
        <v/>
      </c>
      <c r="BJ41" s="492" t="str">
        <f t="shared" si="30"/>
        <v/>
      </c>
      <c r="BK41" s="492" t="str">
        <f t="shared" si="31"/>
        <v/>
      </c>
      <c r="BL41" s="492" t="str">
        <f t="shared" si="32"/>
        <v/>
      </c>
      <c r="BM41" s="492" t="str">
        <f t="shared" si="33"/>
        <v/>
      </c>
      <c r="BN41" s="492" t="str">
        <f t="shared" si="34"/>
        <v/>
      </c>
      <c r="BO41" s="492" t="str">
        <f t="shared" si="35"/>
        <v/>
      </c>
      <c r="BP41" s="492" t="str">
        <f t="shared" si="36"/>
        <v/>
      </c>
      <c r="BQ41" s="492" t="str">
        <f t="shared" si="37"/>
        <v/>
      </c>
      <c r="BR41" s="492" t="str">
        <f t="shared" si="38"/>
        <v/>
      </c>
      <c r="BS41" s="492" t="str">
        <f t="shared" si="39"/>
        <v/>
      </c>
      <c r="BT41" s="492" t="str">
        <f t="shared" si="40"/>
        <v/>
      </c>
      <c r="BU41" s="492" t="str">
        <f t="shared" si="41"/>
        <v/>
      </c>
      <c r="BV41" s="492" t="str">
        <f t="shared" si="42"/>
        <v/>
      </c>
      <c r="BW41" s="492" t="str">
        <f t="shared" si="43"/>
        <v/>
      </c>
      <c r="BX41" s="492" t="str">
        <f t="shared" si="44"/>
        <v/>
      </c>
      <c r="BY41" s="492" t="str">
        <f t="shared" si="45"/>
        <v/>
      </c>
      <c r="BZ41" s="492" t="str">
        <f t="shared" si="46"/>
        <v/>
      </c>
      <c r="CA41" s="492" t="str">
        <f t="shared" si="47"/>
        <v/>
      </c>
      <c r="CB41" s="492" t="str">
        <f t="shared" si="48"/>
        <v/>
      </c>
      <c r="CC41" s="492" t="str">
        <f t="shared" si="49"/>
        <v/>
      </c>
      <c r="CD41" s="492" t="str">
        <f t="shared" si="50"/>
        <v/>
      </c>
      <c r="CE41" s="492" t="str">
        <f t="shared" si="51"/>
        <v/>
      </c>
      <c r="CF41" s="492" t="str">
        <f t="shared" si="52"/>
        <v/>
      </c>
      <c r="CG41" s="492" t="str">
        <f t="shared" si="53"/>
        <v/>
      </c>
      <c r="CH41" s="492" t="str">
        <f t="shared" si="54"/>
        <v/>
      </c>
      <c r="CI41" s="492" t="str">
        <f t="shared" si="55"/>
        <v/>
      </c>
      <c r="CJ41" s="492" t="str">
        <f t="shared" si="56"/>
        <v/>
      </c>
      <c r="CK41" s="492" t="str">
        <f t="shared" si="57"/>
        <v/>
      </c>
      <c r="CL41" s="492" t="str">
        <f t="shared" si="58"/>
        <v/>
      </c>
      <c r="CM41" s="492" t="str">
        <f t="shared" si="59"/>
        <v/>
      </c>
      <c r="CN41" s="492" t="str">
        <f t="shared" si="60"/>
        <v/>
      </c>
      <c r="CO41" s="492" t="str">
        <f t="shared" si="61"/>
        <v/>
      </c>
      <c r="CP41" s="492" t="str">
        <f t="shared" si="62"/>
        <v/>
      </c>
      <c r="CQ41" s="492" t="str">
        <f t="shared" si="63"/>
        <v/>
      </c>
      <c r="CR41" s="492" t="str">
        <f t="shared" si="64"/>
        <v/>
      </c>
      <c r="CS41" s="492" t="str">
        <f t="shared" si="65"/>
        <v/>
      </c>
      <c r="CT41" s="492" t="str">
        <f t="shared" si="66"/>
        <v/>
      </c>
      <c r="CU41" s="492" t="str">
        <f t="shared" si="67"/>
        <v/>
      </c>
      <c r="CV41" s="492" t="str">
        <f t="shared" si="68"/>
        <v/>
      </c>
      <c r="CW41" s="495">
        <v>1</v>
      </c>
      <c r="CX41" s="496"/>
      <c r="CY41" s="496"/>
      <c r="CZ41" s="496"/>
      <c r="DA41" s="496"/>
      <c r="DB41" s="496"/>
    </row>
    <row r="42" spans="1:106" ht="13.5" customHeight="1">
      <c r="A42" s="1232">
        <v>32</v>
      </c>
      <c r="B42" s="1233"/>
      <c r="C42" s="1230"/>
      <c r="D42" s="1234"/>
      <c r="E42" s="1231"/>
      <c r="F42" s="1230"/>
      <c r="G42" s="1234"/>
      <c r="H42" s="1231"/>
      <c r="I42" s="1230"/>
      <c r="J42" s="1231"/>
      <c r="K42" s="1290"/>
      <c r="L42" s="1291"/>
      <c r="M42" s="1290"/>
      <c r="N42" s="1291"/>
      <c r="O42" s="1290"/>
      <c r="P42" s="1291"/>
      <c r="Q42" s="1230"/>
      <c r="R42" s="1231"/>
      <c r="S42" s="1230"/>
      <c r="T42" s="1231"/>
      <c r="U42" s="1228"/>
      <c r="V42" s="1229"/>
      <c r="W42" s="1230"/>
      <c r="X42" s="1231"/>
      <c r="Y42" s="1226"/>
      <c r="Z42" s="1227"/>
      <c r="AA42" s="1275"/>
      <c r="AB42" s="1275"/>
      <c r="AC42" s="1212" t="str">
        <f t="shared" si="0"/>
        <v/>
      </c>
      <c r="AD42" s="1213"/>
      <c r="AE42" s="1213"/>
      <c r="AF42" s="1213"/>
      <c r="AG42" s="492" t="str">
        <f t="shared" si="1"/>
        <v/>
      </c>
      <c r="AH42" s="466" t="str">
        <f t="shared" si="2"/>
        <v/>
      </c>
      <c r="AI42" s="466" t="str">
        <f t="shared" si="3"/>
        <v/>
      </c>
      <c r="AJ42" s="466" t="str">
        <f t="shared" si="4"/>
        <v/>
      </c>
      <c r="AK42" s="492" t="str">
        <f t="shared" si="5"/>
        <v>○</v>
      </c>
      <c r="AL42" s="492" t="str">
        <f t="shared" si="6"/>
        <v/>
      </c>
      <c r="AM42" s="492" t="str">
        <f t="shared" si="7"/>
        <v/>
      </c>
      <c r="AN42" s="492" t="str">
        <f t="shared" si="8"/>
        <v/>
      </c>
      <c r="AO42" s="492" t="str">
        <f t="shared" si="9"/>
        <v/>
      </c>
      <c r="AP42" s="492" t="str">
        <f t="shared" si="10"/>
        <v/>
      </c>
      <c r="AQ42" s="492" t="str">
        <f t="shared" si="11"/>
        <v/>
      </c>
      <c r="AR42" s="492" t="str">
        <f t="shared" si="12"/>
        <v/>
      </c>
      <c r="AS42" s="492" t="str">
        <f t="shared" si="13"/>
        <v/>
      </c>
      <c r="AT42" s="492" t="str">
        <f t="shared" si="14"/>
        <v/>
      </c>
      <c r="AU42" s="492" t="str">
        <f t="shared" si="15"/>
        <v/>
      </c>
      <c r="AV42" s="492" t="str">
        <f t="shared" si="16"/>
        <v/>
      </c>
      <c r="AW42" s="492" t="str">
        <f t="shared" si="17"/>
        <v/>
      </c>
      <c r="AX42" s="492" t="str">
        <f t="shared" si="18"/>
        <v/>
      </c>
      <c r="AY42" s="492" t="str">
        <f t="shared" si="19"/>
        <v/>
      </c>
      <c r="AZ42" s="492" t="str">
        <f t="shared" si="20"/>
        <v/>
      </c>
      <c r="BA42" s="492" t="str">
        <f t="shared" si="21"/>
        <v/>
      </c>
      <c r="BB42" s="492" t="str">
        <f t="shared" si="22"/>
        <v/>
      </c>
      <c r="BC42" s="492" t="str">
        <f t="shared" si="23"/>
        <v/>
      </c>
      <c r="BD42" s="492" t="str">
        <f t="shared" si="24"/>
        <v/>
      </c>
      <c r="BE42" s="492" t="str">
        <f t="shared" si="25"/>
        <v/>
      </c>
      <c r="BF42" s="492" t="str">
        <f t="shared" si="26"/>
        <v/>
      </c>
      <c r="BG42" s="492" t="str">
        <f t="shared" si="27"/>
        <v/>
      </c>
      <c r="BH42" s="492" t="str">
        <f t="shared" si="28"/>
        <v/>
      </c>
      <c r="BI42" s="492" t="str">
        <f t="shared" si="29"/>
        <v/>
      </c>
      <c r="BJ42" s="492" t="str">
        <f t="shared" si="30"/>
        <v/>
      </c>
      <c r="BK42" s="492" t="str">
        <f t="shared" si="31"/>
        <v/>
      </c>
      <c r="BL42" s="492" t="str">
        <f t="shared" si="32"/>
        <v/>
      </c>
      <c r="BM42" s="492" t="str">
        <f t="shared" si="33"/>
        <v/>
      </c>
      <c r="BN42" s="492" t="str">
        <f t="shared" si="34"/>
        <v/>
      </c>
      <c r="BO42" s="492" t="str">
        <f t="shared" si="35"/>
        <v/>
      </c>
      <c r="BP42" s="492" t="str">
        <f t="shared" si="36"/>
        <v/>
      </c>
      <c r="BQ42" s="492" t="str">
        <f t="shared" si="37"/>
        <v/>
      </c>
      <c r="BR42" s="492" t="str">
        <f t="shared" si="38"/>
        <v/>
      </c>
      <c r="BS42" s="492" t="str">
        <f t="shared" si="39"/>
        <v/>
      </c>
      <c r="BT42" s="492" t="str">
        <f t="shared" si="40"/>
        <v/>
      </c>
      <c r="BU42" s="492" t="str">
        <f t="shared" si="41"/>
        <v/>
      </c>
      <c r="BV42" s="492" t="str">
        <f t="shared" si="42"/>
        <v/>
      </c>
      <c r="BW42" s="492" t="str">
        <f t="shared" si="43"/>
        <v/>
      </c>
      <c r="BX42" s="492" t="str">
        <f t="shared" si="44"/>
        <v/>
      </c>
      <c r="BY42" s="492" t="str">
        <f t="shared" si="45"/>
        <v/>
      </c>
      <c r="BZ42" s="492" t="str">
        <f t="shared" si="46"/>
        <v/>
      </c>
      <c r="CA42" s="492" t="str">
        <f t="shared" si="47"/>
        <v/>
      </c>
      <c r="CB42" s="492" t="str">
        <f t="shared" si="48"/>
        <v/>
      </c>
      <c r="CC42" s="492" t="str">
        <f t="shared" si="49"/>
        <v/>
      </c>
      <c r="CD42" s="492" t="str">
        <f t="shared" si="50"/>
        <v/>
      </c>
      <c r="CE42" s="492" t="str">
        <f t="shared" si="51"/>
        <v/>
      </c>
      <c r="CF42" s="492" t="str">
        <f t="shared" si="52"/>
        <v/>
      </c>
      <c r="CG42" s="492" t="str">
        <f t="shared" si="53"/>
        <v/>
      </c>
      <c r="CH42" s="492" t="str">
        <f t="shared" si="54"/>
        <v/>
      </c>
      <c r="CI42" s="492" t="str">
        <f t="shared" si="55"/>
        <v/>
      </c>
      <c r="CJ42" s="492" t="str">
        <f t="shared" si="56"/>
        <v/>
      </c>
      <c r="CK42" s="492" t="str">
        <f t="shared" si="57"/>
        <v/>
      </c>
      <c r="CL42" s="492" t="str">
        <f t="shared" si="58"/>
        <v/>
      </c>
      <c r="CM42" s="492" t="str">
        <f t="shared" si="59"/>
        <v/>
      </c>
      <c r="CN42" s="492" t="str">
        <f t="shared" si="60"/>
        <v/>
      </c>
      <c r="CO42" s="492" t="str">
        <f t="shared" si="61"/>
        <v/>
      </c>
      <c r="CP42" s="492" t="str">
        <f t="shared" si="62"/>
        <v/>
      </c>
      <c r="CQ42" s="492" t="str">
        <f t="shared" si="63"/>
        <v/>
      </c>
      <c r="CR42" s="492" t="str">
        <f t="shared" si="64"/>
        <v/>
      </c>
      <c r="CS42" s="492" t="str">
        <f t="shared" si="65"/>
        <v/>
      </c>
      <c r="CT42" s="492" t="str">
        <f t="shared" si="66"/>
        <v/>
      </c>
      <c r="CU42" s="492" t="str">
        <f t="shared" si="67"/>
        <v/>
      </c>
      <c r="CV42" s="492" t="str">
        <f t="shared" si="68"/>
        <v/>
      </c>
      <c r="CW42" s="495">
        <v>1</v>
      </c>
      <c r="CX42" s="496"/>
      <c r="CY42" s="496"/>
      <c r="CZ42" s="496"/>
      <c r="DA42" s="496"/>
      <c r="DB42" s="496"/>
    </row>
    <row r="43" spans="1:106" ht="13.5" customHeight="1">
      <c r="A43" s="1232">
        <v>33</v>
      </c>
      <c r="B43" s="1233"/>
      <c r="C43" s="1230"/>
      <c r="D43" s="1234"/>
      <c r="E43" s="1231"/>
      <c r="F43" s="1230"/>
      <c r="G43" s="1234"/>
      <c r="H43" s="1231"/>
      <c r="I43" s="1230"/>
      <c r="J43" s="1231"/>
      <c r="K43" s="1290"/>
      <c r="L43" s="1291"/>
      <c r="M43" s="1290"/>
      <c r="N43" s="1291"/>
      <c r="O43" s="1290"/>
      <c r="P43" s="1291"/>
      <c r="Q43" s="1230"/>
      <c r="R43" s="1231"/>
      <c r="S43" s="1230"/>
      <c r="T43" s="1231"/>
      <c r="U43" s="1228"/>
      <c r="V43" s="1229"/>
      <c r="W43" s="1230"/>
      <c r="X43" s="1231"/>
      <c r="Y43" s="1226"/>
      <c r="Z43" s="1227"/>
      <c r="AA43" s="1275"/>
      <c r="AB43" s="1275"/>
      <c r="AC43" s="1212" t="str">
        <f t="shared" ref="AC43:AC74" si="69">IF(S43="","",IF(AND(M43="標準",S43="○",O43=""),"※下表に記載必要箇所あり(①)",IF(AND(M43="標準",S43="○",O43="分園"),"※下表に記載必要箇所あり(③)",IF(AND(M43="短時間",S43="○",O43=""),"※下表に記載必要箇所あり(②)","※下表に記載必要箇所あり(④)"))))</f>
        <v/>
      </c>
      <c r="AD43" s="1213"/>
      <c r="AE43" s="1213"/>
      <c r="AF43" s="1213"/>
      <c r="AG43" s="492" t="str">
        <f t="shared" ref="AG43:AG74" si="70">IF(AND(Q43="○",W43=""),"A","")</f>
        <v/>
      </c>
      <c r="AH43" s="466" t="str">
        <f t="shared" ref="AH43:AH74" si="71">IF(AND(Q43="○",W43="○"),"B","")</f>
        <v/>
      </c>
      <c r="AI43" s="466" t="str">
        <f t="shared" ref="AI43:AI74" si="72">IF(AND(Q43="",S43="○",W43=""),"C","")</f>
        <v/>
      </c>
      <c r="AJ43" s="466" t="str">
        <f t="shared" ref="AJ43:AJ74" si="73">IF(AND(Q43="",S43="○",W43="○"),"D","")</f>
        <v/>
      </c>
      <c r="AK43" s="492" t="str">
        <f t="shared" ref="AK43:AK74" si="74">IF(U43&gt;0,"","○")</f>
        <v>○</v>
      </c>
      <c r="AL43" s="492" t="str">
        <f t="shared" ref="AL43:AL74" si="75">IF(AND(I43="５歳",M43="標準",O43="",AK43="○",W43=""),"○","")</f>
        <v/>
      </c>
      <c r="AM43" s="492" t="str">
        <f t="shared" ref="AM43:AM74" si="76">IF(AND(I43="４歳",M43="標準",O43="",AK43="○",W43=""),"○","")</f>
        <v/>
      </c>
      <c r="AN43" s="492" t="str">
        <f t="shared" ref="AN43:AN74" si="77">IF(AND(I43="３歳",M43="標準",O43="",AK43="○",W43=""),"○","")</f>
        <v/>
      </c>
      <c r="AO43" s="492" t="str">
        <f t="shared" ref="AO43:AO74" si="78">IF(AND(I43="２歳",M43="標準",O43="",AK43="○",W43=""),"○","")</f>
        <v/>
      </c>
      <c r="AP43" s="492" t="str">
        <f t="shared" ref="AP43:AP74" si="79">IF(AND(I43="１歳",M43="標準",O43="",AK43="○",W43=""),"○","")</f>
        <v/>
      </c>
      <c r="AQ43" s="492" t="str">
        <f t="shared" ref="AQ43:AQ74" si="80">IF(AND(I43="乳児",M43="標準",O43="",AK43="○",W43=""),"○","")</f>
        <v/>
      </c>
      <c r="AR43" s="492" t="str">
        <f t="shared" ref="AR43:AR74" si="81">IF(AND(I43="５歳",M43="標準",O43="",AK43="○",W43="○"),"○","")</f>
        <v/>
      </c>
      <c r="AS43" s="492" t="str">
        <f t="shared" ref="AS43:AS74" si="82">IF(AND(I43="４歳",M43="標準",O43="",AK43="○",W43="○"),"○","")</f>
        <v/>
      </c>
      <c r="AT43" s="492" t="str">
        <f t="shared" ref="AT43:AT74" si="83">IF(AND(I43="３歳",M43="標準",O43="",AK43="○",W43="○"),"○","")</f>
        <v/>
      </c>
      <c r="AU43" s="492" t="str">
        <f t="shared" ref="AU43:AU74" si="84">IF(AND(I43="５歳",M43="標準",U43&gt;0),"○","")</f>
        <v/>
      </c>
      <c r="AV43" s="492" t="str">
        <f t="shared" ref="AV43:AV74" si="85">IF(AND(I43="４歳",M43="標準",U43&gt;0),"○","")</f>
        <v/>
      </c>
      <c r="AW43" s="492" t="str">
        <f t="shared" ref="AW43:AW74" si="86">IF(AND(I43="３歳",M43="標準",U43&gt;0),"○","")</f>
        <v/>
      </c>
      <c r="AX43" s="492" t="str">
        <f t="shared" ref="AX43:AX74" si="87">IF(AND(I43="２歳",M43="標準",U43&gt;0),"○","")</f>
        <v/>
      </c>
      <c r="AY43" s="492" t="str">
        <f t="shared" ref="AY43:AY74" si="88">IF(AND(I43="１歳",M43="標準",U43&gt;0),"○","")</f>
        <v/>
      </c>
      <c r="AZ43" s="492" t="str">
        <f t="shared" ref="AZ43:AZ74" si="89">IF(AND(I43="乳児",M43="標準",U43&gt;0),"○","")</f>
        <v/>
      </c>
      <c r="BA43" s="492" t="str">
        <f t="shared" ref="BA43:BA74" si="90">IF(AND(I43="５歳",M43="短時間",O43="",AK43="○",W43=""),"○","")</f>
        <v/>
      </c>
      <c r="BB43" s="492" t="str">
        <f t="shared" ref="BB43:BB74" si="91">IF(AND(I43="４歳",M43="短時間",O43="",AK43="○",W43=""),"○","")</f>
        <v/>
      </c>
      <c r="BC43" s="492" t="str">
        <f t="shared" ref="BC43:BC74" si="92">IF(AND(I43="３歳",M43="短時間",O43="",AK43="○",W43=""),"○","")</f>
        <v/>
      </c>
      <c r="BD43" s="492" t="str">
        <f t="shared" ref="BD43:BD74" si="93">IF(AND(I43="２歳",M43="短時間",O43="",AK43="○",W43=""),"○","")</f>
        <v/>
      </c>
      <c r="BE43" s="492" t="str">
        <f t="shared" ref="BE43:BE74" si="94">IF(AND(I43="１歳",M43="短時間",O43="",AK43="○",W43=""),"○","")</f>
        <v/>
      </c>
      <c r="BF43" s="492" t="str">
        <f t="shared" ref="BF43:BF74" si="95">IF(AND(I43="乳児",M43="短時間",O43="",AK43="○",W43=""),"○","")</f>
        <v/>
      </c>
      <c r="BG43" s="492" t="str">
        <f t="shared" ref="BG43:BG74" si="96">IF(AND(I43="５歳",M43="短時間",O43="",AK43="○",W43="○"),"○","")</f>
        <v/>
      </c>
      <c r="BH43" s="492" t="str">
        <f t="shared" ref="BH43:BH74" si="97">IF(AND(I43="４歳",M43="短時間",O43="",AK43="○",W43="○"),"○","")</f>
        <v/>
      </c>
      <c r="BI43" s="492" t="str">
        <f t="shared" ref="BI43:BI74" si="98">IF(AND(I43="３歳",M43="短時間",O43="",AK43="○",W43="○"),"○","")</f>
        <v/>
      </c>
      <c r="BJ43" s="492" t="str">
        <f t="shared" ref="BJ43:BJ74" si="99">IF(AND(I43="２歳",M43="短時間",O43="",AK43="○",W43="○"),"○","")</f>
        <v/>
      </c>
      <c r="BK43" s="492" t="str">
        <f t="shared" ref="BK43:BK74" si="100">IF(AND(I43="１歳",M43="短時間",O43="",AK43="○",W43="○"),"○","")</f>
        <v/>
      </c>
      <c r="BL43" s="492" t="str">
        <f t="shared" ref="BL43:BL74" si="101">IF(AND(I43="乳児",M43="短時間",O43="",AK43="○",W43="○"),"○","")</f>
        <v/>
      </c>
      <c r="BM43" s="492" t="str">
        <f t="shared" ref="BM43:BM74" si="102">IF(AND(I43="５歳",M43="短時間",O43="",U43&gt;0),"○","")</f>
        <v/>
      </c>
      <c r="BN43" s="492" t="str">
        <f t="shared" ref="BN43:BN74" si="103">IF(AND(I43="４歳",M43="短時間",O43="",U43&gt;0),"○","")</f>
        <v/>
      </c>
      <c r="BO43" s="492" t="str">
        <f t="shared" ref="BO43:BO74" si="104">IF(AND(I43="３歳",M43="短時間",O43="",U43&gt;0),"○","")</f>
        <v/>
      </c>
      <c r="BP43" s="492" t="str">
        <f t="shared" ref="BP43:BP74" si="105">IF(AND(I43="２歳",M43="短時間",O43="",U43&gt;0),"○","")</f>
        <v/>
      </c>
      <c r="BQ43" s="492" t="str">
        <f t="shared" ref="BQ43:BQ74" si="106">IF(AND(I43="１歳",M43="短時間",O43="",U43&gt;0),"○","")</f>
        <v/>
      </c>
      <c r="BR43" s="492" t="str">
        <f t="shared" ref="BR43:BR74" si="107">IF(AND(I43="乳児",M43="短時間",O43="",U43&gt;0),"○","")</f>
        <v/>
      </c>
      <c r="BS43" s="492" t="str">
        <f t="shared" ref="BS43:BS74" si="108">IF(AND(I43="５歳",M43="標準",O43="分園",AK43="○",W43=""),"○","")</f>
        <v/>
      </c>
      <c r="BT43" s="492" t="str">
        <f t="shared" ref="BT43:BT74" si="109">IF(AND(I43="４歳",M43="標準",O43="分園",AK43="○",W43=""),"○","")</f>
        <v/>
      </c>
      <c r="BU43" s="492" t="str">
        <f t="shared" ref="BU43:BU74" si="110">IF(AND(I43="３歳",M43="標準",O43="分園",AK43="○",W43=""),"○","")</f>
        <v/>
      </c>
      <c r="BV43" s="492" t="str">
        <f t="shared" ref="BV43:BV74" si="111">IF(AND(I43="２歳",M43="標準",O43="分園",AK43="○",W43=""),"○","")</f>
        <v/>
      </c>
      <c r="BW43" s="492" t="str">
        <f t="shared" ref="BW43:BW74" si="112">IF(AND(I43="１歳",M43="標準",O43="分園",AK43="○",W43=""),"○","")</f>
        <v/>
      </c>
      <c r="BX43" s="492" t="str">
        <f t="shared" ref="BX43:BX74" si="113">IF(AND(I43="乳児",M43="標準",O43="分園",AK43="○",W43=""),"○","")</f>
        <v/>
      </c>
      <c r="BY43" s="492" t="str">
        <f t="shared" ref="BY43:BY74" si="114">IF(AND(I43="５歳",M43="標準",O43="分園",AK43="○",W43="○"),"○","")</f>
        <v/>
      </c>
      <c r="BZ43" s="492" t="str">
        <f t="shared" ref="BZ43:BZ74" si="115">IF(AND(I43="４歳",M43="標準",O43="分園",AK43="○",W43="○"),"○","")</f>
        <v/>
      </c>
      <c r="CA43" s="492" t="str">
        <f t="shared" ref="CA43:CA74" si="116">IF(AND(I43="３歳",M43="標準",O43="分園",AK43="○",W43="○"),"○","")</f>
        <v/>
      </c>
      <c r="CB43" s="492" t="str">
        <f t="shared" ref="CB43:CB74" si="117">IF(AND(I1469="５歳",M43="教育",O43="分園",U43&gt;0),"○","")</f>
        <v/>
      </c>
      <c r="CC43" s="492" t="str">
        <f t="shared" ref="CC43:CC74" si="118">IF(AND(I1469="４歳",M43="教育",O43="分園",U43&gt;0),"○","")</f>
        <v/>
      </c>
      <c r="CD43" s="492" t="str">
        <f t="shared" ref="CD43:CD74" si="119">IF(AND(I1469="３歳",M43="教育",O43="分園",U43&gt;0),"○","")</f>
        <v/>
      </c>
      <c r="CE43" s="492" t="str">
        <f t="shared" ref="CE43:CE74" si="120">IF(AND(I1469="２歳",M43="教育",O43="分園",U43&gt;0),"○","")</f>
        <v/>
      </c>
      <c r="CF43" s="492" t="str">
        <f t="shared" ref="CF43:CF74" si="121">IF(AND(I1469="１歳",M43="教育",O43="分園",U43&gt;0),"○","")</f>
        <v/>
      </c>
      <c r="CG43" s="492" t="str">
        <f t="shared" ref="CG43:CG74" si="122">IF(AND(I1469="乳児",M43="教育",O43="分園",U43&gt;0),"○","")</f>
        <v/>
      </c>
      <c r="CH43" s="492" t="str">
        <f t="shared" ref="CH43:CH74" si="123">IF(AND(I43="５歳",M43="短時間",O43="分園",AK43="○",W43=""),"○","")</f>
        <v/>
      </c>
      <c r="CI43" s="492" t="str">
        <f t="shared" ref="CI43:CI74" si="124">IF(AND(I43="４歳",M43="短時間",O43="分園",AK43="○",W43=""),"○","")</f>
        <v/>
      </c>
      <c r="CJ43" s="492" t="str">
        <f t="shared" ref="CJ43:CJ74" si="125">IF(AND(I43="３歳",M43="短時間",O43="分園",AK43="○",W43=""),"○","")</f>
        <v/>
      </c>
      <c r="CK43" s="492" t="str">
        <f t="shared" ref="CK43:CK74" si="126">IF(AND(I43="２歳",M43="短時間",O43="分園",AK43="○",W43=""),"○","")</f>
        <v/>
      </c>
      <c r="CL43" s="492" t="str">
        <f t="shared" ref="CL43:CL74" si="127">IF(AND(I43="１歳",M43="短時間",O43="分園",AK43="○",W43=""),"○","")</f>
        <v/>
      </c>
      <c r="CM43" s="492" t="str">
        <f t="shared" ref="CM43:CM74" si="128">IF(AND(I43="乳児",M43="短時間",O43="分園",AK43="○",W43=""),"○","")</f>
        <v/>
      </c>
      <c r="CN43" s="492" t="str">
        <f t="shared" ref="CN43:CN74" si="129">IF(AND(I43="５歳",M43="短時間",O43="分園",AK43="○",W43="○"),"○","")</f>
        <v/>
      </c>
      <c r="CO43" s="492" t="str">
        <f t="shared" ref="CO43:CO74" si="130">IF(AND(I43="４歳",M43="短時間",O43="分園",AK43="○",W43="○"),"○","")</f>
        <v/>
      </c>
      <c r="CP43" s="492" t="str">
        <f t="shared" ref="CP43:CP74" si="131">IF(AND(I43="３歳",M43="短時間",O43="分園",AK43="○",W43="○"),"○","")</f>
        <v/>
      </c>
      <c r="CQ43" s="492" t="str">
        <f t="shared" ref="CQ43:CQ74" si="132">IF(AND(I43="５歳",M43="短時間",O43="分園",U43&gt;0),"○","")</f>
        <v/>
      </c>
      <c r="CR43" s="492" t="str">
        <f t="shared" ref="CR43:CR74" si="133">IF(AND(I43="４歳",M43="短時間",O43="分園",U43&gt;0),"○","")</f>
        <v/>
      </c>
      <c r="CS43" s="492" t="str">
        <f t="shared" ref="CS43:CS74" si="134">IF(AND(I43="３歳",M43="短時間",O43="分園",U43&gt;0),"○","")</f>
        <v/>
      </c>
      <c r="CT43" s="492" t="str">
        <f t="shared" ref="CT43:CT74" si="135">IF(AND(I43="２歳",M43="短時間",O43="分園",U43&gt;0),"○","")</f>
        <v/>
      </c>
      <c r="CU43" s="492" t="str">
        <f t="shared" ref="CU43:CU74" si="136">IF(AND(I43="１歳",M43="短時間",O43="分園",U43&gt;0),"○","")</f>
        <v/>
      </c>
      <c r="CV43" s="492" t="str">
        <f t="shared" ref="CV43:CV74" si="137">IF(AND(I43="乳児",M43="短時間",O43="分園",U43&gt;0),"○","")</f>
        <v/>
      </c>
      <c r="CW43" s="495">
        <v>1</v>
      </c>
      <c r="CX43" s="496"/>
      <c r="CY43" s="496"/>
      <c r="CZ43" s="496"/>
      <c r="DA43" s="496"/>
      <c r="DB43" s="496"/>
    </row>
    <row r="44" spans="1:106" ht="13.5" customHeight="1">
      <c r="A44" s="1232">
        <v>34</v>
      </c>
      <c r="B44" s="1233"/>
      <c r="C44" s="1230"/>
      <c r="D44" s="1234"/>
      <c r="E44" s="1231"/>
      <c r="F44" s="1230"/>
      <c r="G44" s="1234"/>
      <c r="H44" s="1231"/>
      <c r="I44" s="1230"/>
      <c r="J44" s="1231"/>
      <c r="K44" s="1290"/>
      <c r="L44" s="1291"/>
      <c r="M44" s="1290"/>
      <c r="N44" s="1291"/>
      <c r="O44" s="1290"/>
      <c r="P44" s="1291"/>
      <c r="Q44" s="1230"/>
      <c r="R44" s="1231"/>
      <c r="S44" s="1230"/>
      <c r="T44" s="1231"/>
      <c r="U44" s="1228"/>
      <c r="V44" s="1229"/>
      <c r="W44" s="1230"/>
      <c r="X44" s="1231"/>
      <c r="Y44" s="1226"/>
      <c r="Z44" s="1227"/>
      <c r="AA44" s="1275"/>
      <c r="AB44" s="1275"/>
      <c r="AC44" s="1212" t="str">
        <f t="shared" si="69"/>
        <v/>
      </c>
      <c r="AD44" s="1213"/>
      <c r="AE44" s="1213"/>
      <c r="AF44" s="1213"/>
      <c r="AG44" s="492" t="str">
        <f t="shared" si="70"/>
        <v/>
      </c>
      <c r="AH44" s="466" t="str">
        <f t="shared" si="71"/>
        <v/>
      </c>
      <c r="AI44" s="466" t="str">
        <f t="shared" si="72"/>
        <v/>
      </c>
      <c r="AJ44" s="466" t="str">
        <f t="shared" si="73"/>
        <v/>
      </c>
      <c r="AK44" s="492" t="str">
        <f t="shared" si="74"/>
        <v>○</v>
      </c>
      <c r="AL44" s="492" t="str">
        <f t="shared" si="75"/>
        <v/>
      </c>
      <c r="AM44" s="492" t="str">
        <f t="shared" si="76"/>
        <v/>
      </c>
      <c r="AN44" s="492" t="str">
        <f t="shared" si="77"/>
        <v/>
      </c>
      <c r="AO44" s="492" t="str">
        <f t="shared" si="78"/>
        <v/>
      </c>
      <c r="AP44" s="492" t="str">
        <f t="shared" si="79"/>
        <v/>
      </c>
      <c r="AQ44" s="492" t="str">
        <f t="shared" si="80"/>
        <v/>
      </c>
      <c r="AR44" s="492" t="str">
        <f t="shared" si="81"/>
        <v/>
      </c>
      <c r="AS44" s="492" t="str">
        <f t="shared" si="82"/>
        <v/>
      </c>
      <c r="AT44" s="492" t="str">
        <f t="shared" si="83"/>
        <v/>
      </c>
      <c r="AU44" s="492" t="str">
        <f t="shared" si="84"/>
        <v/>
      </c>
      <c r="AV44" s="492" t="str">
        <f t="shared" si="85"/>
        <v/>
      </c>
      <c r="AW44" s="492" t="str">
        <f t="shared" si="86"/>
        <v/>
      </c>
      <c r="AX44" s="492" t="str">
        <f t="shared" si="87"/>
        <v/>
      </c>
      <c r="AY44" s="492" t="str">
        <f t="shared" si="88"/>
        <v/>
      </c>
      <c r="AZ44" s="492" t="str">
        <f t="shared" si="89"/>
        <v/>
      </c>
      <c r="BA44" s="492" t="str">
        <f t="shared" si="90"/>
        <v/>
      </c>
      <c r="BB44" s="492" t="str">
        <f t="shared" si="91"/>
        <v/>
      </c>
      <c r="BC44" s="492" t="str">
        <f t="shared" si="92"/>
        <v/>
      </c>
      <c r="BD44" s="492" t="str">
        <f t="shared" si="93"/>
        <v/>
      </c>
      <c r="BE44" s="492" t="str">
        <f t="shared" si="94"/>
        <v/>
      </c>
      <c r="BF44" s="492" t="str">
        <f t="shared" si="95"/>
        <v/>
      </c>
      <c r="BG44" s="492" t="str">
        <f t="shared" si="96"/>
        <v/>
      </c>
      <c r="BH44" s="492" t="str">
        <f t="shared" si="97"/>
        <v/>
      </c>
      <c r="BI44" s="492" t="str">
        <f t="shared" si="98"/>
        <v/>
      </c>
      <c r="BJ44" s="492" t="str">
        <f t="shared" si="99"/>
        <v/>
      </c>
      <c r="BK44" s="492" t="str">
        <f t="shared" si="100"/>
        <v/>
      </c>
      <c r="BL44" s="492" t="str">
        <f t="shared" si="101"/>
        <v/>
      </c>
      <c r="BM44" s="492" t="str">
        <f t="shared" si="102"/>
        <v/>
      </c>
      <c r="BN44" s="492" t="str">
        <f t="shared" si="103"/>
        <v/>
      </c>
      <c r="BO44" s="492" t="str">
        <f t="shared" si="104"/>
        <v/>
      </c>
      <c r="BP44" s="492" t="str">
        <f t="shared" si="105"/>
        <v/>
      </c>
      <c r="BQ44" s="492" t="str">
        <f t="shared" si="106"/>
        <v/>
      </c>
      <c r="BR44" s="492" t="str">
        <f t="shared" si="107"/>
        <v/>
      </c>
      <c r="BS44" s="492" t="str">
        <f t="shared" si="108"/>
        <v/>
      </c>
      <c r="BT44" s="492" t="str">
        <f t="shared" si="109"/>
        <v/>
      </c>
      <c r="BU44" s="492" t="str">
        <f t="shared" si="110"/>
        <v/>
      </c>
      <c r="BV44" s="492" t="str">
        <f t="shared" si="111"/>
        <v/>
      </c>
      <c r="BW44" s="492" t="str">
        <f t="shared" si="112"/>
        <v/>
      </c>
      <c r="BX44" s="492" t="str">
        <f t="shared" si="113"/>
        <v/>
      </c>
      <c r="BY44" s="492" t="str">
        <f t="shared" si="114"/>
        <v/>
      </c>
      <c r="BZ44" s="492" t="str">
        <f t="shared" si="115"/>
        <v/>
      </c>
      <c r="CA44" s="492" t="str">
        <f t="shared" si="116"/>
        <v/>
      </c>
      <c r="CB44" s="492" t="str">
        <f t="shared" si="117"/>
        <v/>
      </c>
      <c r="CC44" s="492" t="str">
        <f t="shared" si="118"/>
        <v/>
      </c>
      <c r="CD44" s="492" t="str">
        <f t="shared" si="119"/>
        <v/>
      </c>
      <c r="CE44" s="492" t="str">
        <f t="shared" si="120"/>
        <v/>
      </c>
      <c r="CF44" s="492" t="str">
        <f t="shared" si="121"/>
        <v/>
      </c>
      <c r="CG44" s="492" t="str">
        <f t="shared" si="122"/>
        <v/>
      </c>
      <c r="CH44" s="492" t="str">
        <f t="shared" si="123"/>
        <v/>
      </c>
      <c r="CI44" s="492" t="str">
        <f t="shared" si="124"/>
        <v/>
      </c>
      <c r="CJ44" s="492" t="str">
        <f t="shared" si="125"/>
        <v/>
      </c>
      <c r="CK44" s="492" t="str">
        <f t="shared" si="126"/>
        <v/>
      </c>
      <c r="CL44" s="492" t="str">
        <f t="shared" si="127"/>
        <v/>
      </c>
      <c r="CM44" s="492" t="str">
        <f t="shared" si="128"/>
        <v/>
      </c>
      <c r="CN44" s="492" t="str">
        <f t="shared" si="129"/>
        <v/>
      </c>
      <c r="CO44" s="492" t="str">
        <f t="shared" si="130"/>
        <v/>
      </c>
      <c r="CP44" s="492" t="str">
        <f t="shared" si="131"/>
        <v/>
      </c>
      <c r="CQ44" s="492" t="str">
        <f t="shared" si="132"/>
        <v/>
      </c>
      <c r="CR44" s="492" t="str">
        <f t="shared" si="133"/>
        <v/>
      </c>
      <c r="CS44" s="492" t="str">
        <f t="shared" si="134"/>
        <v/>
      </c>
      <c r="CT44" s="492" t="str">
        <f t="shared" si="135"/>
        <v/>
      </c>
      <c r="CU44" s="492" t="str">
        <f t="shared" si="136"/>
        <v/>
      </c>
      <c r="CV44" s="492" t="str">
        <f t="shared" si="137"/>
        <v/>
      </c>
      <c r="CW44" s="495">
        <v>1</v>
      </c>
      <c r="CX44" s="496"/>
      <c r="CY44" s="496"/>
      <c r="CZ44" s="496"/>
      <c r="DA44" s="496"/>
      <c r="DB44" s="496"/>
    </row>
    <row r="45" spans="1:106" ht="13.5" customHeight="1">
      <c r="A45" s="1232">
        <v>35</v>
      </c>
      <c r="B45" s="1233"/>
      <c r="C45" s="1230"/>
      <c r="D45" s="1234"/>
      <c r="E45" s="1231"/>
      <c r="F45" s="1230"/>
      <c r="G45" s="1234"/>
      <c r="H45" s="1231"/>
      <c r="I45" s="1230"/>
      <c r="J45" s="1231"/>
      <c r="K45" s="1290"/>
      <c r="L45" s="1291"/>
      <c r="M45" s="1290"/>
      <c r="N45" s="1291"/>
      <c r="O45" s="1290"/>
      <c r="P45" s="1291"/>
      <c r="Q45" s="1230"/>
      <c r="R45" s="1231"/>
      <c r="S45" s="1230"/>
      <c r="T45" s="1231"/>
      <c r="U45" s="1228"/>
      <c r="V45" s="1229"/>
      <c r="W45" s="1230"/>
      <c r="X45" s="1231"/>
      <c r="Y45" s="1226"/>
      <c r="Z45" s="1227"/>
      <c r="AA45" s="1275"/>
      <c r="AB45" s="1275"/>
      <c r="AC45" s="1212" t="str">
        <f t="shared" si="69"/>
        <v/>
      </c>
      <c r="AD45" s="1213"/>
      <c r="AE45" s="1213"/>
      <c r="AF45" s="1213"/>
      <c r="AG45" s="492" t="str">
        <f t="shared" si="70"/>
        <v/>
      </c>
      <c r="AH45" s="466" t="str">
        <f t="shared" si="71"/>
        <v/>
      </c>
      <c r="AI45" s="466" t="str">
        <f t="shared" si="72"/>
        <v/>
      </c>
      <c r="AJ45" s="466" t="str">
        <f t="shared" si="73"/>
        <v/>
      </c>
      <c r="AK45" s="492" t="str">
        <f t="shared" si="74"/>
        <v>○</v>
      </c>
      <c r="AL45" s="492" t="str">
        <f t="shared" si="75"/>
        <v/>
      </c>
      <c r="AM45" s="492" t="str">
        <f t="shared" si="76"/>
        <v/>
      </c>
      <c r="AN45" s="492" t="str">
        <f t="shared" si="77"/>
        <v/>
      </c>
      <c r="AO45" s="492" t="str">
        <f t="shared" si="78"/>
        <v/>
      </c>
      <c r="AP45" s="492" t="str">
        <f t="shared" si="79"/>
        <v/>
      </c>
      <c r="AQ45" s="492" t="str">
        <f t="shared" si="80"/>
        <v/>
      </c>
      <c r="AR45" s="492" t="str">
        <f t="shared" si="81"/>
        <v/>
      </c>
      <c r="AS45" s="492" t="str">
        <f t="shared" si="82"/>
        <v/>
      </c>
      <c r="AT45" s="492" t="str">
        <f t="shared" si="83"/>
        <v/>
      </c>
      <c r="AU45" s="492" t="str">
        <f t="shared" si="84"/>
        <v/>
      </c>
      <c r="AV45" s="492" t="str">
        <f t="shared" si="85"/>
        <v/>
      </c>
      <c r="AW45" s="492" t="str">
        <f t="shared" si="86"/>
        <v/>
      </c>
      <c r="AX45" s="492" t="str">
        <f t="shared" si="87"/>
        <v/>
      </c>
      <c r="AY45" s="492" t="str">
        <f t="shared" si="88"/>
        <v/>
      </c>
      <c r="AZ45" s="492" t="str">
        <f t="shared" si="89"/>
        <v/>
      </c>
      <c r="BA45" s="492" t="str">
        <f t="shared" si="90"/>
        <v/>
      </c>
      <c r="BB45" s="492" t="str">
        <f t="shared" si="91"/>
        <v/>
      </c>
      <c r="BC45" s="492" t="str">
        <f t="shared" si="92"/>
        <v/>
      </c>
      <c r="BD45" s="492" t="str">
        <f t="shared" si="93"/>
        <v/>
      </c>
      <c r="BE45" s="492" t="str">
        <f t="shared" si="94"/>
        <v/>
      </c>
      <c r="BF45" s="492" t="str">
        <f t="shared" si="95"/>
        <v/>
      </c>
      <c r="BG45" s="492" t="str">
        <f t="shared" si="96"/>
        <v/>
      </c>
      <c r="BH45" s="492" t="str">
        <f t="shared" si="97"/>
        <v/>
      </c>
      <c r="BI45" s="492" t="str">
        <f t="shared" si="98"/>
        <v/>
      </c>
      <c r="BJ45" s="492" t="str">
        <f t="shared" si="99"/>
        <v/>
      </c>
      <c r="BK45" s="492" t="str">
        <f t="shared" si="100"/>
        <v/>
      </c>
      <c r="BL45" s="492" t="str">
        <f t="shared" si="101"/>
        <v/>
      </c>
      <c r="BM45" s="492" t="str">
        <f t="shared" si="102"/>
        <v/>
      </c>
      <c r="BN45" s="492" t="str">
        <f t="shared" si="103"/>
        <v/>
      </c>
      <c r="BO45" s="492" t="str">
        <f t="shared" si="104"/>
        <v/>
      </c>
      <c r="BP45" s="492" t="str">
        <f t="shared" si="105"/>
        <v/>
      </c>
      <c r="BQ45" s="492" t="str">
        <f t="shared" si="106"/>
        <v/>
      </c>
      <c r="BR45" s="492" t="str">
        <f t="shared" si="107"/>
        <v/>
      </c>
      <c r="BS45" s="492" t="str">
        <f t="shared" si="108"/>
        <v/>
      </c>
      <c r="BT45" s="492" t="str">
        <f t="shared" si="109"/>
        <v/>
      </c>
      <c r="BU45" s="492" t="str">
        <f t="shared" si="110"/>
        <v/>
      </c>
      <c r="BV45" s="492" t="str">
        <f t="shared" si="111"/>
        <v/>
      </c>
      <c r="BW45" s="492" t="str">
        <f t="shared" si="112"/>
        <v/>
      </c>
      <c r="BX45" s="492" t="str">
        <f t="shared" si="113"/>
        <v/>
      </c>
      <c r="BY45" s="492" t="str">
        <f t="shared" si="114"/>
        <v/>
      </c>
      <c r="BZ45" s="492" t="str">
        <f t="shared" si="115"/>
        <v/>
      </c>
      <c r="CA45" s="492" t="str">
        <f t="shared" si="116"/>
        <v/>
      </c>
      <c r="CB45" s="492" t="str">
        <f t="shared" si="117"/>
        <v/>
      </c>
      <c r="CC45" s="492" t="str">
        <f t="shared" si="118"/>
        <v/>
      </c>
      <c r="CD45" s="492" t="str">
        <f t="shared" si="119"/>
        <v/>
      </c>
      <c r="CE45" s="492" t="str">
        <f t="shared" si="120"/>
        <v/>
      </c>
      <c r="CF45" s="492" t="str">
        <f t="shared" si="121"/>
        <v/>
      </c>
      <c r="CG45" s="492" t="str">
        <f t="shared" si="122"/>
        <v/>
      </c>
      <c r="CH45" s="492" t="str">
        <f t="shared" si="123"/>
        <v/>
      </c>
      <c r="CI45" s="492" t="str">
        <f t="shared" si="124"/>
        <v/>
      </c>
      <c r="CJ45" s="492" t="str">
        <f t="shared" si="125"/>
        <v/>
      </c>
      <c r="CK45" s="492" t="str">
        <f t="shared" si="126"/>
        <v/>
      </c>
      <c r="CL45" s="492" t="str">
        <f t="shared" si="127"/>
        <v/>
      </c>
      <c r="CM45" s="492" t="str">
        <f t="shared" si="128"/>
        <v/>
      </c>
      <c r="CN45" s="492" t="str">
        <f t="shared" si="129"/>
        <v/>
      </c>
      <c r="CO45" s="492" t="str">
        <f t="shared" si="130"/>
        <v/>
      </c>
      <c r="CP45" s="492" t="str">
        <f t="shared" si="131"/>
        <v/>
      </c>
      <c r="CQ45" s="492" t="str">
        <f t="shared" si="132"/>
        <v/>
      </c>
      <c r="CR45" s="492" t="str">
        <f t="shared" si="133"/>
        <v/>
      </c>
      <c r="CS45" s="492" t="str">
        <f t="shared" si="134"/>
        <v/>
      </c>
      <c r="CT45" s="492" t="str">
        <f t="shared" si="135"/>
        <v/>
      </c>
      <c r="CU45" s="492" t="str">
        <f t="shared" si="136"/>
        <v/>
      </c>
      <c r="CV45" s="492" t="str">
        <f t="shared" si="137"/>
        <v/>
      </c>
      <c r="CW45" s="495">
        <v>1</v>
      </c>
      <c r="CX45" s="496"/>
      <c r="CY45" s="496"/>
      <c r="CZ45" s="496"/>
      <c r="DA45" s="496"/>
      <c r="DB45" s="496"/>
    </row>
    <row r="46" spans="1:106" ht="13.5" customHeight="1">
      <c r="A46" s="1232">
        <v>36</v>
      </c>
      <c r="B46" s="1233"/>
      <c r="C46" s="1230"/>
      <c r="D46" s="1234"/>
      <c r="E46" s="1231"/>
      <c r="F46" s="1230"/>
      <c r="G46" s="1234"/>
      <c r="H46" s="1231"/>
      <c r="I46" s="1230"/>
      <c r="J46" s="1231"/>
      <c r="K46" s="1290"/>
      <c r="L46" s="1291"/>
      <c r="M46" s="1290"/>
      <c r="N46" s="1291"/>
      <c r="O46" s="1290"/>
      <c r="P46" s="1291"/>
      <c r="Q46" s="1230"/>
      <c r="R46" s="1231"/>
      <c r="S46" s="1230"/>
      <c r="T46" s="1231"/>
      <c r="U46" s="1228"/>
      <c r="V46" s="1229"/>
      <c r="W46" s="1230"/>
      <c r="X46" s="1231"/>
      <c r="Y46" s="1226"/>
      <c r="Z46" s="1227"/>
      <c r="AA46" s="1275"/>
      <c r="AB46" s="1275"/>
      <c r="AC46" s="1212" t="str">
        <f t="shared" si="69"/>
        <v/>
      </c>
      <c r="AD46" s="1213"/>
      <c r="AE46" s="1213"/>
      <c r="AF46" s="1213"/>
      <c r="AG46" s="492" t="str">
        <f t="shared" si="70"/>
        <v/>
      </c>
      <c r="AH46" s="466" t="str">
        <f t="shared" si="71"/>
        <v/>
      </c>
      <c r="AI46" s="466" t="str">
        <f t="shared" si="72"/>
        <v/>
      </c>
      <c r="AJ46" s="466" t="str">
        <f t="shared" si="73"/>
        <v/>
      </c>
      <c r="AK46" s="492" t="str">
        <f t="shared" si="74"/>
        <v>○</v>
      </c>
      <c r="AL46" s="492" t="str">
        <f t="shared" si="75"/>
        <v/>
      </c>
      <c r="AM46" s="492" t="str">
        <f t="shared" si="76"/>
        <v/>
      </c>
      <c r="AN46" s="492" t="str">
        <f t="shared" si="77"/>
        <v/>
      </c>
      <c r="AO46" s="492" t="str">
        <f t="shared" si="78"/>
        <v/>
      </c>
      <c r="AP46" s="492" t="str">
        <f t="shared" si="79"/>
        <v/>
      </c>
      <c r="AQ46" s="492" t="str">
        <f t="shared" si="80"/>
        <v/>
      </c>
      <c r="AR46" s="492" t="str">
        <f t="shared" si="81"/>
        <v/>
      </c>
      <c r="AS46" s="492" t="str">
        <f t="shared" si="82"/>
        <v/>
      </c>
      <c r="AT46" s="492" t="str">
        <f t="shared" si="83"/>
        <v/>
      </c>
      <c r="AU46" s="492" t="str">
        <f t="shared" si="84"/>
        <v/>
      </c>
      <c r="AV46" s="492" t="str">
        <f t="shared" si="85"/>
        <v/>
      </c>
      <c r="AW46" s="492" t="str">
        <f t="shared" si="86"/>
        <v/>
      </c>
      <c r="AX46" s="492" t="str">
        <f t="shared" si="87"/>
        <v/>
      </c>
      <c r="AY46" s="492" t="str">
        <f t="shared" si="88"/>
        <v/>
      </c>
      <c r="AZ46" s="492" t="str">
        <f t="shared" si="89"/>
        <v/>
      </c>
      <c r="BA46" s="492" t="str">
        <f t="shared" si="90"/>
        <v/>
      </c>
      <c r="BB46" s="492" t="str">
        <f t="shared" si="91"/>
        <v/>
      </c>
      <c r="BC46" s="492" t="str">
        <f t="shared" si="92"/>
        <v/>
      </c>
      <c r="BD46" s="492" t="str">
        <f t="shared" si="93"/>
        <v/>
      </c>
      <c r="BE46" s="492" t="str">
        <f t="shared" si="94"/>
        <v/>
      </c>
      <c r="BF46" s="492" t="str">
        <f t="shared" si="95"/>
        <v/>
      </c>
      <c r="BG46" s="492" t="str">
        <f t="shared" si="96"/>
        <v/>
      </c>
      <c r="BH46" s="492" t="str">
        <f t="shared" si="97"/>
        <v/>
      </c>
      <c r="BI46" s="492" t="str">
        <f t="shared" si="98"/>
        <v/>
      </c>
      <c r="BJ46" s="492" t="str">
        <f t="shared" si="99"/>
        <v/>
      </c>
      <c r="BK46" s="492" t="str">
        <f t="shared" si="100"/>
        <v/>
      </c>
      <c r="BL46" s="492" t="str">
        <f t="shared" si="101"/>
        <v/>
      </c>
      <c r="BM46" s="492" t="str">
        <f t="shared" si="102"/>
        <v/>
      </c>
      <c r="BN46" s="492" t="str">
        <f t="shared" si="103"/>
        <v/>
      </c>
      <c r="BO46" s="492" t="str">
        <f t="shared" si="104"/>
        <v/>
      </c>
      <c r="BP46" s="492" t="str">
        <f t="shared" si="105"/>
        <v/>
      </c>
      <c r="BQ46" s="492" t="str">
        <f t="shared" si="106"/>
        <v/>
      </c>
      <c r="BR46" s="492" t="str">
        <f t="shared" si="107"/>
        <v/>
      </c>
      <c r="BS46" s="492" t="str">
        <f t="shared" si="108"/>
        <v/>
      </c>
      <c r="BT46" s="492" t="str">
        <f t="shared" si="109"/>
        <v/>
      </c>
      <c r="BU46" s="492" t="str">
        <f t="shared" si="110"/>
        <v/>
      </c>
      <c r="BV46" s="492" t="str">
        <f t="shared" si="111"/>
        <v/>
      </c>
      <c r="BW46" s="492" t="str">
        <f t="shared" si="112"/>
        <v/>
      </c>
      <c r="BX46" s="492" t="str">
        <f t="shared" si="113"/>
        <v/>
      </c>
      <c r="BY46" s="492" t="str">
        <f t="shared" si="114"/>
        <v/>
      </c>
      <c r="BZ46" s="492" t="str">
        <f t="shared" si="115"/>
        <v/>
      </c>
      <c r="CA46" s="492" t="str">
        <f t="shared" si="116"/>
        <v/>
      </c>
      <c r="CB46" s="492" t="str">
        <f t="shared" si="117"/>
        <v/>
      </c>
      <c r="CC46" s="492" t="str">
        <f t="shared" si="118"/>
        <v/>
      </c>
      <c r="CD46" s="492" t="str">
        <f t="shared" si="119"/>
        <v/>
      </c>
      <c r="CE46" s="492" t="str">
        <f t="shared" si="120"/>
        <v/>
      </c>
      <c r="CF46" s="492" t="str">
        <f t="shared" si="121"/>
        <v/>
      </c>
      <c r="CG46" s="492" t="str">
        <f t="shared" si="122"/>
        <v/>
      </c>
      <c r="CH46" s="492" t="str">
        <f t="shared" si="123"/>
        <v/>
      </c>
      <c r="CI46" s="492" t="str">
        <f t="shared" si="124"/>
        <v/>
      </c>
      <c r="CJ46" s="492" t="str">
        <f t="shared" si="125"/>
        <v/>
      </c>
      <c r="CK46" s="492" t="str">
        <f t="shared" si="126"/>
        <v/>
      </c>
      <c r="CL46" s="492" t="str">
        <f t="shared" si="127"/>
        <v/>
      </c>
      <c r="CM46" s="492" t="str">
        <f t="shared" si="128"/>
        <v/>
      </c>
      <c r="CN46" s="492" t="str">
        <f t="shared" si="129"/>
        <v/>
      </c>
      <c r="CO46" s="492" t="str">
        <f t="shared" si="130"/>
        <v/>
      </c>
      <c r="CP46" s="492" t="str">
        <f t="shared" si="131"/>
        <v/>
      </c>
      <c r="CQ46" s="492" t="str">
        <f t="shared" si="132"/>
        <v/>
      </c>
      <c r="CR46" s="492" t="str">
        <f t="shared" si="133"/>
        <v/>
      </c>
      <c r="CS46" s="492" t="str">
        <f t="shared" si="134"/>
        <v/>
      </c>
      <c r="CT46" s="492" t="str">
        <f t="shared" si="135"/>
        <v/>
      </c>
      <c r="CU46" s="492" t="str">
        <f t="shared" si="136"/>
        <v/>
      </c>
      <c r="CV46" s="492" t="str">
        <f t="shared" si="137"/>
        <v/>
      </c>
      <c r="CW46" s="495">
        <v>1</v>
      </c>
      <c r="CX46" s="496"/>
      <c r="CY46" s="496"/>
      <c r="CZ46" s="496"/>
      <c r="DA46" s="496"/>
      <c r="DB46" s="496"/>
    </row>
    <row r="47" spans="1:106" ht="13.5" customHeight="1">
      <c r="A47" s="1232">
        <v>37</v>
      </c>
      <c r="B47" s="1233"/>
      <c r="C47" s="1230"/>
      <c r="D47" s="1234"/>
      <c r="E47" s="1231"/>
      <c r="F47" s="1230"/>
      <c r="G47" s="1234"/>
      <c r="H47" s="1231"/>
      <c r="I47" s="1230"/>
      <c r="J47" s="1231"/>
      <c r="K47" s="1290"/>
      <c r="L47" s="1291"/>
      <c r="M47" s="1290"/>
      <c r="N47" s="1291"/>
      <c r="O47" s="1290"/>
      <c r="P47" s="1291"/>
      <c r="Q47" s="1230"/>
      <c r="R47" s="1231"/>
      <c r="S47" s="1230"/>
      <c r="T47" s="1231"/>
      <c r="U47" s="1228"/>
      <c r="V47" s="1229"/>
      <c r="W47" s="1230"/>
      <c r="X47" s="1231"/>
      <c r="Y47" s="1226"/>
      <c r="Z47" s="1227"/>
      <c r="AA47" s="1275"/>
      <c r="AB47" s="1275"/>
      <c r="AC47" s="1212" t="str">
        <f t="shared" si="69"/>
        <v/>
      </c>
      <c r="AD47" s="1213"/>
      <c r="AE47" s="1213"/>
      <c r="AF47" s="1213"/>
      <c r="AG47" s="492" t="str">
        <f t="shared" si="70"/>
        <v/>
      </c>
      <c r="AH47" s="466" t="str">
        <f t="shared" si="71"/>
        <v/>
      </c>
      <c r="AI47" s="466" t="str">
        <f t="shared" si="72"/>
        <v/>
      </c>
      <c r="AJ47" s="466" t="str">
        <f t="shared" si="73"/>
        <v/>
      </c>
      <c r="AK47" s="492" t="str">
        <f t="shared" si="74"/>
        <v>○</v>
      </c>
      <c r="AL47" s="492" t="str">
        <f t="shared" si="75"/>
        <v/>
      </c>
      <c r="AM47" s="492" t="str">
        <f t="shared" si="76"/>
        <v/>
      </c>
      <c r="AN47" s="492" t="str">
        <f t="shared" si="77"/>
        <v/>
      </c>
      <c r="AO47" s="492" t="str">
        <f t="shared" si="78"/>
        <v/>
      </c>
      <c r="AP47" s="492" t="str">
        <f t="shared" si="79"/>
        <v/>
      </c>
      <c r="AQ47" s="492" t="str">
        <f t="shared" si="80"/>
        <v/>
      </c>
      <c r="AR47" s="492" t="str">
        <f t="shared" si="81"/>
        <v/>
      </c>
      <c r="AS47" s="492" t="str">
        <f t="shared" si="82"/>
        <v/>
      </c>
      <c r="AT47" s="492" t="str">
        <f t="shared" si="83"/>
        <v/>
      </c>
      <c r="AU47" s="492" t="str">
        <f t="shared" si="84"/>
        <v/>
      </c>
      <c r="AV47" s="492" t="str">
        <f t="shared" si="85"/>
        <v/>
      </c>
      <c r="AW47" s="492" t="str">
        <f t="shared" si="86"/>
        <v/>
      </c>
      <c r="AX47" s="492" t="str">
        <f t="shared" si="87"/>
        <v/>
      </c>
      <c r="AY47" s="492" t="str">
        <f t="shared" si="88"/>
        <v/>
      </c>
      <c r="AZ47" s="492" t="str">
        <f t="shared" si="89"/>
        <v/>
      </c>
      <c r="BA47" s="492" t="str">
        <f t="shared" si="90"/>
        <v/>
      </c>
      <c r="BB47" s="492" t="str">
        <f t="shared" si="91"/>
        <v/>
      </c>
      <c r="BC47" s="492" t="str">
        <f t="shared" si="92"/>
        <v/>
      </c>
      <c r="BD47" s="492" t="str">
        <f t="shared" si="93"/>
        <v/>
      </c>
      <c r="BE47" s="492" t="str">
        <f t="shared" si="94"/>
        <v/>
      </c>
      <c r="BF47" s="492" t="str">
        <f t="shared" si="95"/>
        <v/>
      </c>
      <c r="BG47" s="492" t="str">
        <f t="shared" si="96"/>
        <v/>
      </c>
      <c r="BH47" s="492" t="str">
        <f t="shared" si="97"/>
        <v/>
      </c>
      <c r="BI47" s="492" t="str">
        <f t="shared" si="98"/>
        <v/>
      </c>
      <c r="BJ47" s="492" t="str">
        <f t="shared" si="99"/>
        <v/>
      </c>
      <c r="BK47" s="492" t="str">
        <f t="shared" si="100"/>
        <v/>
      </c>
      <c r="BL47" s="492" t="str">
        <f t="shared" si="101"/>
        <v/>
      </c>
      <c r="BM47" s="492" t="str">
        <f t="shared" si="102"/>
        <v/>
      </c>
      <c r="BN47" s="492" t="str">
        <f t="shared" si="103"/>
        <v/>
      </c>
      <c r="BO47" s="492" t="str">
        <f t="shared" si="104"/>
        <v/>
      </c>
      <c r="BP47" s="492" t="str">
        <f t="shared" si="105"/>
        <v/>
      </c>
      <c r="BQ47" s="492" t="str">
        <f t="shared" si="106"/>
        <v/>
      </c>
      <c r="BR47" s="492" t="str">
        <f t="shared" si="107"/>
        <v/>
      </c>
      <c r="BS47" s="492" t="str">
        <f t="shared" si="108"/>
        <v/>
      </c>
      <c r="BT47" s="492" t="str">
        <f t="shared" si="109"/>
        <v/>
      </c>
      <c r="BU47" s="492" t="str">
        <f t="shared" si="110"/>
        <v/>
      </c>
      <c r="BV47" s="492" t="str">
        <f t="shared" si="111"/>
        <v/>
      </c>
      <c r="BW47" s="492" t="str">
        <f t="shared" si="112"/>
        <v/>
      </c>
      <c r="BX47" s="492" t="str">
        <f t="shared" si="113"/>
        <v/>
      </c>
      <c r="BY47" s="492" t="str">
        <f t="shared" si="114"/>
        <v/>
      </c>
      <c r="BZ47" s="492" t="str">
        <f t="shared" si="115"/>
        <v/>
      </c>
      <c r="CA47" s="492" t="str">
        <f t="shared" si="116"/>
        <v/>
      </c>
      <c r="CB47" s="492" t="str">
        <f t="shared" si="117"/>
        <v/>
      </c>
      <c r="CC47" s="492" t="str">
        <f t="shared" si="118"/>
        <v/>
      </c>
      <c r="CD47" s="492" t="str">
        <f t="shared" si="119"/>
        <v/>
      </c>
      <c r="CE47" s="492" t="str">
        <f t="shared" si="120"/>
        <v/>
      </c>
      <c r="CF47" s="492" t="str">
        <f t="shared" si="121"/>
        <v/>
      </c>
      <c r="CG47" s="492" t="str">
        <f t="shared" si="122"/>
        <v/>
      </c>
      <c r="CH47" s="492" t="str">
        <f t="shared" si="123"/>
        <v/>
      </c>
      <c r="CI47" s="492" t="str">
        <f t="shared" si="124"/>
        <v/>
      </c>
      <c r="CJ47" s="492" t="str">
        <f t="shared" si="125"/>
        <v/>
      </c>
      <c r="CK47" s="492" t="str">
        <f t="shared" si="126"/>
        <v/>
      </c>
      <c r="CL47" s="492" t="str">
        <f t="shared" si="127"/>
        <v/>
      </c>
      <c r="CM47" s="492" t="str">
        <f t="shared" si="128"/>
        <v/>
      </c>
      <c r="CN47" s="492" t="str">
        <f t="shared" si="129"/>
        <v/>
      </c>
      <c r="CO47" s="492" t="str">
        <f t="shared" si="130"/>
        <v/>
      </c>
      <c r="CP47" s="492" t="str">
        <f t="shared" si="131"/>
        <v/>
      </c>
      <c r="CQ47" s="492" t="str">
        <f t="shared" si="132"/>
        <v/>
      </c>
      <c r="CR47" s="492" t="str">
        <f t="shared" si="133"/>
        <v/>
      </c>
      <c r="CS47" s="492" t="str">
        <f t="shared" si="134"/>
        <v/>
      </c>
      <c r="CT47" s="492" t="str">
        <f t="shared" si="135"/>
        <v/>
      </c>
      <c r="CU47" s="492" t="str">
        <f t="shared" si="136"/>
        <v/>
      </c>
      <c r="CV47" s="492" t="str">
        <f t="shared" si="137"/>
        <v/>
      </c>
      <c r="CW47" s="495">
        <v>1</v>
      </c>
      <c r="CX47" s="496"/>
      <c r="CY47" s="496"/>
      <c r="CZ47" s="496"/>
      <c r="DA47" s="496"/>
      <c r="DB47" s="496"/>
    </row>
    <row r="48" spans="1:106" ht="13.5" customHeight="1">
      <c r="A48" s="1232">
        <v>38</v>
      </c>
      <c r="B48" s="1233"/>
      <c r="C48" s="1230"/>
      <c r="D48" s="1234"/>
      <c r="E48" s="1231"/>
      <c r="F48" s="1230"/>
      <c r="G48" s="1234"/>
      <c r="H48" s="1231"/>
      <c r="I48" s="1230"/>
      <c r="J48" s="1231"/>
      <c r="K48" s="1290"/>
      <c r="L48" s="1291"/>
      <c r="M48" s="1290"/>
      <c r="N48" s="1291"/>
      <c r="O48" s="1290"/>
      <c r="P48" s="1291"/>
      <c r="Q48" s="1230"/>
      <c r="R48" s="1231"/>
      <c r="S48" s="1230"/>
      <c r="T48" s="1231"/>
      <c r="U48" s="1228"/>
      <c r="V48" s="1229"/>
      <c r="W48" s="1230"/>
      <c r="X48" s="1231"/>
      <c r="Y48" s="1226"/>
      <c r="Z48" s="1227"/>
      <c r="AA48" s="1275"/>
      <c r="AB48" s="1275"/>
      <c r="AC48" s="1212" t="str">
        <f t="shared" si="69"/>
        <v/>
      </c>
      <c r="AD48" s="1213"/>
      <c r="AE48" s="1213"/>
      <c r="AF48" s="1213"/>
      <c r="AG48" s="492" t="str">
        <f t="shared" si="70"/>
        <v/>
      </c>
      <c r="AH48" s="466" t="str">
        <f t="shared" si="71"/>
        <v/>
      </c>
      <c r="AI48" s="466" t="str">
        <f t="shared" si="72"/>
        <v/>
      </c>
      <c r="AJ48" s="466" t="str">
        <f t="shared" si="73"/>
        <v/>
      </c>
      <c r="AK48" s="492" t="str">
        <f t="shared" si="74"/>
        <v>○</v>
      </c>
      <c r="AL48" s="492" t="str">
        <f t="shared" si="75"/>
        <v/>
      </c>
      <c r="AM48" s="492" t="str">
        <f t="shared" si="76"/>
        <v/>
      </c>
      <c r="AN48" s="492" t="str">
        <f t="shared" si="77"/>
        <v/>
      </c>
      <c r="AO48" s="492" t="str">
        <f t="shared" si="78"/>
        <v/>
      </c>
      <c r="AP48" s="492" t="str">
        <f t="shared" si="79"/>
        <v/>
      </c>
      <c r="AQ48" s="492" t="str">
        <f t="shared" si="80"/>
        <v/>
      </c>
      <c r="AR48" s="492" t="str">
        <f t="shared" si="81"/>
        <v/>
      </c>
      <c r="AS48" s="492" t="str">
        <f t="shared" si="82"/>
        <v/>
      </c>
      <c r="AT48" s="492" t="str">
        <f t="shared" si="83"/>
        <v/>
      </c>
      <c r="AU48" s="492" t="str">
        <f t="shared" si="84"/>
        <v/>
      </c>
      <c r="AV48" s="492" t="str">
        <f t="shared" si="85"/>
        <v/>
      </c>
      <c r="AW48" s="492" t="str">
        <f t="shared" si="86"/>
        <v/>
      </c>
      <c r="AX48" s="492" t="str">
        <f t="shared" si="87"/>
        <v/>
      </c>
      <c r="AY48" s="492" t="str">
        <f t="shared" si="88"/>
        <v/>
      </c>
      <c r="AZ48" s="492" t="str">
        <f t="shared" si="89"/>
        <v/>
      </c>
      <c r="BA48" s="492" t="str">
        <f t="shared" si="90"/>
        <v/>
      </c>
      <c r="BB48" s="492" t="str">
        <f t="shared" si="91"/>
        <v/>
      </c>
      <c r="BC48" s="492" t="str">
        <f t="shared" si="92"/>
        <v/>
      </c>
      <c r="BD48" s="492" t="str">
        <f t="shared" si="93"/>
        <v/>
      </c>
      <c r="BE48" s="492" t="str">
        <f t="shared" si="94"/>
        <v/>
      </c>
      <c r="BF48" s="492" t="str">
        <f t="shared" si="95"/>
        <v/>
      </c>
      <c r="BG48" s="492" t="str">
        <f t="shared" si="96"/>
        <v/>
      </c>
      <c r="BH48" s="492" t="str">
        <f t="shared" si="97"/>
        <v/>
      </c>
      <c r="BI48" s="492" t="str">
        <f t="shared" si="98"/>
        <v/>
      </c>
      <c r="BJ48" s="492" t="str">
        <f t="shared" si="99"/>
        <v/>
      </c>
      <c r="BK48" s="492" t="str">
        <f t="shared" si="100"/>
        <v/>
      </c>
      <c r="BL48" s="492" t="str">
        <f t="shared" si="101"/>
        <v/>
      </c>
      <c r="BM48" s="492" t="str">
        <f t="shared" si="102"/>
        <v/>
      </c>
      <c r="BN48" s="492" t="str">
        <f t="shared" si="103"/>
        <v/>
      </c>
      <c r="BO48" s="492" t="str">
        <f t="shared" si="104"/>
        <v/>
      </c>
      <c r="BP48" s="492" t="str">
        <f t="shared" si="105"/>
        <v/>
      </c>
      <c r="BQ48" s="492" t="str">
        <f t="shared" si="106"/>
        <v/>
      </c>
      <c r="BR48" s="492" t="str">
        <f t="shared" si="107"/>
        <v/>
      </c>
      <c r="BS48" s="492" t="str">
        <f t="shared" si="108"/>
        <v/>
      </c>
      <c r="BT48" s="492" t="str">
        <f t="shared" si="109"/>
        <v/>
      </c>
      <c r="BU48" s="492" t="str">
        <f t="shared" si="110"/>
        <v/>
      </c>
      <c r="BV48" s="492" t="str">
        <f t="shared" si="111"/>
        <v/>
      </c>
      <c r="BW48" s="492" t="str">
        <f t="shared" si="112"/>
        <v/>
      </c>
      <c r="BX48" s="492" t="str">
        <f t="shared" si="113"/>
        <v/>
      </c>
      <c r="BY48" s="492" t="str">
        <f t="shared" si="114"/>
        <v/>
      </c>
      <c r="BZ48" s="492" t="str">
        <f t="shared" si="115"/>
        <v/>
      </c>
      <c r="CA48" s="492" t="str">
        <f t="shared" si="116"/>
        <v/>
      </c>
      <c r="CB48" s="492" t="str">
        <f t="shared" si="117"/>
        <v/>
      </c>
      <c r="CC48" s="492" t="str">
        <f t="shared" si="118"/>
        <v/>
      </c>
      <c r="CD48" s="492" t="str">
        <f t="shared" si="119"/>
        <v/>
      </c>
      <c r="CE48" s="492" t="str">
        <f t="shared" si="120"/>
        <v/>
      </c>
      <c r="CF48" s="492" t="str">
        <f t="shared" si="121"/>
        <v/>
      </c>
      <c r="CG48" s="492" t="str">
        <f t="shared" si="122"/>
        <v/>
      </c>
      <c r="CH48" s="492" t="str">
        <f t="shared" si="123"/>
        <v/>
      </c>
      <c r="CI48" s="492" t="str">
        <f t="shared" si="124"/>
        <v/>
      </c>
      <c r="CJ48" s="492" t="str">
        <f t="shared" si="125"/>
        <v/>
      </c>
      <c r="CK48" s="492" t="str">
        <f t="shared" si="126"/>
        <v/>
      </c>
      <c r="CL48" s="492" t="str">
        <f t="shared" si="127"/>
        <v/>
      </c>
      <c r="CM48" s="492" t="str">
        <f t="shared" si="128"/>
        <v/>
      </c>
      <c r="CN48" s="492" t="str">
        <f t="shared" si="129"/>
        <v/>
      </c>
      <c r="CO48" s="492" t="str">
        <f t="shared" si="130"/>
        <v/>
      </c>
      <c r="CP48" s="492" t="str">
        <f t="shared" si="131"/>
        <v/>
      </c>
      <c r="CQ48" s="492" t="str">
        <f t="shared" si="132"/>
        <v/>
      </c>
      <c r="CR48" s="492" t="str">
        <f t="shared" si="133"/>
        <v/>
      </c>
      <c r="CS48" s="492" t="str">
        <f t="shared" si="134"/>
        <v/>
      </c>
      <c r="CT48" s="492" t="str">
        <f t="shared" si="135"/>
        <v/>
      </c>
      <c r="CU48" s="492" t="str">
        <f t="shared" si="136"/>
        <v/>
      </c>
      <c r="CV48" s="492" t="str">
        <f t="shared" si="137"/>
        <v/>
      </c>
      <c r="CW48" s="495">
        <v>1</v>
      </c>
      <c r="CX48" s="496"/>
      <c r="CY48" s="496"/>
      <c r="CZ48" s="496"/>
      <c r="DA48" s="496"/>
      <c r="DB48" s="496"/>
    </row>
    <row r="49" spans="1:106" ht="13.5" customHeight="1">
      <c r="A49" s="1232">
        <v>39</v>
      </c>
      <c r="B49" s="1233"/>
      <c r="C49" s="1230"/>
      <c r="D49" s="1234"/>
      <c r="E49" s="1231"/>
      <c r="F49" s="1230"/>
      <c r="G49" s="1234"/>
      <c r="H49" s="1231"/>
      <c r="I49" s="1230"/>
      <c r="J49" s="1231"/>
      <c r="K49" s="1290"/>
      <c r="L49" s="1291"/>
      <c r="M49" s="1290"/>
      <c r="N49" s="1291"/>
      <c r="O49" s="1290"/>
      <c r="P49" s="1291"/>
      <c r="Q49" s="1230"/>
      <c r="R49" s="1231"/>
      <c r="S49" s="1230"/>
      <c r="T49" s="1231"/>
      <c r="U49" s="1228"/>
      <c r="V49" s="1229"/>
      <c r="W49" s="1230"/>
      <c r="X49" s="1231"/>
      <c r="Y49" s="1226"/>
      <c r="Z49" s="1227"/>
      <c r="AA49" s="1275"/>
      <c r="AB49" s="1275"/>
      <c r="AC49" s="1212" t="str">
        <f t="shared" si="69"/>
        <v/>
      </c>
      <c r="AD49" s="1213"/>
      <c r="AE49" s="1213"/>
      <c r="AF49" s="1213"/>
      <c r="AG49" s="492" t="str">
        <f t="shared" si="70"/>
        <v/>
      </c>
      <c r="AH49" s="466" t="str">
        <f t="shared" si="71"/>
        <v/>
      </c>
      <c r="AI49" s="466" t="str">
        <f t="shared" si="72"/>
        <v/>
      </c>
      <c r="AJ49" s="466" t="str">
        <f t="shared" si="73"/>
        <v/>
      </c>
      <c r="AK49" s="492" t="str">
        <f t="shared" si="74"/>
        <v>○</v>
      </c>
      <c r="AL49" s="492" t="str">
        <f t="shared" si="75"/>
        <v/>
      </c>
      <c r="AM49" s="492" t="str">
        <f t="shared" si="76"/>
        <v/>
      </c>
      <c r="AN49" s="492" t="str">
        <f t="shared" si="77"/>
        <v/>
      </c>
      <c r="AO49" s="492" t="str">
        <f t="shared" si="78"/>
        <v/>
      </c>
      <c r="AP49" s="492" t="str">
        <f t="shared" si="79"/>
        <v/>
      </c>
      <c r="AQ49" s="492" t="str">
        <f t="shared" si="80"/>
        <v/>
      </c>
      <c r="AR49" s="492" t="str">
        <f t="shared" si="81"/>
        <v/>
      </c>
      <c r="AS49" s="492" t="str">
        <f t="shared" si="82"/>
        <v/>
      </c>
      <c r="AT49" s="492" t="str">
        <f t="shared" si="83"/>
        <v/>
      </c>
      <c r="AU49" s="492" t="str">
        <f t="shared" si="84"/>
        <v/>
      </c>
      <c r="AV49" s="492" t="str">
        <f t="shared" si="85"/>
        <v/>
      </c>
      <c r="AW49" s="492" t="str">
        <f t="shared" si="86"/>
        <v/>
      </c>
      <c r="AX49" s="492" t="str">
        <f t="shared" si="87"/>
        <v/>
      </c>
      <c r="AY49" s="492" t="str">
        <f t="shared" si="88"/>
        <v/>
      </c>
      <c r="AZ49" s="492" t="str">
        <f t="shared" si="89"/>
        <v/>
      </c>
      <c r="BA49" s="492" t="str">
        <f t="shared" si="90"/>
        <v/>
      </c>
      <c r="BB49" s="492" t="str">
        <f t="shared" si="91"/>
        <v/>
      </c>
      <c r="BC49" s="492" t="str">
        <f t="shared" si="92"/>
        <v/>
      </c>
      <c r="BD49" s="492" t="str">
        <f t="shared" si="93"/>
        <v/>
      </c>
      <c r="BE49" s="492" t="str">
        <f t="shared" si="94"/>
        <v/>
      </c>
      <c r="BF49" s="492" t="str">
        <f t="shared" si="95"/>
        <v/>
      </c>
      <c r="BG49" s="492" t="str">
        <f t="shared" si="96"/>
        <v/>
      </c>
      <c r="BH49" s="492" t="str">
        <f t="shared" si="97"/>
        <v/>
      </c>
      <c r="BI49" s="492" t="str">
        <f t="shared" si="98"/>
        <v/>
      </c>
      <c r="BJ49" s="492" t="str">
        <f t="shared" si="99"/>
        <v/>
      </c>
      <c r="BK49" s="492" t="str">
        <f t="shared" si="100"/>
        <v/>
      </c>
      <c r="BL49" s="492" t="str">
        <f t="shared" si="101"/>
        <v/>
      </c>
      <c r="BM49" s="492" t="str">
        <f t="shared" si="102"/>
        <v/>
      </c>
      <c r="BN49" s="492" t="str">
        <f t="shared" si="103"/>
        <v/>
      </c>
      <c r="BO49" s="492" t="str">
        <f t="shared" si="104"/>
        <v/>
      </c>
      <c r="BP49" s="492" t="str">
        <f t="shared" si="105"/>
        <v/>
      </c>
      <c r="BQ49" s="492" t="str">
        <f t="shared" si="106"/>
        <v/>
      </c>
      <c r="BR49" s="492" t="str">
        <f t="shared" si="107"/>
        <v/>
      </c>
      <c r="BS49" s="492" t="str">
        <f t="shared" si="108"/>
        <v/>
      </c>
      <c r="BT49" s="492" t="str">
        <f t="shared" si="109"/>
        <v/>
      </c>
      <c r="BU49" s="492" t="str">
        <f t="shared" si="110"/>
        <v/>
      </c>
      <c r="BV49" s="492" t="str">
        <f t="shared" si="111"/>
        <v/>
      </c>
      <c r="BW49" s="492" t="str">
        <f t="shared" si="112"/>
        <v/>
      </c>
      <c r="BX49" s="492" t="str">
        <f t="shared" si="113"/>
        <v/>
      </c>
      <c r="BY49" s="492" t="str">
        <f t="shared" si="114"/>
        <v/>
      </c>
      <c r="BZ49" s="492" t="str">
        <f t="shared" si="115"/>
        <v/>
      </c>
      <c r="CA49" s="492" t="str">
        <f t="shared" si="116"/>
        <v/>
      </c>
      <c r="CB49" s="492" t="str">
        <f t="shared" si="117"/>
        <v/>
      </c>
      <c r="CC49" s="492" t="str">
        <f t="shared" si="118"/>
        <v/>
      </c>
      <c r="CD49" s="492" t="str">
        <f t="shared" si="119"/>
        <v/>
      </c>
      <c r="CE49" s="492" t="str">
        <f t="shared" si="120"/>
        <v/>
      </c>
      <c r="CF49" s="492" t="str">
        <f t="shared" si="121"/>
        <v/>
      </c>
      <c r="CG49" s="492" t="str">
        <f t="shared" si="122"/>
        <v/>
      </c>
      <c r="CH49" s="492" t="str">
        <f t="shared" si="123"/>
        <v/>
      </c>
      <c r="CI49" s="492" t="str">
        <f t="shared" si="124"/>
        <v/>
      </c>
      <c r="CJ49" s="492" t="str">
        <f t="shared" si="125"/>
        <v/>
      </c>
      <c r="CK49" s="492" t="str">
        <f t="shared" si="126"/>
        <v/>
      </c>
      <c r="CL49" s="492" t="str">
        <f t="shared" si="127"/>
        <v/>
      </c>
      <c r="CM49" s="492" t="str">
        <f t="shared" si="128"/>
        <v/>
      </c>
      <c r="CN49" s="492" t="str">
        <f t="shared" si="129"/>
        <v/>
      </c>
      <c r="CO49" s="492" t="str">
        <f t="shared" si="130"/>
        <v/>
      </c>
      <c r="CP49" s="492" t="str">
        <f t="shared" si="131"/>
        <v/>
      </c>
      <c r="CQ49" s="492" t="str">
        <f t="shared" si="132"/>
        <v/>
      </c>
      <c r="CR49" s="492" t="str">
        <f t="shared" si="133"/>
        <v/>
      </c>
      <c r="CS49" s="492" t="str">
        <f t="shared" si="134"/>
        <v/>
      </c>
      <c r="CT49" s="492" t="str">
        <f t="shared" si="135"/>
        <v/>
      </c>
      <c r="CU49" s="492" t="str">
        <f t="shared" si="136"/>
        <v/>
      </c>
      <c r="CV49" s="492" t="str">
        <f t="shared" si="137"/>
        <v/>
      </c>
      <c r="CW49" s="495">
        <v>1</v>
      </c>
      <c r="CX49" s="496"/>
      <c r="CY49" s="496"/>
      <c r="CZ49" s="496"/>
      <c r="DA49" s="496"/>
      <c r="DB49" s="496"/>
    </row>
    <row r="50" spans="1:106" ht="13.5" customHeight="1">
      <c r="A50" s="1232">
        <v>40</v>
      </c>
      <c r="B50" s="1233"/>
      <c r="C50" s="1230"/>
      <c r="D50" s="1234"/>
      <c r="E50" s="1231"/>
      <c r="F50" s="1230"/>
      <c r="G50" s="1234"/>
      <c r="H50" s="1231"/>
      <c r="I50" s="1230"/>
      <c r="J50" s="1231"/>
      <c r="K50" s="1290"/>
      <c r="L50" s="1291"/>
      <c r="M50" s="1290"/>
      <c r="N50" s="1291"/>
      <c r="O50" s="1290"/>
      <c r="P50" s="1291"/>
      <c r="Q50" s="1230"/>
      <c r="R50" s="1231"/>
      <c r="S50" s="1230"/>
      <c r="T50" s="1231"/>
      <c r="U50" s="1228"/>
      <c r="V50" s="1229"/>
      <c r="W50" s="1230"/>
      <c r="X50" s="1231"/>
      <c r="Y50" s="1226"/>
      <c r="Z50" s="1227"/>
      <c r="AA50" s="1275"/>
      <c r="AB50" s="1275"/>
      <c r="AC50" s="1212" t="str">
        <f t="shared" si="69"/>
        <v/>
      </c>
      <c r="AD50" s="1213"/>
      <c r="AE50" s="1213"/>
      <c r="AF50" s="1213"/>
      <c r="AG50" s="492" t="str">
        <f t="shared" si="70"/>
        <v/>
      </c>
      <c r="AH50" s="466" t="str">
        <f t="shared" si="71"/>
        <v/>
      </c>
      <c r="AI50" s="466" t="str">
        <f t="shared" si="72"/>
        <v/>
      </c>
      <c r="AJ50" s="466" t="str">
        <f t="shared" si="73"/>
        <v/>
      </c>
      <c r="AK50" s="492" t="str">
        <f t="shared" si="74"/>
        <v>○</v>
      </c>
      <c r="AL50" s="492" t="str">
        <f t="shared" si="75"/>
        <v/>
      </c>
      <c r="AM50" s="492" t="str">
        <f t="shared" si="76"/>
        <v/>
      </c>
      <c r="AN50" s="492" t="str">
        <f t="shared" si="77"/>
        <v/>
      </c>
      <c r="AO50" s="492" t="str">
        <f t="shared" si="78"/>
        <v/>
      </c>
      <c r="AP50" s="492" t="str">
        <f t="shared" si="79"/>
        <v/>
      </c>
      <c r="AQ50" s="492" t="str">
        <f t="shared" si="80"/>
        <v/>
      </c>
      <c r="AR50" s="492" t="str">
        <f t="shared" si="81"/>
        <v/>
      </c>
      <c r="AS50" s="492" t="str">
        <f t="shared" si="82"/>
        <v/>
      </c>
      <c r="AT50" s="492" t="str">
        <f t="shared" si="83"/>
        <v/>
      </c>
      <c r="AU50" s="492" t="str">
        <f t="shared" si="84"/>
        <v/>
      </c>
      <c r="AV50" s="492" t="str">
        <f t="shared" si="85"/>
        <v/>
      </c>
      <c r="AW50" s="492" t="str">
        <f t="shared" si="86"/>
        <v/>
      </c>
      <c r="AX50" s="492" t="str">
        <f t="shared" si="87"/>
        <v/>
      </c>
      <c r="AY50" s="492" t="str">
        <f t="shared" si="88"/>
        <v/>
      </c>
      <c r="AZ50" s="492" t="str">
        <f t="shared" si="89"/>
        <v/>
      </c>
      <c r="BA50" s="492" t="str">
        <f t="shared" si="90"/>
        <v/>
      </c>
      <c r="BB50" s="492" t="str">
        <f t="shared" si="91"/>
        <v/>
      </c>
      <c r="BC50" s="492" t="str">
        <f t="shared" si="92"/>
        <v/>
      </c>
      <c r="BD50" s="492" t="str">
        <f t="shared" si="93"/>
        <v/>
      </c>
      <c r="BE50" s="492" t="str">
        <f t="shared" si="94"/>
        <v/>
      </c>
      <c r="BF50" s="492" t="str">
        <f t="shared" si="95"/>
        <v/>
      </c>
      <c r="BG50" s="492" t="str">
        <f t="shared" si="96"/>
        <v/>
      </c>
      <c r="BH50" s="492" t="str">
        <f t="shared" si="97"/>
        <v/>
      </c>
      <c r="BI50" s="492" t="str">
        <f t="shared" si="98"/>
        <v/>
      </c>
      <c r="BJ50" s="492" t="str">
        <f t="shared" si="99"/>
        <v/>
      </c>
      <c r="BK50" s="492" t="str">
        <f t="shared" si="100"/>
        <v/>
      </c>
      <c r="BL50" s="492" t="str">
        <f t="shared" si="101"/>
        <v/>
      </c>
      <c r="BM50" s="492" t="str">
        <f t="shared" si="102"/>
        <v/>
      </c>
      <c r="BN50" s="492" t="str">
        <f t="shared" si="103"/>
        <v/>
      </c>
      <c r="BO50" s="492" t="str">
        <f t="shared" si="104"/>
        <v/>
      </c>
      <c r="BP50" s="492" t="str">
        <f t="shared" si="105"/>
        <v/>
      </c>
      <c r="BQ50" s="492" t="str">
        <f t="shared" si="106"/>
        <v/>
      </c>
      <c r="BR50" s="492" t="str">
        <f t="shared" si="107"/>
        <v/>
      </c>
      <c r="BS50" s="492" t="str">
        <f t="shared" si="108"/>
        <v/>
      </c>
      <c r="BT50" s="492" t="str">
        <f t="shared" si="109"/>
        <v/>
      </c>
      <c r="BU50" s="492" t="str">
        <f t="shared" si="110"/>
        <v/>
      </c>
      <c r="BV50" s="492" t="str">
        <f t="shared" si="111"/>
        <v/>
      </c>
      <c r="BW50" s="492" t="str">
        <f t="shared" si="112"/>
        <v/>
      </c>
      <c r="BX50" s="492" t="str">
        <f t="shared" si="113"/>
        <v/>
      </c>
      <c r="BY50" s="492" t="str">
        <f t="shared" si="114"/>
        <v/>
      </c>
      <c r="BZ50" s="492" t="str">
        <f t="shared" si="115"/>
        <v/>
      </c>
      <c r="CA50" s="492" t="str">
        <f t="shared" si="116"/>
        <v/>
      </c>
      <c r="CB50" s="492" t="str">
        <f t="shared" si="117"/>
        <v/>
      </c>
      <c r="CC50" s="492" t="str">
        <f t="shared" si="118"/>
        <v/>
      </c>
      <c r="CD50" s="492" t="str">
        <f t="shared" si="119"/>
        <v/>
      </c>
      <c r="CE50" s="492" t="str">
        <f t="shared" si="120"/>
        <v/>
      </c>
      <c r="CF50" s="492" t="str">
        <f t="shared" si="121"/>
        <v/>
      </c>
      <c r="CG50" s="492" t="str">
        <f t="shared" si="122"/>
        <v/>
      </c>
      <c r="CH50" s="492" t="str">
        <f t="shared" si="123"/>
        <v/>
      </c>
      <c r="CI50" s="492" t="str">
        <f t="shared" si="124"/>
        <v/>
      </c>
      <c r="CJ50" s="492" t="str">
        <f t="shared" si="125"/>
        <v/>
      </c>
      <c r="CK50" s="492" t="str">
        <f t="shared" si="126"/>
        <v/>
      </c>
      <c r="CL50" s="492" t="str">
        <f t="shared" si="127"/>
        <v/>
      </c>
      <c r="CM50" s="492" t="str">
        <f t="shared" si="128"/>
        <v/>
      </c>
      <c r="CN50" s="492" t="str">
        <f t="shared" si="129"/>
        <v/>
      </c>
      <c r="CO50" s="492" t="str">
        <f t="shared" si="130"/>
        <v/>
      </c>
      <c r="CP50" s="492" t="str">
        <f t="shared" si="131"/>
        <v/>
      </c>
      <c r="CQ50" s="492" t="str">
        <f t="shared" si="132"/>
        <v/>
      </c>
      <c r="CR50" s="492" t="str">
        <f t="shared" si="133"/>
        <v/>
      </c>
      <c r="CS50" s="492" t="str">
        <f t="shared" si="134"/>
        <v/>
      </c>
      <c r="CT50" s="492" t="str">
        <f t="shared" si="135"/>
        <v/>
      </c>
      <c r="CU50" s="492" t="str">
        <f t="shared" si="136"/>
        <v/>
      </c>
      <c r="CV50" s="492" t="str">
        <f t="shared" si="137"/>
        <v/>
      </c>
      <c r="CW50" s="495">
        <v>1</v>
      </c>
      <c r="CX50" s="496"/>
      <c r="CY50" s="496"/>
      <c r="CZ50" s="496"/>
      <c r="DA50" s="496"/>
      <c r="DB50" s="496"/>
    </row>
    <row r="51" spans="1:106" ht="13.5" customHeight="1">
      <c r="A51" s="1232">
        <v>41</v>
      </c>
      <c r="B51" s="1233"/>
      <c r="C51" s="1230"/>
      <c r="D51" s="1234"/>
      <c r="E51" s="1231"/>
      <c r="F51" s="1230"/>
      <c r="G51" s="1234"/>
      <c r="H51" s="1231"/>
      <c r="I51" s="1230"/>
      <c r="J51" s="1231"/>
      <c r="K51" s="1290"/>
      <c r="L51" s="1291"/>
      <c r="M51" s="1290"/>
      <c r="N51" s="1291"/>
      <c r="O51" s="1290"/>
      <c r="P51" s="1291"/>
      <c r="Q51" s="1230"/>
      <c r="R51" s="1231"/>
      <c r="S51" s="1230"/>
      <c r="T51" s="1231"/>
      <c r="U51" s="1228"/>
      <c r="V51" s="1229"/>
      <c r="W51" s="1230"/>
      <c r="X51" s="1231"/>
      <c r="Y51" s="1226"/>
      <c r="Z51" s="1227"/>
      <c r="AA51" s="1275"/>
      <c r="AB51" s="1275"/>
      <c r="AC51" s="1212" t="str">
        <f t="shared" si="69"/>
        <v/>
      </c>
      <c r="AD51" s="1213"/>
      <c r="AE51" s="1213"/>
      <c r="AF51" s="1213"/>
      <c r="AG51" s="492" t="str">
        <f t="shared" si="70"/>
        <v/>
      </c>
      <c r="AH51" s="466" t="str">
        <f t="shared" si="71"/>
        <v/>
      </c>
      <c r="AI51" s="466" t="str">
        <f t="shared" si="72"/>
        <v/>
      </c>
      <c r="AJ51" s="466" t="str">
        <f t="shared" si="73"/>
        <v/>
      </c>
      <c r="AK51" s="492" t="str">
        <f t="shared" si="74"/>
        <v>○</v>
      </c>
      <c r="AL51" s="492" t="str">
        <f t="shared" si="75"/>
        <v/>
      </c>
      <c r="AM51" s="492" t="str">
        <f t="shared" si="76"/>
        <v/>
      </c>
      <c r="AN51" s="492" t="str">
        <f t="shared" si="77"/>
        <v/>
      </c>
      <c r="AO51" s="492" t="str">
        <f t="shared" si="78"/>
        <v/>
      </c>
      <c r="AP51" s="492" t="str">
        <f t="shared" si="79"/>
        <v/>
      </c>
      <c r="AQ51" s="492" t="str">
        <f t="shared" si="80"/>
        <v/>
      </c>
      <c r="AR51" s="492" t="str">
        <f t="shared" si="81"/>
        <v/>
      </c>
      <c r="AS51" s="492" t="str">
        <f t="shared" si="82"/>
        <v/>
      </c>
      <c r="AT51" s="492" t="str">
        <f t="shared" si="83"/>
        <v/>
      </c>
      <c r="AU51" s="492" t="str">
        <f t="shared" si="84"/>
        <v/>
      </c>
      <c r="AV51" s="492" t="str">
        <f t="shared" si="85"/>
        <v/>
      </c>
      <c r="AW51" s="492" t="str">
        <f t="shared" si="86"/>
        <v/>
      </c>
      <c r="AX51" s="492" t="str">
        <f t="shared" si="87"/>
        <v/>
      </c>
      <c r="AY51" s="492" t="str">
        <f t="shared" si="88"/>
        <v/>
      </c>
      <c r="AZ51" s="492" t="str">
        <f t="shared" si="89"/>
        <v/>
      </c>
      <c r="BA51" s="492" t="str">
        <f t="shared" si="90"/>
        <v/>
      </c>
      <c r="BB51" s="492" t="str">
        <f t="shared" si="91"/>
        <v/>
      </c>
      <c r="BC51" s="492" t="str">
        <f t="shared" si="92"/>
        <v/>
      </c>
      <c r="BD51" s="492" t="str">
        <f t="shared" si="93"/>
        <v/>
      </c>
      <c r="BE51" s="492" t="str">
        <f t="shared" si="94"/>
        <v/>
      </c>
      <c r="BF51" s="492" t="str">
        <f t="shared" si="95"/>
        <v/>
      </c>
      <c r="BG51" s="492" t="str">
        <f t="shared" si="96"/>
        <v/>
      </c>
      <c r="BH51" s="492" t="str">
        <f t="shared" si="97"/>
        <v/>
      </c>
      <c r="BI51" s="492" t="str">
        <f t="shared" si="98"/>
        <v/>
      </c>
      <c r="BJ51" s="492" t="str">
        <f t="shared" si="99"/>
        <v/>
      </c>
      <c r="BK51" s="492" t="str">
        <f t="shared" si="100"/>
        <v/>
      </c>
      <c r="BL51" s="492" t="str">
        <f t="shared" si="101"/>
        <v/>
      </c>
      <c r="BM51" s="492" t="str">
        <f t="shared" si="102"/>
        <v/>
      </c>
      <c r="BN51" s="492" t="str">
        <f t="shared" si="103"/>
        <v/>
      </c>
      <c r="BO51" s="492" t="str">
        <f t="shared" si="104"/>
        <v/>
      </c>
      <c r="BP51" s="492" t="str">
        <f t="shared" si="105"/>
        <v/>
      </c>
      <c r="BQ51" s="492" t="str">
        <f t="shared" si="106"/>
        <v/>
      </c>
      <c r="BR51" s="492" t="str">
        <f t="shared" si="107"/>
        <v/>
      </c>
      <c r="BS51" s="492" t="str">
        <f t="shared" si="108"/>
        <v/>
      </c>
      <c r="BT51" s="492" t="str">
        <f t="shared" si="109"/>
        <v/>
      </c>
      <c r="BU51" s="492" t="str">
        <f t="shared" si="110"/>
        <v/>
      </c>
      <c r="BV51" s="492" t="str">
        <f t="shared" si="111"/>
        <v/>
      </c>
      <c r="BW51" s="492" t="str">
        <f t="shared" si="112"/>
        <v/>
      </c>
      <c r="BX51" s="492" t="str">
        <f t="shared" si="113"/>
        <v/>
      </c>
      <c r="BY51" s="492" t="str">
        <f t="shared" si="114"/>
        <v/>
      </c>
      <c r="BZ51" s="492" t="str">
        <f t="shared" si="115"/>
        <v/>
      </c>
      <c r="CA51" s="492" t="str">
        <f t="shared" si="116"/>
        <v/>
      </c>
      <c r="CB51" s="492" t="str">
        <f t="shared" si="117"/>
        <v/>
      </c>
      <c r="CC51" s="492" t="str">
        <f t="shared" si="118"/>
        <v/>
      </c>
      <c r="CD51" s="492" t="str">
        <f t="shared" si="119"/>
        <v/>
      </c>
      <c r="CE51" s="492" t="str">
        <f t="shared" si="120"/>
        <v/>
      </c>
      <c r="CF51" s="492" t="str">
        <f t="shared" si="121"/>
        <v/>
      </c>
      <c r="CG51" s="492" t="str">
        <f t="shared" si="122"/>
        <v/>
      </c>
      <c r="CH51" s="492" t="str">
        <f t="shared" si="123"/>
        <v/>
      </c>
      <c r="CI51" s="492" t="str">
        <f t="shared" si="124"/>
        <v/>
      </c>
      <c r="CJ51" s="492" t="str">
        <f t="shared" si="125"/>
        <v/>
      </c>
      <c r="CK51" s="492" t="str">
        <f t="shared" si="126"/>
        <v/>
      </c>
      <c r="CL51" s="492" t="str">
        <f t="shared" si="127"/>
        <v/>
      </c>
      <c r="CM51" s="492" t="str">
        <f t="shared" si="128"/>
        <v/>
      </c>
      <c r="CN51" s="492" t="str">
        <f t="shared" si="129"/>
        <v/>
      </c>
      <c r="CO51" s="492" t="str">
        <f t="shared" si="130"/>
        <v/>
      </c>
      <c r="CP51" s="492" t="str">
        <f t="shared" si="131"/>
        <v/>
      </c>
      <c r="CQ51" s="492" t="str">
        <f t="shared" si="132"/>
        <v/>
      </c>
      <c r="CR51" s="492" t="str">
        <f t="shared" si="133"/>
        <v/>
      </c>
      <c r="CS51" s="492" t="str">
        <f t="shared" si="134"/>
        <v/>
      </c>
      <c r="CT51" s="492" t="str">
        <f t="shared" si="135"/>
        <v/>
      </c>
      <c r="CU51" s="492" t="str">
        <f t="shared" si="136"/>
        <v/>
      </c>
      <c r="CV51" s="492" t="str">
        <f t="shared" si="137"/>
        <v/>
      </c>
      <c r="CW51" s="495">
        <v>1</v>
      </c>
      <c r="CX51" s="496"/>
      <c r="CY51" s="496"/>
      <c r="CZ51" s="496"/>
      <c r="DA51" s="496"/>
      <c r="DB51" s="496"/>
    </row>
    <row r="52" spans="1:106" ht="13.5" customHeight="1">
      <c r="A52" s="1232">
        <v>42</v>
      </c>
      <c r="B52" s="1233"/>
      <c r="C52" s="1230"/>
      <c r="D52" s="1234"/>
      <c r="E52" s="1231"/>
      <c r="F52" s="1230"/>
      <c r="G52" s="1234"/>
      <c r="H52" s="1231"/>
      <c r="I52" s="1230"/>
      <c r="J52" s="1231"/>
      <c r="K52" s="1290"/>
      <c r="L52" s="1291"/>
      <c r="M52" s="1290"/>
      <c r="N52" s="1291"/>
      <c r="O52" s="1290"/>
      <c r="P52" s="1291"/>
      <c r="Q52" s="1230"/>
      <c r="R52" s="1231"/>
      <c r="S52" s="1230"/>
      <c r="T52" s="1231"/>
      <c r="U52" s="1228"/>
      <c r="V52" s="1229"/>
      <c r="W52" s="1230"/>
      <c r="X52" s="1231"/>
      <c r="Y52" s="1226"/>
      <c r="Z52" s="1227"/>
      <c r="AA52" s="1275"/>
      <c r="AB52" s="1275"/>
      <c r="AC52" s="1212" t="str">
        <f t="shared" si="69"/>
        <v/>
      </c>
      <c r="AD52" s="1213"/>
      <c r="AE52" s="1213"/>
      <c r="AF52" s="1213"/>
      <c r="AG52" s="492" t="str">
        <f t="shared" si="70"/>
        <v/>
      </c>
      <c r="AH52" s="466" t="str">
        <f t="shared" si="71"/>
        <v/>
      </c>
      <c r="AI52" s="466" t="str">
        <f t="shared" si="72"/>
        <v/>
      </c>
      <c r="AJ52" s="466" t="str">
        <f t="shared" si="73"/>
        <v/>
      </c>
      <c r="AK52" s="492" t="str">
        <f t="shared" si="74"/>
        <v>○</v>
      </c>
      <c r="AL52" s="492" t="str">
        <f t="shared" si="75"/>
        <v/>
      </c>
      <c r="AM52" s="492" t="str">
        <f t="shared" si="76"/>
        <v/>
      </c>
      <c r="AN52" s="492" t="str">
        <f t="shared" si="77"/>
        <v/>
      </c>
      <c r="AO52" s="492" t="str">
        <f t="shared" si="78"/>
        <v/>
      </c>
      <c r="AP52" s="492" t="str">
        <f t="shared" si="79"/>
        <v/>
      </c>
      <c r="AQ52" s="492" t="str">
        <f t="shared" si="80"/>
        <v/>
      </c>
      <c r="AR52" s="492" t="str">
        <f t="shared" si="81"/>
        <v/>
      </c>
      <c r="AS52" s="492" t="str">
        <f t="shared" si="82"/>
        <v/>
      </c>
      <c r="AT52" s="492" t="str">
        <f t="shared" si="83"/>
        <v/>
      </c>
      <c r="AU52" s="492" t="str">
        <f t="shared" si="84"/>
        <v/>
      </c>
      <c r="AV52" s="492" t="str">
        <f t="shared" si="85"/>
        <v/>
      </c>
      <c r="AW52" s="492" t="str">
        <f t="shared" si="86"/>
        <v/>
      </c>
      <c r="AX52" s="492" t="str">
        <f t="shared" si="87"/>
        <v/>
      </c>
      <c r="AY52" s="492" t="str">
        <f t="shared" si="88"/>
        <v/>
      </c>
      <c r="AZ52" s="492" t="str">
        <f t="shared" si="89"/>
        <v/>
      </c>
      <c r="BA52" s="492" t="str">
        <f t="shared" si="90"/>
        <v/>
      </c>
      <c r="BB52" s="492" t="str">
        <f t="shared" si="91"/>
        <v/>
      </c>
      <c r="BC52" s="492" t="str">
        <f t="shared" si="92"/>
        <v/>
      </c>
      <c r="BD52" s="492" t="str">
        <f t="shared" si="93"/>
        <v/>
      </c>
      <c r="BE52" s="492" t="str">
        <f t="shared" si="94"/>
        <v/>
      </c>
      <c r="BF52" s="492" t="str">
        <f t="shared" si="95"/>
        <v/>
      </c>
      <c r="BG52" s="492" t="str">
        <f t="shared" si="96"/>
        <v/>
      </c>
      <c r="BH52" s="492" t="str">
        <f t="shared" si="97"/>
        <v/>
      </c>
      <c r="BI52" s="492" t="str">
        <f t="shared" si="98"/>
        <v/>
      </c>
      <c r="BJ52" s="492" t="str">
        <f t="shared" si="99"/>
        <v/>
      </c>
      <c r="BK52" s="492" t="str">
        <f t="shared" si="100"/>
        <v/>
      </c>
      <c r="BL52" s="492" t="str">
        <f t="shared" si="101"/>
        <v/>
      </c>
      <c r="BM52" s="492" t="str">
        <f t="shared" si="102"/>
        <v/>
      </c>
      <c r="BN52" s="492" t="str">
        <f t="shared" si="103"/>
        <v/>
      </c>
      <c r="BO52" s="492" t="str">
        <f t="shared" si="104"/>
        <v/>
      </c>
      <c r="BP52" s="492" t="str">
        <f t="shared" si="105"/>
        <v/>
      </c>
      <c r="BQ52" s="492" t="str">
        <f t="shared" si="106"/>
        <v/>
      </c>
      <c r="BR52" s="492" t="str">
        <f t="shared" si="107"/>
        <v/>
      </c>
      <c r="BS52" s="492" t="str">
        <f t="shared" si="108"/>
        <v/>
      </c>
      <c r="BT52" s="492" t="str">
        <f t="shared" si="109"/>
        <v/>
      </c>
      <c r="BU52" s="492" t="str">
        <f t="shared" si="110"/>
        <v/>
      </c>
      <c r="BV52" s="492" t="str">
        <f t="shared" si="111"/>
        <v/>
      </c>
      <c r="BW52" s="492" t="str">
        <f t="shared" si="112"/>
        <v/>
      </c>
      <c r="BX52" s="492" t="str">
        <f t="shared" si="113"/>
        <v/>
      </c>
      <c r="BY52" s="492" t="str">
        <f t="shared" si="114"/>
        <v/>
      </c>
      <c r="BZ52" s="492" t="str">
        <f t="shared" si="115"/>
        <v/>
      </c>
      <c r="CA52" s="492" t="str">
        <f t="shared" si="116"/>
        <v/>
      </c>
      <c r="CB52" s="492" t="str">
        <f t="shared" si="117"/>
        <v/>
      </c>
      <c r="CC52" s="492" t="str">
        <f t="shared" si="118"/>
        <v/>
      </c>
      <c r="CD52" s="492" t="str">
        <f t="shared" si="119"/>
        <v/>
      </c>
      <c r="CE52" s="492" t="str">
        <f t="shared" si="120"/>
        <v/>
      </c>
      <c r="CF52" s="492" t="str">
        <f t="shared" si="121"/>
        <v/>
      </c>
      <c r="CG52" s="492" t="str">
        <f t="shared" si="122"/>
        <v/>
      </c>
      <c r="CH52" s="492" t="str">
        <f t="shared" si="123"/>
        <v/>
      </c>
      <c r="CI52" s="492" t="str">
        <f t="shared" si="124"/>
        <v/>
      </c>
      <c r="CJ52" s="492" t="str">
        <f t="shared" si="125"/>
        <v/>
      </c>
      <c r="CK52" s="492" t="str">
        <f t="shared" si="126"/>
        <v/>
      </c>
      <c r="CL52" s="492" t="str">
        <f t="shared" si="127"/>
        <v/>
      </c>
      <c r="CM52" s="492" t="str">
        <f t="shared" si="128"/>
        <v/>
      </c>
      <c r="CN52" s="492" t="str">
        <f t="shared" si="129"/>
        <v/>
      </c>
      <c r="CO52" s="492" t="str">
        <f t="shared" si="130"/>
        <v/>
      </c>
      <c r="CP52" s="492" t="str">
        <f t="shared" si="131"/>
        <v/>
      </c>
      <c r="CQ52" s="492" t="str">
        <f t="shared" si="132"/>
        <v/>
      </c>
      <c r="CR52" s="492" t="str">
        <f t="shared" si="133"/>
        <v/>
      </c>
      <c r="CS52" s="492" t="str">
        <f t="shared" si="134"/>
        <v/>
      </c>
      <c r="CT52" s="492" t="str">
        <f t="shared" si="135"/>
        <v/>
      </c>
      <c r="CU52" s="492" t="str">
        <f t="shared" si="136"/>
        <v/>
      </c>
      <c r="CV52" s="492" t="str">
        <f t="shared" si="137"/>
        <v/>
      </c>
      <c r="CW52" s="495">
        <v>1</v>
      </c>
      <c r="CX52" s="496"/>
      <c r="CY52" s="496"/>
      <c r="CZ52" s="496"/>
      <c r="DA52" s="496"/>
      <c r="DB52" s="496"/>
    </row>
    <row r="53" spans="1:106" ht="13.5" customHeight="1">
      <c r="A53" s="1232">
        <v>43</v>
      </c>
      <c r="B53" s="1233"/>
      <c r="C53" s="1230"/>
      <c r="D53" s="1234"/>
      <c r="E53" s="1231"/>
      <c r="F53" s="1230"/>
      <c r="G53" s="1234"/>
      <c r="H53" s="1231"/>
      <c r="I53" s="1230"/>
      <c r="J53" s="1231"/>
      <c r="K53" s="1290"/>
      <c r="L53" s="1291"/>
      <c r="M53" s="1290"/>
      <c r="N53" s="1291"/>
      <c r="O53" s="1290"/>
      <c r="P53" s="1291"/>
      <c r="Q53" s="1230"/>
      <c r="R53" s="1231"/>
      <c r="S53" s="1230"/>
      <c r="T53" s="1231"/>
      <c r="U53" s="1228"/>
      <c r="V53" s="1229"/>
      <c r="W53" s="1230"/>
      <c r="X53" s="1231"/>
      <c r="Y53" s="1226"/>
      <c r="Z53" s="1227"/>
      <c r="AA53" s="1275"/>
      <c r="AB53" s="1275"/>
      <c r="AC53" s="1212" t="str">
        <f t="shared" si="69"/>
        <v/>
      </c>
      <c r="AD53" s="1213"/>
      <c r="AE53" s="1213"/>
      <c r="AF53" s="1213"/>
      <c r="AG53" s="492" t="str">
        <f t="shared" si="70"/>
        <v/>
      </c>
      <c r="AH53" s="466" t="str">
        <f t="shared" si="71"/>
        <v/>
      </c>
      <c r="AI53" s="466" t="str">
        <f t="shared" si="72"/>
        <v/>
      </c>
      <c r="AJ53" s="466" t="str">
        <f t="shared" si="73"/>
        <v/>
      </c>
      <c r="AK53" s="492" t="str">
        <f t="shared" si="74"/>
        <v>○</v>
      </c>
      <c r="AL53" s="492" t="str">
        <f t="shared" si="75"/>
        <v/>
      </c>
      <c r="AM53" s="492" t="str">
        <f t="shared" si="76"/>
        <v/>
      </c>
      <c r="AN53" s="492" t="str">
        <f t="shared" si="77"/>
        <v/>
      </c>
      <c r="AO53" s="492" t="str">
        <f t="shared" si="78"/>
        <v/>
      </c>
      <c r="AP53" s="492" t="str">
        <f t="shared" si="79"/>
        <v/>
      </c>
      <c r="AQ53" s="492" t="str">
        <f t="shared" si="80"/>
        <v/>
      </c>
      <c r="AR53" s="492" t="str">
        <f t="shared" si="81"/>
        <v/>
      </c>
      <c r="AS53" s="492" t="str">
        <f t="shared" si="82"/>
        <v/>
      </c>
      <c r="AT53" s="492" t="str">
        <f t="shared" si="83"/>
        <v/>
      </c>
      <c r="AU53" s="492" t="str">
        <f t="shared" si="84"/>
        <v/>
      </c>
      <c r="AV53" s="492" t="str">
        <f t="shared" si="85"/>
        <v/>
      </c>
      <c r="AW53" s="492" t="str">
        <f t="shared" si="86"/>
        <v/>
      </c>
      <c r="AX53" s="492" t="str">
        <f t="shared" si="87"/>
        <v/>
      </c>
      <c r="AY53" s="492" t="str">
        <f t="shared" si="88"/>
        <v/>
      </c>
      <c r="AZ53" s="492" t="str">
        <f t="shared" si="89"/>
        <v/>
      </c>
      <c r="BA53" s="492" t="str">
        <f t="shared" si="90"/>
        <v/>
      </c>
      <c r="BB53" s="492" t="str">
        <f t="shared" si="91"/>
        <v/>
      </c>
      <c r="BC53" s="492" t="str">
        <f t="shared" si="92"/>
        <v/>
      </c>
      <c r="BD53" s="492" t="str">
        <f t="shared" si="93"/>
        <v/>
      </c>
      <c r="BE53" s="492" t="str">
        <f t="shared" si="94"/>
        <v/>
      </c>
      <c r="BF53" s="492" t="str">
        <f t="shared" si="95"/>
        <v/>
      </c>
      <c r="BG53" s="492" t="str">
        <f t="shared" si="96"/>
        <v/>
      </c>
      <c r="BH53" s="492" t="str">
        <f t="shared" si="97"/>
        <v/>
      </c>
      <c r="BI53" s="492" t="str">
        <f t="shared" si="98"/>
        <v/>
      </c>
      <c r="BJ53" s="492" t="str">
        <f t="shared" si="99"/>
        <v/>
      </c>
      <c r="BK53" s="492" t="str">
        <f t="shared" si="100"/>
        <v/>
      </c>
      <c r="BL53" s="492" t="str">
        <f t="shared" si="101"/>
        <v/>
      </c>
      <c r="BM53" s="492" t="str">
        <f t="shared" si="102"/>
        <v/>
      </c>
      <c r="BN53" s="492" t="str">
        <f t="shared" si="103"/>
        <v/>
      </c>
      <c r="BO53" s="492" t="str">
        <f t="shared" si="104"/>
        <v/>
      </c>
      <c r="BP53" s="492" t="str">
        <f t="shared" si="105"/>
        <v/>
      </c>
      <c r="BQ53" s="492" t="str">
        <f t="shared" si="106"/>
        <v/>
      </c>
      <c r="BR53" s="492" t="str">
        <f t="shared" si="107"/>
        <v/>
      </c>
      <c r="BS53" s="492" t="str">
        <f t="shared" si="108"/>
        <v/>
      </c>
      <c r="BT53" s="492" t="str">
        <f t="shared" si="109"/>
        <v/>
      </c>
      <c r="BU53" s="492" t="str">
        <f t="shared" si="110"/>
        <v/>
      </c>
      <c r="BV53" s="492" t="str">
        <f t="shared" si="111"/>
        <v/>
      </c>
      <c r="BW53" s="492" t="str">
        <f t="shared" si="112"/>
        <v/>
      </c>
      <c r="BX53" s="492" t="str">
        <f t="shared" si="113"/>
        <v/>
      </c>
      <c r="BY53" s="492" t="str">
        <f t="shared" si="114"/>
        <v/>
      </c>
      <c r="BZ53" s="492" t="str">
        <f t="shared" si="115"/>
        <v/>
      </c>
      <c r="CA53" s="492" t="str">
        <f t="shared" si="116"/>
        <v/>
      </c>
      <c r="CB53" s="492" t="str">
        <f t="shared" si="117"/>
        <v/>
      </c>
      <c r="CC53" s="492" t="str">
        <f t="shared" si="118"/>
        <v/>
      </c>
      <c r="CD53" s="492" t="str">
        <f t="shared" si="119"/>
        <v/>
      </c>
      <c r="CE53" s="492" t="str">
        <f t="shared" si="120"/>
        <v/>
      </c>
      <c r="CF53" s="492" t="str">
        <f t="shared" si="121"/>
        <v/>
      </c>
      <c r="CG53" s="492" t="str">
        <f t="shared" si="122"/>
        <v/>
      </c>
      <c r="CH53" s="492" t="str">
        <f t="shared" si="123"/>
        <v/>
      </c>
      <c r="CI53" s="492" t="str">
        <f t="shared" si="124"/>
        <v/>
      </c>
      <c r="CJ53" s="492" t="str">
        <f t="shared" si="125"/>
        <v/>
      </c>
      <c r="CK53" s="492" t="str">
        <f t="shared" si="126"/>
        <v/>
      </c>
      <c r="CL53" s="492" t="str">
        <f t="shared" si="127"/>
        <v/>
      </c>
      <c r="CM53" s="492" t="str">
        <f t="shared" si="128"/>
        <v/>
      </c>
      <c r="CN53" s="492" t="str">
        <f t="shared" si="129"/>
        <v/>
      </c>
      <c r="CO53" s="492" t="str">
        <f t="shared" si="130"/>
        <v/>
      </c>
      <c r="CP53" s="492" t="str">
        <f t="shared" si="131"/>
        <v/>
      </c>
      <c r="CQ53" s="492" t="str">
        <f t="shared" si="132"/>
        <v/>
      </c>
      <c r="CR53" s="492" t="str">
        <f t="shared" si="133"/>
        <v/>
      </c>
      <c r="CS53" s="492" t="str">
        <f t="shared" si="134"/>
        <v/>
      </c>
      <c r="CT53" s="492" t="str">
        <f t="shared" si="135"/>
        <v/>
      </c>
      <c r="CU53" s="492" t="str">
        <f t="shared" si="136"/>
        <v/>
      </c>
      <c r="CV53" s="492" t="str">
        <f t="shared" si="137"/>
        <v/>
      </c>
      <c r="CW53" s="495">
        <v>1</v>
      </c>
      <c r="CX53" s="496"/>
      <c r="CY53" s="496"/>
      <c r="CZ53" s="496"/>
      <c r="DA53" s="496"/>
      <c r="DB53" s="496"/>
    </row>
    <row r="54" spans="1:106" ht="13.5" customHeight="1">
      <c r="A54" s="1232">
        <v>44</v>
      </c>
      <c r="B54" s="1233"/>
      <c r="C54" s="1230"/>
      <c r="D54" s="1234"/>
      <c r="E54" s="1231"/>
      <c r="F54" s="1230"/>
      <c r="G54" s="1234"/>
      <c r="H54" s="1231"/>
      <c r="I54" s="1230"/>
      <c r="J54" s="1231"/>
      <c r="K54" s="1290"/>
      <c r="L54" s="1291"/>
      <c r="M54" s="1290"/>
      <c r="N54" s="1291"/>
      <c r="O54" s="1290"/>
      <c r="P54" s="1291"/>
      <c r="Q54" s="1230"/>
      <c r="R54" s="1231"/>
      <c r="S54" s="1230"/>
      <c r="T54" s="1231"/>
      <c r="U54" s="1228"/>
      <c r="V54" s="1229"/>
      <c r="W54" s="1230"/>
      <c r="X54" s="1231"/>
      <c r="Y54" s="1226"/>
      <c r="Z54" s="1227"/>
      <c r="AA54" s="1275"/>
      <c r="AB54" s="1275"/>
      <c r="AC54" s="1212" t="str">
        <f t="shared" si="69"/>
        <v/>
      </c>
      <c r="AD54" s="1213"/>
      <c r="AE54" s="1213"/>
      <c r="AF54" s="1213"/>
      <c r="AG54" s="492" t="str">
        <f t="shared" si="70"/>
        <v/>
      </c>
      <c r="AH54" s="466" t="str">
        <f t="shared" si="71"/>
        <v/>
      </c>
      <c r="AI54" s="466" t="str">
        <f t="shared" si="72"/>
        <v/>
      </c>
      <c r="AJ54" s="466" t="str">
        <f t="shared" si="73"/>
        <v/>
      </c>
      <c r="AK54" s="492" t="str">
        <f t="shared" si="74"/>
        <v>○</v>
      </c>
      <c r="AL54" s="492" t="str">
        <f t="shared" si="75"/>
        <v/>
      </c>
      <c r="AM54" s="492" t="str">
        <f t="shared" si="76"/>
        <v/>
      </c>
      <c r="AN54" s="492" t="str">
        <f t="shared" si="77"/>
        <v/>
      </c>
      <c r="AO54" s="492" t="str">
        <f t="shared" si="78"/>
        <v/>
      </c>
      <c r="AP54" s="492" t="str">
        <f t="shared" si="79"/>
        <v/>
      </c>
      <c r="AQ54" s="492" t="str">
        <f t="shared" si="80"/>
        <v/>
      </c>
      <c r="AR54" s="492" t="str">
        <f t="shared" si="81"/>
        <v/>
      </c>
      <c r="AS54" s="492" t="str">
        <f t="shared" si="82"/>
        <v/>
      </c>
      <c r="AT54" s="492" t="str">
        <f t="shared" si="83"/>
        <v/>
      </c>
      <c r="AU54" s="492" t="str">
        <f t="shared" si="84"/>
        <v/>
      </c>
      <c r="AV54" s="492" t="str">
        <f t="shared" si="85"/>
        <v/>
      </c>
      <c r="AW54" s="492" t="str">
        <f t="shared" si="86"/>
        <v/>
      </c>
      <c r="AX54" s="492" t="str">
        <f t="shared" si="87"/>
        <v/>
      </c>
      <c r="AY54" s="492" t="str">
        <f t="shared" si="88"/>
        <v/>
      </c>
      <c r="AZ54" s="492" t="str">
        <f t="shared" si="89"/>
        <v/>
      </c>
      <c r="BA54" s="492" t="str">
        <f t="shared" si="90"/>
        <v/>
      </c>
      <c r="BB54" s="492" t="str">
        <f t="shared" si="91"/>
        <v/>
      </c>
      <c r="BC54" s="492" t="str">
        <f t="shared" si="92"/>
        <v/>
      </c>
      <c r="BD54" s="492" t="str">
        <f t="shared" si="93"/>
        <v/>
      </c>
      <c r="BE54" s="492" t="str">
        <f t="shared" si="94"/>
        <v/>
      </c>
      <c r="BF54" s="492" t="str">
        <f t="shared" si="95"/>
        <v/>
      </c>
      <c r="BG54" s="492" t="str">
        <f t="shared" si="96"/>
        <v/>
      </c>
      <c r="BH54" s="492" t="str">
        <f t="shared" si="97"/>
        <v/>
      </c>
      <c r="BI54" s="492" t="str">
        <f t="shared" si="98"/>
        <v/>
      </c>
      <c r="BJ54" s="492" t="str">
        <f t="shared" si="99"/>
        <v/>
      </c>
      <c r="BK54" s="492" t="str">
        <f t="shared" si="100"/>
        <v/>
      </c>
      <c r="BL54" s="492" t="str">
        <f t="shared" si="101"/>
        <v/>
      </c>
      <c r="BM54" s="492" t="str">
        <f t="shared" si="102"/>
        <v/>
      </c>
      <c r="BN54" s="492" t="str">
        <f t="shared" si="103"/>
        <v/>
      </c>
      <c r="BO54" s="492" t="str">
        <f t="shared" si="104"/>
        <v/>
      </c>
      <c r="BP54" s="492" t="str">
        <f t="shared" si="105"/>
        <v/>
      </c>
      <c r="BQ54" s="492" t="str">
        <f t="shared" si="106"/>
        <v/>
      </c>
      <c r="BR54" s="492" t="str">
        <f t="shared" si="107"/>
        <v/>
      </c>
      <c r="BS54" s="492" t="str">
        <f t="shared" si="108"/>
        <v/>
      </c>
      <c r="BT54" s="492" t="str">
        <f t="shared" si="109"/>
        <v/>
      </c>
      <c r="BU54" s="492" t="str">
        <f t="shared" si="110"/>
        <v/>
      </c>
      <c r="BV54" s="492" t="str">
        <f t="shared" si="111"/>
        <v/>
      </c>
      <c r="BW54" s="492" t="str">
        <f t="shared" si="112"/>
        <v/>
      </c>
      <c r="BX54" s="492" t="str">
        <f t="shared" si="113"/>
        <v/>
      </c>
      <c r="BY54" s="492" t="str">
        <f t="shared" si="114"/>
        <v/>
      </c>
      <c r="BZ54" s="492" t="str">
        <f t="shared" si="115"/>
        <v/>
      </c>
      <c r="CA54" s="492" t="str">
        <f t="shared" si="116"/>
        <v/>
      </c>
      <c r="CB54" s="492" t="str">
        <f t="shared" si="117"/>
        <v/>
      </c>
      <c r="CC54" s="492" t="str">
        <f t="shared" si="118"/>
        <v/>
      </c>
      <c r="CD54" s="492" t="str">
        <f t="shared" si="119"/>
        <v/>
      </c>
      <c r="CE54" s="492" t="str">
        <f t="shared" si="120"/>
        <v/>
      </c>
      <c r="CF54" s="492" t="str">
        <f t="shared" si="121"/>
        <v/>
      </c>
      <c r="CG54" s="492" t="str">
        <f t="shared" si="122"/>
        <v/>
      </c>
      <c r="CH54" s="492" t="str">
        <f t="shared" si="123"/>
        <v/>
      </c>
      <c r="CI54" s="492" t="str">
        <f t="shared" si="124"/>
        <v/>
      </c>
      <c r="CJ54" s="492" t="str">
        <f t="shared" si="125"/>
        <v/>
      </c>
      <c r="CK54" s="492" t="str">
        <f t="shared" si="126"/>
        <v/>
      </c>
      <c r="CL54" s="492" t="str">
        <f t="shared" si="127"/>
        <v/>
      </c>
      <c r="CM54" s="492" t="str">
        <f t="shared" si="128"/>
        <v/>
      </c>
      <c r="CN54" s="492" t="str">
        <f t="shared" si="129"/>
        <v/>
      </c>
      <c r="CO54" s="492" t="str">
        <f t="shared" si="130"/>
        <v/>
      </c>
      <c r="CP54" s="492" t="str">
        <f t="shared" si="131"/>
        <v/>
      </c>
      <c r="CQ54" s="492" t="str">
        <f t="shared" si="132"/>
        <v/>
      </c>
      <c r="CR54" s="492" t="str">
        <f t="shared" si="133"/>
        <v/>
      </c>
      <c r="CS54" s="492" t="str">
        <f t="shared" si="134"/>
        <v/>
      </c>
      <c r="CT54" s="492" t="str">
        <f t="shared" si="135"/>
        <v/>
      </c>
      <c r="CU54" s="492" t="str">
        <f t="shared" si="136"/>
        <v/>
      </c>
      <c r="CV54" s="492" t="str">
        <f t="shared" si="137"/>
        <v/>
      </c>
      <c r="CW54" s="495">
        <v>1</v>
      </c>
      <c r="CX54" s="496"/>
      <c r="CY54" s="496"/>
      <c r="CZ54" s="496"/>
      <c r="DA54" s="496"/>
      <c r="DB54" s="496"/>
    </row>
    <row r="55" spans="1:106" ht="13.5" customHeight="1">
      <c r="A55" s="1232">
        <v>45</v>
      </c>
      <c r="B55" s="1233"/>
      <c r="C55" s="1230"/>
      <c r="D55" s="1234"/>
      <c r="E55" s="1231"/>
      <c r="F55" s="1230"/>
      <c r="G55" s="1234"/>
      <c r="H55" s="1231"/>
      <c r="I55" s="1230"/>
      <c r="J55" s="1231"/>
      <c r="K55" s="1290"/>
      <c r="L55" s="1291"/>
      <c r="M55" s="1290"/>
      <c r="N55" s="1291"/>
      <c r="O55" s="1290"/>
      <c r="P55" s="1291"/>
      <c r="Q55" s="1230"/>
      <c r="R55" s="1231"/>
      <c r="S55" s="1230"/>
      <c r="T55" s="1231"/>
      <c r="U55" s="1228"/>
      <c r="V55" s="1229"/>
      <c r="W55" s="1230"/>
      <c r="X55" s="1231"/>
      <c r="Y55" s="1226"/>
      <c r="Z55" s="1227"/>
      <c r="AA55" s="1275"/>
      <c r="AB55" s="1275"/>
      <c r="AC55" s="1212" t="str">
        <f t="shared" si="69"/>
        <v/>
      </c>
      <c r="AD55" s="1213"/>
      <c r="AE55" s="1213"/>
      <c r="AF55" s="1213"/>
      <c r="AG55" s="492" t="str">
        <f t="shared" si="70"/>
        <v/>
      </c>
      <c r="AH55" s="466" t="str">
        <f t="shared" si="71"/>
        <v/>
      </c>
      <c r="AI55" s="466" t="str">
        <f t="shared" si="72"/>
        <v/>
      </c>
      <c r="AJ55" s="466" t="str">
        <f t="shared" si="73"/>
        <v/>
      </c>
      <c r="AK55" s="492" t="str">
        <f t="shared" si="74"/>
        <v>○</v>
      </c>
      <c r="AL55" s="492" t="str">
        <f t="shared" si="75"/>
        <v/>
      </c>
      <c r="AM55" s="492" t="str">
        <f t="shared" si="76"/>
        <v/>
      </c>
      <c r="AN55" s="492" t="str">
        <f t="shared" si="77"/>
        <v/>
      </c>
      <c r="AO55" s="492" t="str">
        <f t="shared" si="78"/>
        <v/>
      </c>
      <c r="AP55" s="492" t="str">
        <f t="shared" si="79"/>
        <v/>
      </c>
      <c r="AQ55" s="492" t="str">
        <f t="shared" si="80"/>
        <v/>
      </c>
      <c r="AR55" s="492" t="str">
        <f t="shared" si="81"/>
        <v/>
      </c>
      <c r="AS55" s="492" t="str">
        <f t="shared" si="82"/>
        <v/>
      </c>
      <c r="AT55" s="492" t="str">
        <f t="shared" si="83"/>
        <v/>
      </c>
      <c r="AU55" s="492" t="str">
        <f t="shared" si="84"/>
        <v/>
      </c>
      <c r="AV55" s="492" t="str">
        <f t="shared" si="85"/>
        <v/>
      </c>
      <c r="AW55" s="492" t="str">
        <f t="shared" si="86"/>
        <v/>
      </c>
      <c r="AX55" s="492" t="str">
        <f t="shared" si="87"/>
        <v/>
      </c>
      <c r="AY55" s="492" t="str">
        <f t="shared" si="88"/>
        <v/>
      </c>
      <c r="AZ55" s="492" t="str">
        <f t="shared" si="89"/>
        <v/>
      </c>
      <c r="BA55" s="492" t="str">
        <f t="shared" si="90"/>
        <v/>
      </c>
      <c r="BB55" s="492" t="str">
        <f t="shared" si="91"/>
        <v/>
      </c>
      <c r="BC55" s="492" t="str">
        <f t="shared" si="92"/>
        <v/>
      </c>
      <c r="BD55" s="492" t="str">
        <f t="shared" si="93"/>
        <v/>
      </c>
      <c r="BE55" s="492" t="str">
        <f t="shared" si="94"/>
        <v/>
      </c>
      <c r="BF55" s="492" t="str">
        <f t="shared" si="95"/>
        <v/>
      </c>
      <c r="BG55" s="492" t="str">
        <f t="shared" si="96"/>
        <v/>
      </c>
      <c r="BH55" s="492" t="str">
        <f t="shared" si="97"/>
        <v/>
      </c>
      <c r="BI55" s="492" t="str">
        <f t="shared" si="98"/>
        <v/>
      </c>
      <c r="BJ55" s="492" t="str">
        <f t="shared" si="99"/>
        <v/>
      </c>
      <c r="BK55" s="492" t="str">
        <f t="shared" si="100"/>
        <v/>
      </c>
      <c r="BL55" s="492" t="str">
        <f t="shared" si="101"/>
        <v/>
      </c>
      <c r="BM55" s="492" t="str">
        <f t="shared" si="102"/>
        <v/>
      </c>
      <c r="BN55" s="492" t="str">
        <f t="shared" si="103"/>
        <v/>
      </c>
      <c r="BO55" s="492" t="str">
        <f t="shared" si="104"/>
        <v/>
      </c>
      <c r="BP55" s="492" t="str">
        <f t="shared" si="105"/>
        <v/>
      </c>
      <c r="BQ55" s="492" t="str">
        <f t="shared" si="106"/>
        <v/>
      </c>
      <c r="BR55" s="492" t="str">
        <f t="shared" si="107"/>
        <v/>
      </c>
      <c r="BS55" s="492" t="str">
        <f t="shared" si="108"/>
        <v/>
      </c>
      <c r="BT55" s="492" t="str">
        <f t="shared" si="109"/>
        <v/>
      </c>
      <c r="BU55" s="492" t="str">
        <f t="shared" si="110"/>
        <v/>
      </c>
      <c r="BV55" s="492" t="str">
        <f t="shared" si="111"/>
        <v/>
      </c>
      <c r="BW55" s="492" t="str">
        <f t="shared" si="112"/>
        <v/>
      </c>
      <c r="BX55" s="492" t="str">
        <f t="shared" si="113"/>
        <v/>
      </c>
      <c r="BY55" s="492" t="str">
        <f t="shared" si="114"/>
        <v/>
      </c>
      <c r="BZ55" s="492" t="str">
        <f t="shared" si="115"/>
        <v/>
      </c>
      <c r="CA55" s="492" t="str">
        <f t="shared" si="116"/>
        <v/>
      </c>
      <c r="CB55" s="492" t="str">
        <f t="shared" si="117"/>
        <v/>
      </c>
      <c r="CC55" s="492" t="str">
        <f t="shared" si="118"/>
        <v/>
      </c>
      <c r="CD55" s="492" t="str">
        <f t="shared" si="119"/>
        <v/>
      </c>
      <c r="CE55" s="492" t="str">
        <f t="shared" si="120"/>
        <v/>
      </c>
      <c r="CF55" s="492" t="str">
        <f t="shared" si="121"/>
        <v/>
      </c>
      <c r="CG55" s="492" t="str">
        <f t="shared" si="122"/>
        <v/>
      </c>
      <c r="CH55" s="492" t="str">
        <f t="shared" si="123"/>
        <v/>
      </c>
      <c r="CI55" s="492" t="str">
        <f t="shared" si="124"/>
        <v/>
      </c>
      <c r="CJ55" s="492" t="str">
        <f t="shared" si="125"/>
        <v/>
      </c>
      <c r="CK55" s="492" t="str">
        <f t="shared" si="126"/>
        <v/>
      </c>
      <c r="CL55" s="492" t="str">
        <f t="shared" si="127"/>
        <v/>
      </c>
      <c r="CM55" s="492" t="str">
        <f t="shared" si="128"/>
        <v/>
      </c>
      <c r="CN55" s="492" t="str">
        <f t="shared" si="129"/>
        <v/>
      </c>
      <c r="CO55" s="492" t="str">
        <f t="shared" si="130"/>
        <v/>
      </c>
      <c r="CP55" s="492" t="str">
        <f t="shared" si="131"/>
        <v/>
      </c>
      <c r="CQ55" s="492" t="str">
        <f t="shared" si="132"/>
        <v/>
      </c>
      <c r="CR55" s="492" t="str">
        <f t="shared" si="133"/>
        <v/>
      </c>
      <c r="CS55" s="492" t="str">
        <f t="shared" si="134"/>
        <v/>
      </c>
      <c r="CT55" s="492" t="str">
        <f t="shared" si="135"/>
        <v/>
      </c>
      <c r="CU55" s="492" t="str">
        <f t="shared" si="136"/>
        <v/>
      </c>
      <c r="CV55" s="492" t="str">
        <f t="shared" si="137"/>
        <v/>
      </c>
      <c r="CW55" s="495">
        <v>1</v>
      </c>
      <c r="CX55" s="496"/>
      <c r="CY55" s="496"/>
      <c r="CZ55" s="496"/>
      <c r="DA55" s="496"/>
      <c r="DB55" s="496"/>
    </row>
    <row r="56" spans="1:106" ht="13.5" customHeight="1">
      <c r="A56" s="1232">
        <v>46</v>
      </c>
      <c r="B56" s="1233"/>
      <c r="C56" s="1230"/>
      <c r="D56" s="1234"/>
      <c r="E56" s="1231"/>
      <c r="F56" s="1230"/>
      <c r="G56" s="1234"/>
      <c r="H56" s="1231"/>
      <c r="I56" s="1230"/>
      <c r="J56" s="1231"/>
      <c r="K56" s="1290"/>
      <c r="L56" s="1291"/>
      <c r="M56" s="1290"/>
      <c r="N56" s="1291"/>
      <c r="O56" s="1290"/>
      <c r="P56" s="1291"/>
      <c r="Q56" s="1230"/>
      <c r="R56" s="1231"/>
      <c r="S56" s="1230"/>
      <c r="T56" s="1231"/>
      <c r="U56" s="1228"/>
      <c r="V56" s="1229"/>
      <c r="W56" s="1230"/>
      <c r="X56" s="1231"/>
      <c r="Y56" s="1226"/>
      <c r="Z56" s="1227"/>
      <c r="AA56" s="1275"/>
      <c r="AB56" s="1275"/>
      <c r="AC56" s="1212" t="str">
        <f t="shared" si="69"/>
        <v/>
      </c>
      <c r="AD56" s="1213"/>
      <c r="AE56" s="1213"/>
      <c r="AF56" s="1213"/>
      <c r="AG56" s="492" t="str">
        <f t="shared" si="70"/>
        <v/>
      </c>
      <c r="AH56" s="466" t="str">
        <f t="shared" si="71"/>
        <v/>
      </c>
      <c r="AI56" s="466" t="str">
        <f t="shared" si="72"/>
        <v/>
      </c>
      <c r="AJ56" s="466" t="str">
        <f t="shared" si="73"/>
        <v/>
      </c>
      <c r="AK56" s="492" t="str">
        <f t="shared" si="74"/>
        <v>○</v>
      </c>
      <c r="AL56" s="492" t="str">
        <f t="shared" si="75"/>
        <v/>
      </c>
      <c r="AM56" s="492" t="str">
        <f t="shared" si="76"/>
        <v/>
      </c>
      <c r="AN56" s="492" t="str">
        <f t="shared" si="77"/>
        <v/>
      </c>
      <c r="AO56" s="492" t="str">
        <f t="shared" si="78"/>
        <v/>
      </c>
      <c r="AP56" s="492" t="str">
        <f t="shared" si="79"/>
        <v/>
      </c>
      <c r="AQ56" s="492" t="str">
        <f t="shared" si="80"/>
        <v/>
      </c>
      <c r="AR56" s="492" t="str">
        <f t="shared" si="81"/>
        <v/>
      </c>
      <c r="AS56" s="492" t="str">
        <f t="shared" si="82"/>
        <v/>
      </c>
      <c r="AT56" s="492" t="str">
        <f t="shared" si="83"/>
        <v/>
      </c>
      <c r="AU56" s="492" t="str">
        <f t="shared" si="84"/>
        <v/>
      </c>
      <c r="AV56" s="492" t="str">
        <f t="shared" si="85"/>
        <v/>
      </c>
      <c r="AW56" s="492" t="str">
        <f t="shared" si="86"/>
        <v/>
      </c>
      <c r="AX56" s="492" t="str">
        <f t="shared" si="87"/>
        <v/>
      </c>
      <c r="AY56" s="492" t="str">
        <f t="shared" si="88"/>
        <v/>
      </c>
      <c r="AZ56" s="492" t="str">
        <f t="shared" si="89"/>
        <v/>
      </c>
      <c r="BA56" s="492" t="str">
        <f t="shared" si="90"/>
        <v/>
      </c>
      <c r="BB56" s="492" t="str">
        <f t="shared" si="91"/>
        <v/>
      </c>
      <c r="BC56" s="492" t="str">
        <f t="shared" si="92"/>
        <v/>
      </c>
      <c r="BD56" s="492" t="str">
        <f t="shared" si="93"/>
        <v/>
      </c>
      <c r="BE56" s="492" t="str">
        <f t="shared" si="94"/>
        <v/>
      </c>
      <c r="BF56" s="492" t="str">
        <f t="shared" si="95"/>
        <v/>
      </c>
      <c r="BG56" s="492" t="str">
        <f t="shared" si="96"/>
        <v/>
      </c>
      <c r="BH56" s="492" t="str">
        <f t="shared" si="97"/>
        <v/>
      </c>
      <c r="BI56" s="492" t="str">
        <f t="shared" si="98"/>
        <v/>
      </c>
      <c r="BJ56" s="492" t="str">
        <f t="shared" si="99"/>
        <v/>
      </c>
      <c r="BK56" s="492" t="str">
        <f t="shared" si="100"/>
        <v/>
      </c>
      <c r="BL56" s="492" t="str">
        <f t="shared" si="101"/>
        <v/>
      </c>
      <c r="BM56" s="492" t="str">
        <f t="shared" si="102"/>
        <v/>
      </c>
      <c r="BN56" s="492" t="str">
        <f t="shared" si="103"/>
        <v/>
      </c>
      <c r="BO56" s="492" t="str">
        <f t="shared" si="104"/>
        <v/>
      </c>
      <c r="BP56" s="492" t="str">
        <f t="shared" si="105"/>
        <v/>
      </c>
      <c r="BQ56" s="492" t="str">
        <f t="shared" si="106"/>
        <v/>
      </c>
      <c r="BR56" s="492" t="str">
        <f t="shared" si="107"/>
        <v/>
      </c>
      <c r="BS56" s="492" t="str">
        <f t="shared" si="108"/>
        <v/>
      </c>
      <c r="BT56" s="492" t="str">
        <f t="shared" si="109"/>
        <v/>
      </c>
      <c r="BU56" s="492" t="str">
        <f t="shared" si="110"/>
        <v/>
      </c>
      <c r="BV56" s="492" t="str">
        <f t="shared" si="111"/>
        <v/>
      </c>
      <c r="BW56" s="492" t="str">
        <f t="shared" si="112"/>
        <v/>
      </c>
      <c r="BX56" s="492" t="str">
        <f t="shared" si="113"/>
        <v/>
      </c>
      <c r="BY56" s="492" t="str">
        <f t="shared" si="114"/>
        <v/>
      </c>
      <c r="BZ56" s="492" t="str">
        <f t="shared" si="115"/>
        <v/>
      </c>
      <c r="CA56" s="492" t="str">
        <f t="shared" si="116"/>
        <v/>
      </c>
      <c r="CB56" s="492" t="str">
        <f t="shared" si="117"/>
        <v/>
      </c>
      <c r="CC56" s="492" t="str">
        <f t="shared" si="118"/>
        <v/>
      </c>
      <c r="CD56" s="492" t="str">
        <f t="shared" si="119"/>
        <v/>
      </c>
      <c r="CE56" s="492" t="str">
        <f t="shared" si="120"/>
        <v/>
      </c>
      <c r="CF56" s="492" t="str">
        <f t="shared" si="121"/>
        <v/>
      </c>
      <c r="CG56" s="492" t="str">
        <f t="shared" si="122"/>
        <v/>
      </c>
      <c r="CH56" s="492" t="str">
        <f t="shared" si="123"/>
        <v/>
      </c>
      <c r="CI56" s="492" t="str">
        <f t="shared" si="124"/>
        <v/>
      </c>
      <c r="CJ56" s="492" t="str">
        <f t="shared" si="125"/>
        <v/>
      </c>
      <c r="CK56" s="492" t="str">
        <f t="shared" si="126"/>
        <v/>
      </c>
      <c r="CL56" s="492" t="str">
        <f t="shared" si="127"/>
        <v/>
      </c>
      <c r="CM56" s="492" t="str">
        <f t="shared" si="128"/>
        <v/>
      </c>
      <c r="CN56" s="492" t="str">
        <f t="shared" si="129"/>
        <v/>
      </c>
      <c r="CO56" s="492" t="str">
        <f t="shared" si="130"/>
        <v/>
      </c>
      <c r="CP56" s="492" t="str">
        <f t="shared" si="131"/>
        <v/>
      </c>
      <c r="CQ56" s="492" t="str">
        <f t="shared" si="132"/>
        <v/>
      </c>
      <c r="CR56" s="492" t="str">
        <f t="shared" si="133"/>
        <v/>
      </c>
      <c r="CS56" s="492" t="str">
        <f t="shared" si="134"/>
        <v/>
      </c>
      <c r="CT56" s="492" t="str">
        <f t="shared" si="135"/>
        <v/>
      </c>
      <c r="CU56" s="492" t="str">
        <f t="shared" si="136"/>
        <v/>
      </c>
      <c r="CV56" s="492" t="str">
        <f t="shared" si="137"/>
        <v/>
      </c>
      <c r="CW56" s="495">
        <v>1</v>
      </c>
      <c r="CX56" s="496"/>
      <c r="CY56" s="496"/>
      <c r="CZ56" s="496"/>
      <c r="DA56" s="496"/>
      <c r="DB56" s="496"/>
    </row>
    <row r="57" spans="1:106" ht="13.5" customHeight="1">
      <c r="A57" s="1232">
        <v>47</v>
      </c>
      <c r="B57" s="1233"/>
      <c r="C57" s="1230"/>
      <c r="D57" s="1234"/>
      <c r="E57" s="1231"/>
      <c r="F57" s="1230"/>
      <c r="G57" s="1234"/>
      <c r="H57" s="1231"/>
      <c r="I57" s="1230"/>
      <c r="J57" s="1231"/>
      <c r="K57" s="1290"/>
      <c r="L57" s="1291"/>
      <c r="M57" s="1290"/>
      <c r="N57" s="1291"/>
      <c r="O57" s="1290"/>
      <c r="P57" s="1291"/>
      <c r="Q57" s="1230"/>
      <c r="R57" s="1231"/>
      <c r="S57" s="1230"/>
      <c r="T57" s="1231"/>
      <c r="U57" s="1228"/>
      <c r="V57" s="1229"/>
      <c r="W57" s="1230"/>
      <c r="X57" s="1231"/>
      <c r="Y57" s="1226"/>
      <c r="Z57" s="1227"/>
      <c r="AA57" s="1275"/>
      <c r="AB57" s="1275"/>
      <c r="AC57" s="1212" t="str">
        <f t="shared" si="69"/>
        <v/>
      </c>
      <c r="AD57" s="1213"/>
      <c r="AE57" s="1213"/>
      <c r="AF57" s="1213"/>
      <c r="AG57" s="492" t="str">
        <f t="shared" si="70"/>
        <v/>
      </c>
      <c r="AH57" s="466" t="str">
        <f t="shared" si="71"/>
        <v/>
      </c>
      <c r="AI57" s="466" t="str">
        <f t="shared" si="72"/>
        <v/>
      </c>
      <c r="AJ57" s="466" t="str">
        <f t="shared" si="73"/>
        <v/>
      </c>
      <c r="AK57" s="492" t="str">
        <f t="shared" si="74"/>
        <v>○</v>
      </c>
      <c r="AL57" s="492" t="str">
        <f t="shared" si="75"/>
        <v/>
      </c>
      <c r="AM57" s="492" t="str">
        <f t="shared" si="76"/>
        <v/>
      </c>
      <c r="AN57" s="492" t="str">
        <f t="shared" si="77"/>
        <v/>
      </c>
      <c r="AO57" s="492" t="str">
        <f t="shared" si="78"/>
        <v/>
      </c>
      <c r="AP57" s="492" t="str">
        <f t="shared" si="79"/>
        <v/>
      </c>
      <c r="AQ57" s="492" t="str">
        <f t="shared" si="80"/>
        <v/>
      </c>
      <c r="AR57" s="492" t="str">
        <f t="shared" si="81"/>
        <v/>
      </c>
      <c r="AS57" s="492" t="str">
        <f t="shared" si="82"/>
        <v/>
      </c>
      <c r="AT57" s="492" t="str">
        <f t="shared" si="83"/>
        <v/>
      </c>
      <c r="AU57" s="492" t="str">
        <f t="shared" si="84"/>
        <v/>
      </c>
      <c r="AV57" s="492" t="str">
        <f t="shared" si="85"/>
        <v/>
      </c>
      <c r="AW57" s="492" t="str">
        <f t="shared" si="86"/>
        <v/>
      </c>
      <c r="AX57" s="492" t="str">
        <f t="shared" si="87"/>
        <v/>
      </c>
      <c r="AY57" s="492" t="str">
        <f t="shared" si="88"/>
        <v/>
      </c>
      <c r="AZ57" s="492" t="str">
        <f t="shared" si="89"/>
        <v/>
      </c>
      <c r="BA57" s="492" t="str">
        <f t="shared" si="90"/>
        <v/>
      </c>
      <c r="BB57" s="492" t="str">
        <f t="shared" si="91"/>
        <v/>
      </c>
      <c r="BC57" s="492" t="str">
        <f t="shared" si="92"/>
        <v/>
      </c>
      <c r="BD57" s="492" t="str">
        <f t="shared" si="93"/>
        <v/>
      </c>
      <c r="BE57" s="492" t="str">
        <f t="shared" si="94"/>
        <v/>
      </c>
      <c r="BF57" s="492" t="str">
        <f t="shared" si="95"/>
        <v/>
      </c>
      <c r="BG57" s="492" t="str">
        <f t="shared" si="96"/>
        <v/>
      </c>
      <c r="BH57" s="492" t="str">
        <f t="shared" si="97"/>
        <v/>
      </c>
      <c r="BI57" s="492" t="str">
        <f t="shared" si="98"/>
        <v/>
      </c>
      <c r="BJ57" s="492" t="str">
        <f t="shared" si="99"/>
        <v/>
      </c>
      <c r="BK57" s="492" t="str">
        <f t="shared" si="100"/>
        <v/>
      </c>
      <c r="BL57" s="492" t="str">
        <f t="shared" si="101"/>
        <v/>
      </c>
      <c r="BM57" s="492" t="str">
        <f t="shared" si="102"/>
        <v/>
      </c>
      <c r="BN57" s="492" t="str">
        <f t="shared" si="103"/>
        <v/>
      </c>
      <c r="BO57" s="492" t="str">
        <f t="shared" si="104"/>
        <v/>
      </c>
      <c r="BP57" s="492" t="str">
        <f t="shared" si="105"/>
        <v/>
      </c>
      <c r="BQ57" s="492" t="str">
        <f t="shared" si="106"/>
        <v/>
      </c>
      <c r="BR57" s="492" t="str">
        <f t="shared" si="107"/>
        <v/>
      </c>
      <c r="BS57" s="492" t="str">
        <f t="shared" si="108"/>
        <v/>
      </c>
      <c r="BT57" s="492" t="str">
        <f t="shared" si="109"/>
        <v/>
      </c>
      <c r="BU57" s="492" t="str">
        <f t="shared" si="110"/>
        <v/>
      </c>
      <c r="BV57" s="492" t="str">
        <f t="shared" si="111"/>
        <v/>
      </c>
      <c r="BW57" s="492" t="str">
        <f t="shared" si="112"/>
        <v/>
      </c>
      <c r="BX57" s="492" t="str">
        <f t="shared" si="113"/>
        <v/>
      </c>
      <c r="BY57" s="492" t="str">
        <f t="shared" si="114"/>
        <v/>
      </c>
      <c r="BZ57" s="492" t="str">
        <f t="shared" si="115"/>
        <v/>
      </c>
      <c r="CA57" s="492" t="str">
        <f t="shared" si="116"/>
        <v/>
      </c>
      <c r="CB57" s="492" t="str">
        <f t="shared" si="117"/>
        <v/>
      </c>
      <c r="CC57" s="492" t="str">
        <f t="shared" si="118"/>
        <v/>
      </c>
      <c r="CD57" s="492" t="str">
        <f t="shared" si="119"/>
        <v/>
      </c>
      <c r="CE57" s="492" t="str">
        <f t="shared" si="120"/>
        <v/>
      </c>
      <c r="CF57" s="492" t="str">
        <f t="shared" si="121"/>
        <v/>
      </c>
      <c r="CG57" s="492" t="str">
        <f t="shared" si="122"/>
        <v/>
      </c>
      <c r="CH57" s="492" t="str">
        <f t="shared" si="123"/>
        <v/>
      </c>
      <c r="CI57" s="492" t="str">
        <f t="shared" si="124"/>
        <v/>
      </c>
      <c r="CJ57" s="492" t="str">
        <f t="shared" si="125"/>
        <v/>
      </c>
      <c r="CK57" s="492" t="str">
        <f t="shared" si="126"/>
        <v/>
      </c>
      <c r="CL57" s="492" t="str">
        <f t="shared" si="127"/>
        <v/>
      </c>
      <c r="CM57" s="492" t="str">
        <f t="shared" si="128"/>
        <v/>
      </c>
      <c r="CN57" s="492" t="str">
        <f t="shared" si="129"/>
        <v/>
      </c>
      <c r="CO57" s="492" t="str">
        <f t="shared" si="130"/>
        <v/>
      </c>
      <c r="CP57" s="492" t="str">
        <f t="shared" si="131"/>
        <v/>
      </c>
      <c r="CQ57" s="492" t="str">
        <f t="shared" si="132"/>
        <v/>
      </c>
      <c r="CR57" s="492" t="str">
        <f t="shared" si="133"/>
        <v/>
      </c>
      <c r="CS57" s="492" t="str">
        <f t="shared" si="134"/>
        <v/>
      </c>
      <c r="CT57" s="492" t="str">
        <f t="shared" si="135"/>
        <v/>
      </c>
      <c r="CU57" s="492" t="str">
        <f t="shared" si="136"/>
        <v/>
      </c>
      <c r="CV57" s="492" t="str">
        <f t="shared" si="137"/>
        <v/>
      </c>
      <c r="CW57" s="495">
        <v>1</v>
      </c>
      <c r="CX57" s="496"/>
      <c r="CY57" s="496"/>
      <c r="CZ57" s="496"/>
      <c r="DA57" s="496"/>
      <c r="DB57" s="496"/>
    </row>
    <row r="58" spans="1:106" ht="13.5" customHeight="1">
      <c r="A58" s="1232">
        <v>48</v>
      </c>
      <c r="B58" s="1233"/>
      <c r="C58" s="1230"/>
      <c r="D58" s="1234"/>
      <c r="E58" s="1231"/>
      <c r="F58" s="1230"/>
      <c r="G58" s="1234"/>
      <c r="H58" s="1231"/>
      <c r="I58" s="1230"/>
      <c r="J58" s="1231"/>
      <c r="K58" s="1290"/>
      <c r="L58" s="1291"/>
      <c r="M58" s="1290"/>
      <c r="N58" s="1291"/>
      <c r="O58" s="1290"/>
      <c r="P58" s="1291"/>
      <c r="Q58" s="1230"/>
      <c r="R58" s="1231"/>
      <c r="S58" s="1230"/>
      <c r="T58" s="1231"/>
      <c r="U58" s="1228"/>
      <c r="V58" s="1229"/>
      <c r="W58" s="1230"/>
      <c r="X58" s="1231"/>
      <c r="Y58" s="1226"/>
      <c r="Z58" s="1227"/>
      <c r="AA58" s="1275"/>
      <c r="AB58" s="1275"/>
      <c r="AC58" s="1212" t="str">
        <f t="shared" si="69"/>
        <v/>
      </c>
      <c r="AD58" s="1213"/>
      <c r="AE58" s="1213"/>
      <c r="AF58" s="1213"/>
      <c r="AG58" s="492" t="str">
        <f t="shared" si="70"/>
        <v/>
      </c>
      <c r="AH58" s="466" t="str">
        <f t="shared" si="71"/>
        <v/>
      </c>
      <c r="AI58" s="466" t="str">
        <f t="shared" si="72"/>
        <v/>
      </c>
      <c r="AJ58" s="466" t="str">
        <f t="shared" si="73"/>
        <v/>
      </c>
      <c r="AK58" s="492" t="str">
        <f t="shared" si="74"/>
        <v>○</v>
      </c>
      <c r="AL58" s="492" t="str">
        <f t="shared" si="75"/>
        <v/>
      </c>
      <c r="AM58" s="492" t="str">
        <f t="shared" si="76"/>
        <v/>
      </c>
      <c r="AN58" s="492" t="str">
        <f t="shared" si="77"/>
        <v/>
      </c>
      <c r="AO58" s="492" t="str">
        <f t="shared" si="78"/>
        <v/>
      </c>
      <c r="AP58" s="492" t="str">
        <f t="shared" si="79"/>
        <v/>
      </c>
      <c r="AQ58" s="492" t="str">
        <f t="shared" si="80"/>
        <v/>
      </c>
      <c r="AR58" s="492" t="str">
        <f t="shared" si="81"/>
        <v/>
      </c>
      <c r="AS58" s="492" t="str">
        <f t="shared" si="82"/>
        <v/>
      </c>
      <c r="AT58" s="492" t="str">
        <f t="shared" si="83"/>
        <v/>
      </c>
      <c r="AU58" s="492" t="str">
        <f t="shared" si="84"/>
        <v/>
      </c>
      <c r="AV58" s="492" t="str">
        <f t="shared" si="85"/>
        <v/>
      </c>
      <c r="AW58" s="492" t="str">
        <f t="shared" si="86"/>
        <v/>
      </c>
      <c r="AX58" s="492" t="str">
        <f t="shared" si="87"/>
        <v/>
      </c>
      <c r="AY58" s="492" t="str">
        <f t="shared" si="88"/>
        <v/>
      </c>
      <c r="AZ58" s="492" t="str">
        <f t="shared" si="89"/>
        <v/>
      </c>
      <c r="BA58" s="492" t="str">
        <f t="shared" si="90"/>
        <v/>
      </c>
      <c r="BB58" s="492" t="str">
        <f t="shared" si="91"/>
        <v/>
      </c>
      <c r="BC58" s="492" t="str">
        <f t="shared" si="92"/>
        <v/>
      </c>
      <c r="BD58" s="492" t="str">
        <f t="shared" si="93"/>
        <v/>
      </c>
      <c r="BE58" s="492" t="str">
        <f t="shared" si="94"/>
        <v/>
      </c>
      <c r="BF58" s="492" t="str">
        <f t="shared" si="95"/>
        <v/>
      </c>
      <c r="BG58" s="492" t="str">
        <f t="shared" si="96"/>
        <v/>
      </c>
      <c r="BH58" s="492" t="str">
        <f t="shared" si="97"/>
        <v/>
      </c>
      <c r="BI58" s="492" t="str">
        <f t="shared" si="98"/>
        <v/>
      </c>
      <c r="BJ58" s="492" t="str">
        <f t="shared" si="99"/>
        <v/>
      </c>
      <c r="BK58" s="492" t="str">
        <f t="shared" si="100"/>
        <v/>
      </c>
      <c r="BL58" s="492" t="str">
        <f t="shared" si="101"/>
        <v/>
      </c>
      <c r="BM58" s="492" t="str">
        <f t="shared" si="102"/>
        <v/>
      </c>
      <c r="BN58" s="492" t="str">
        <f t="shared" si="103"/>
        <v/>
      </c>
      <c r="BO58" s="492" t="str">
        <f t="shared" si="104"/>
        <v/>
      </c>
      <c r="BP58" s="492" t="str">
        <f t="shared" si="105"/>
        <v/>
      </c>
      <c r="BQ58" s="492" t="str">
        <f t="shared" si="106"/>
        <v/>
      </c>
      <c r="BR58" s="492" t="str">
        <f t="shared" si="107"/>
        <v/>
      </c>
      <c r="BS58" s="492" t="str">
        <f t="shared" si="108"/>
        <v/>
      </c>
      <c r="BT58" s="492" t="str">
        <f t="shared" si="109"/>
        <v/>
      </c>
      <c r="BU58" s="492" t="str">
        <f t="shared" si="110"/>
        <v/>
      </c>
      <c r="BV58" s="492" t="str">
        <f t="shared" si="111"/>
        <v/>
      </c>
      <c r="BW58" s="492" t="str">
        <f t="shared" si="112"/>
        <v/>
      </c>
      <c r="BX58" s="492" t="str">
        <f t="shared" si="113"/>
        <v/>
      </c>
      <c r="BY58" s="492" t="str">
        <f t="shared" si="114"/>
        <v/>
      </c>
      <c r="BZ58" s="492" t="str">
        <f t="shared" si="115"/>
        <v/>
      </c>
      <c r="CA58" s="492" t="str">
        <f t="shared" si="116"/>
        <v/>
      </c>
      <c r="CB58" s="492" t="str">
        <f t="shared" si="117"/>
        <v/>
      </c>
      <c r="CC58" s="492" t="str">
        <f t="shared" si="118"/>
        <v/>
      </c>
      <c r="CD58" s="492" t="str">
        <f t="shared" si="119"/>
        <v/>
      </c>
      <c r="CE58" s="492" t="str">
        <f t="shared" si="120"/>
        <v/>
      </c>
      <c r="CF58" s="492" t="str">
        <f t="shared" si="121"/>
        <v/>
      </c>
      <c r="CG58" s="492" t="str">
        <f t="shared" si="122"/>
        <v/>
      </c>
      <c r="CH58" s="492" t="str">
        <f t="shared" si="123"/>
        <v/>
      </c>
      <c r="CI58" s="492" t="str">
        <f t="shared" si="124"/>
        <v/>
      </c>
      <c r="CJ58" s="492" t="str">
        <f t="shared" si="125"/>
        <v/>
      </c>
      <c r="CK58" s="492" t="str">
        <f t="shared" si="126"/>
        <v/>
      </c>
      <c r="CL58" s="492" t="str">
        <f t="shared" si="127"/>
        <v/>
      </c>
      <c r="CM58" s="492" t="str">
        <f t="shared" si="128"/>
        <v/>
      </c>
      <c r="CN58" s="492" t="str">
        <f t="shared" si="129"/>
        <v/>
      </c>
      <c r="CO58" s="492" t="str">
        <f t="shared" si="130"/>
        <v/>
      </c>
      <c r="CP58" s="492" t="str">
        <f t="shared" si="131"/>
        <v/>
      </c>
      <c r="CQ58" s="492" t="str">
        <f t="shared" si="132"/>
        <v/>
      </c>
      <c r="CR58" s="492" t="str">
        <f t="shared" si="133"/>
        <v/>
      </c>
      <c r="CS58" s="492" t="str">
        <f t="shared" si="134"/>
        <v/>
      </c>
      <c r="CT58" s="492" t="str">
        <f t="shared" si="135"/>
        <v/>
      </c>
      <c r="CU58" s="492" t="str">
        <f t="shared" si="136"/>
        <v/>
      </c>
      <c r="CV58" s="492" t="str">
        <f t="shared" si="137"/>
        <v/>
      </c>
      <c r="CW58" s="495">
        <v>1</v>
      </c>
      <c r="CX58" s="496"/>
      <c r="CY58" s="496"/>
      <c r="CZ58" s="496"/>
      <c r="DA58" s="496"/>
      <c r="DB58" s="496"/>
    </row>
    <row r="59" spans="1:106" ht="13.5" customHeight="1">
      <c r="A59" s="1232">
        <v>49</v>
      </c>
      <c r="B59" s="1233"/>
      <c r="C59" s="1230"/>
      <c r="D59" s="1234"/>
      <c r="E59" s="1231"/>
      <c r="F59" s="1230"/>
      <c r="G59" s="1234"/>
      <c r="H59" s="1231"/>
      <c r="I59" s="1230"/>
      <c r="J59" s="1231"/>
      <c r="K59" s="1290"/>
      <c r="L59" s="1291"/>
      <c r="M59" s="1290"/>
      <c r="N59" s="1291"/>
      <c r="O59" s="1290"/>
      <c r="P59" s="1291"/>
      <c r="Q59" s="1230"/>
      <c r="R59" s="1231"/>
      <c r="S59" s="1230"/>
      <c r="T59" s="1231"/>
      <c r="U59" s="1228"/>
      <c r="V59" s="1229"/>
      <c r="W59" s="1230"/>
      <c r="X59" s="1231"/>
      <c r="Y59" s="1226"/>
      <c r="Z59" s="1227"/>
      <c r="AA59" s="1275"/>
      <c r="AB59" s="1275"/>
      <c r="AC59" s="1212" t="str">
        <f t="shared" si="69"/>
        <v/>
      </c>
      <c r="AD59" s="1213"/>
      <c r="AE59" s="1213"/>
      <c r="AF59" s="1213"/>
      <c r="AG59" s="492" t="str">
        <f t="shared" si="70"/>
        <v/>
      </c>
      <c r="AH59" s="466" t="str">
        <f t="shared" si="71"/>
        <v/>
      </c>
      <c r="AI59" s="466" t="str">
        <f t="shared" si="72"/>
        <v/>
      </c>
      <c r="AJ59" s="466" t="str">
        <f t="shared" si="73"/>
        <v/>
      </c>
      <c r="AK59" s="492" t="str">
        <f t="shared" si="74"/>
        <v>○</v>
      </c>
      <c r="AL59" s="492" t="str">
        <f t="shared" si="75"/>
        <v/>
      </c>
      <c r="AM59" s="492" t="str">
        <f t="shared" si="76"/>
        <v/>
      </c>
      <c r="AN59" s="492" t="str">
        <f t="shared" si="77"/>
        <v/>
      </c>
      <c r="AO59" s="492" t="str">
        <f t="shared" si="78"/>
        <v/>
      </c>
      <c r="AP59" s="492" t="str">
        <f t="shared" si="79"/>
        <v/>
      </c>
      <c r="AQ59" s="492" t="str">
        <f t="shared" si="80"/>
        <v/>
      </c>
      <c r="AR59" s="492" t="str">
        <f t="shared" si="81"/>
        <v/>
      </c>
      <c r="AS59" s="492" t="str">
        <f t="shared" si="82"/>
        <v/>
      </c>
      <c r="AT59" s="492" t="str">
        <f t="shared" si="83"/>
        <v/>
      </c>
      <c r="AU59" s="492" t="str">
        <f t="shared" si="84"/>
        <v/>
      </c>
      <c r="AV59" s="492" t="str">
        <f t="shared" si="85"/>
        <v/>
      </c>
      <c r="AW59" s="492" t="str">
        <f t="shared" si="86"/>
        <v/>
      </c>
      <c r="AX59" s="492" t="str">
        <f t="shared" si="87"/>
        <v/>
      </c>
      <c r="AY59" s="492" t="str">
        <f t="shared" si="88"/>
        <v/>
      </c>
      <c r="AZ59" s="492" t="str">
        <f t="shared" si="89"/>
        <v/>
      </c>
      <c r="BA59" s="492" t="str">
        <f t="shared" si="90"/>
        <v/>
      </c>
      <c r="BB59" s="492" t="str">
        <f t="shared" si="91"/>
        <v/>
      </c>
      <c r="BC59" s="492" t="str">
        <f t="shared" si="92"/>
        <v/>
      </c>
      <c r="BD59" s="492" t="str">
        <f t="shared" si="93"/>
        <v/>
      </c>
      <c r="BE59" s="492" t="str">
        <f t="shared" si="94"/>
        <v/>
      </c>
      <c r="BF59" s="492" t="str">
        <f t="shared" si="95"/>
        <v/>
      </c>
      <c r="BG59" s="492" t="str">
        <f t="shared" si="96"/>
        <v/>
      </c>
      <c r="BH59" s="492" t="str">
        <f t="shared" si="97"/>
        <v/>
      </c>
      <c r="BI59" s="492" t="str">
        <f t="shared" si="98"/>
        <v/>
      </c>
      <c r="BJ59" s="492" t="str">
        <f t="shared" si="99"/>
        <v/>
      </c>
      <c r="BK59" s="492" t="str">
        <f t="shared" si="100"/>
        <v/>
      </c>
      <c r="BL59" s="492" t="str">
        <f t="shared" si="101"/>
        <v/>
      </c>
      <c r="BM59" s="492" t="str">
        <f t="shared" si="102"/>
        <v/>
      </c>
      <c r="BN59" s="492" t="str">
        <f t="shared" si="103"/>
        <v/>
      </c>
      <c r="BO59" s="492" t="str">
        <f t="shared" si="104"/>
        <v/>
      </c>
      <c r="BP59" s="492" t="str">
        <f t="shared" si="105"/>
        <v/>
      </c>
      <c r="BQ59" s="492" t="str">
        <f t="shared" si="106"/>
        <v/>
      </c>
      <c r="BR59" s="492" t="str">
        <f t="shared" si="107"/>
        <v/>
      </c>
      <c r="BS59" s="492" t="str">
        <f t="shared" si="108"/>
        <v/>
      </c>
      <c r="BT59" s="492" t="str">
        <f t="shared" si="109"/>
        <v/>
      </c>
      <c r="BU59" s="492" t="str">
        <f t="shared" si="110"/>
        <v/>
      </c>
      <c r="BV59" s="492" t="str">
        <f t="shared" si="111"/>
        <v/>
      </c>
      <c r="BW59" s="492" t="str">
        <f t="shared" si="112"/>
        <v/>
      </c>
      <c r="BX59" s="492" t="str">
        <f t="shared" si="113"/>
        <v/>
      </c>
      <c r="BY59" s="492" t="str">
        <f t="shared" si="114"/>
        <v/>
      </c>
      <c r="BZ59" s="492" t="str">
        <f t="shared" si="115"/>
        <v/>
      </c>
      <c r="CA59" s="492" t="str">
        <f t="shared" si="116"/>
        <v/>
      </c>
      <c r="CB59" s="492" t="str">
        <f t="shared" si="117"/>
        <v/>
      </c>
      <c r="CC59" s="492" t="str">
        <f t="shared" si="118"/>
        <v/>
      </c>
      <c r="CD59" s="492" t="str">
        <f t="shared" si="119"/>
        <v/>
      </c>
      <c r="CE59" s="492" t="str">
        <f t="shared" si="120"/>
        <v/>
      </c>
      <c r="CF59" s="492" t="str">
        <f t="shared" si="121"/>
        <v/>
      </c>
      <c r="CG59" s="492" t="str">
        <f t="shared" si="122"/>
        <v/>
      </c>
      <c r="CH59" s="492" t="str">
        <f t="shared" si="123"/>
        <v/>
      </c>
      <c r="CI59" s="492" t="str">
        <f t="shared" si="124"/>
        <v/>
      </c>
      <c r="CJ59" s="492" t="str">
        <f t="shared" si="125"/>
        <v/>
      </c>
      <c r="CK59" s="492" t="str">
        <f t="shared" si="126"/>
        <v/>
      </c>
      <c r="CL59" s="492" t="str">
        <f t="shared" si="127"/>
        <v/>
      </c>
      <c r="CM59" s="492" t="str">
        <f t="shared" si="128"/>
        <v/>
      </c>
      <c r="CN59" s="492" t="str">
        <f t="shared" si="129"/>
        <v/>
      </c>
      <c r="CO59" s="492" t="str">
        <f t="shared" si="130"/>
        <v/>
      </c>
      <c r="CP59" s="492" t="str">
        <f t="shared" si="131"/>
        <v/>
      </c>
      <c r="CQ59" s="492" t="str">
        <f t="shared" si="132"/>
        <v/>
      </c>
      <c r="CR59" s="492" t="str">
        <f t="shared" si="133"/>
        <v/>
      </c>
      <c r="CS59" s="492" t="str">
        <f t="shared" si="134"/>
        <v/>
      </c>
      <c r="CT59" s="492" t="str">
        <f t="shared" si="135"/>
        <v/>
      </c>
      <c r="CU59" s="492" t="str">
        <f t="shared" si="136"/>
        <v/>
      </c>
      <c r="CV59" s="492" t="str">
        <f t="shared" si="137"/>
        <v/>
      </c>
      <c r="CW59" s="495">
        <v>1</v>
      </c>
      <c r="CX59" s="496"/>
      <c r="CY59" s="496"/>
      <c r="CZ59" s="496"/>
      <c r="DA59" s="496"/>
      <c r="DB59" s="496"/>
    </row>
    <row r="60" spans="1:106" ht="13.5" customHeight="1">
      <c r="A60" s="1232">
        <v>50</v>
      </c>
      <c r="B60" s="1233"/>
      <c r="C60" s="1230"/>
      <c r="D60" s="1234"/>
      <c r="E60" s="1231"/>
      <c r="F60" s="1230"/>
      <c r="G60" s="1234"/>
      <c r="H60" s="1231"/>
      <c r="I60" s="1230"/>
      <c r="J60" s="1231"/>
      <c r="K60" s="1290"/>
      <c r="L60" s="1291"/>
      <c r="M60" s="1290"/>
      <c r="N60" s="1291"/>
      <c r="O60" s="1290"/>
      <c r="P60" s="1291"/>
      <c r="Q60" s="1230"/>
      <c r="R60" s="1231"/>
      <c r="S60" s="1230"/>
      <c r="T60" s="1231"/>
      <c r="U60" s="1228"/>
      <c r="V60" s="1229"/>
      <c r="W60" s="1230"/>
      <c r="X60" s="1231"/>
      <c r="Y60" s="1226"/>
      <c r="Z60" s="1227"/>
      <c r="AA60" s="1275"/>
      <c r="AB60" s="1275"/>
      <c r="AC60" s="1212" t="str">
        <f t="shared" si="69"/>
        <v/>
      </c>
      <c r="AD60" s="1213"/>
      <c r="AE60" s="1213"/>
      <c r="AF60" s="1213"/>
      <c r="AG60" s="492" t="str">
        <f t="shared" si="70"/>
        <v/>
      </c>
      <c r="AH60" s="466" t="str">
        <f t="shared" si="71"/>
        <v/>
      </c>
      <c r="AI60" s="466" t="str">
        <f t="shared" si="72"/>
        <v/>
      </c>
      <c r="AJ60" s="466" t="str">
        <f t="shared" si="73"/>
        <v/>
      </c>
      <c r="AK60" s="492" t="str">
        <f t="shared" si="74"/>
        <v>○</v>
      </c>
      <c r="AL60" s="492" t="str">
        <f t="shared" si="75"/>
        <v/>
      </c>
      <c r="AM60" s="492" t="str">
        <f t="shared" si="76"/>
        <v/>
      </c>
      <c r="AN60" s="492" t="str">
        <f t="shared" si="77"/>
        <v/>
      </c>
      <c r="AO60" s="492" t="str">
        <f t="shared" si="78"/>
        <v/>
      </c>
      <c r="AP60" s="492" t="str">
        <f t="shared" si="79"/>
        <v/>
      </c>
      <c r="AQ60" s="492" t="str">
        <f t="shared" si="80"/>
        <v/>
      </c>
      <c r="AR60" s="492" t="str">
        <f t="shared" si="81"/>
        <v/>
      </c>
      <c r="AS60" s="492" t="str">
        <f t="shared" si="82"/>
        <v/>
      </c>
      <c r="AT60" s="492" t="str">
        <f t="shared" si="83"/>
        <v/>
      </c>
      <c r="AU60" s="492" t="str">
        <f t="shared" si="84"/>
        <v/>
      </c>
      <c r="AV60" s="492" t="str">
        <f t="shared" si="85"/>
        <v/>
      </c>
      <c r="AW60" s="492" t="str">
        <f t="shared" si="86"/>
        <v/>
      </c>
      <c r="AX60" s="492" t="str">
        <f t="shared" si="87"/>
        <v/>
      </c>
      <c r="AY60" s="492" t="str">
        <f t="shared" si="88"/>
        <v/>
      </c>
      <c r="AZ60" s="492" t="str">
        <f t="shared" si="89"/>
        <v/>
      </c>
      <c r="BA60" s="492" t="str">
        <f t="shared" si="90"/>
        <v/>
      </c>
      <c r="BB60" s="492" t="str">
        <f t="shared" si="91"/>
        <v/>
      </c>
      <c r="BC60" s="492" t="str">
        <f t="shared" si="92"/>
        <v/>
      </c>
      <c r="BD60" s="492" t="str">
        <f t="shared" si="93"/>
        <v/>
      </c>
      <c r="BE60" s="492" t="str">
        <f t="shared" si="94"/>
        <v/>
      </c>
      <c r="BF60" s="492" t="str">
        <f t="shared" si="95"/>
        <v/>
      </c>
      <c r="BG60" s="492" t="str">
        <f t="shared" si="96"/>
        <v/>
      </c>
      <c r="BH60" s="492" t="str">
        <f t="shared" si="97"/>
        <v/>
      </c>
      <c r="BI60" s="492" t="str">
        <f t="shared" si="98"/>
        <v/>
      </c>
      <c r="BJ60" s="492" t="str">
        <f t="shared" si="99"/>
        <v/>
      </c>
      <c r="BK60" s="492" t="str">
        <f t="shared" si="100"/>
        <v/>
      </c>
      <c r="BL60" s="492" t="str">
        <f t="shared" si="101"/>
        <v/>
      </c>
      <c r="BM60" s="492" t="str">
        <f t="shared" si="102"/>
        <v/>
      </c>
      <c r="BN60" s="492" t="str">
        <f t="shared" si="103"/>
        <v/>
      </c>
      <c r="BO60" s="492" t="str">
        <f t="shared" si="104"/>
        <v/>
      </c>
      <c r="BP60" s="492" t="str">
        <f t="shared" si="105"/>
        <v/>
      </c>
      <c r="BQ60" s="492" t="str">
        <f t="shared" si="106"/>
        <v/>
      </c>
      <c r="BR60" s="492" t="str">
        <f t="shared" si="107"/>
        <v/>
      </c>
      <c r="BS60" s="492" t="str">
        <f t="shared" si="108"/>
        <v/>
      </c>
      <c r="BT60" s="492" t="str">
        <f t="shared" si="109"/>
        <v/>
      </c>
      <c r="BU60" s="492" t="str">
        <f t="shared" si="110"/>
        <v/>
      </c>
      <c r="BV60" s="492" t="str">
        <f t="shared" si="111"/>
        <v/>
      </c>
      <c r="BW60" s="492" t="str">
        <f t="shared" si="112"/>
        <v/>
      </c>
      <c r="BX60" s="492" t="str">
        <f t="shared" si="113"/>
        <v/>
      </c>
      <c r="BY60" s="492" t="str">
        <f t="shared" si="114"/>
        <v/>
      </c>
      <c r="BZ60" s="492" t="str">
        <f t="shared" si="115"/>
        <v/>
      </c>
      <c r="CA60" s="492" t="str">
        <f t="shared" si="116"/>
        <v/>
      </c>
      <c r="CB60" s="492" t="str">
        <f t="shared" si="117"/>
        <v/>
      </c>
      <c r="CC60" s="492" t="str">
        <f t="shared" si="118"/>
        <v/>
      </c>
      <c r="CD60" s="492" t="str">
        <f t="shared" si="119"/>
        <v/>
      </c>
      <c r="CE60" s="492" t="str">
        <f t="shared" si="120"/>
        <v/>
      </c>
      <c r="CF60" s="492" t="str">
        <f t="shared" si="121"/>
        <v/>
      </c>
      <c r="CG60" s="492" t="str">
        <f t="shared" si="122"/>
        <v/>
      </c>
      <c r="CH60" s="492" t="str">
        <f t="shared" si="123"/>
        <v/>
      </c>
      <c r="CI60" s="492" t="str">
        <f t="shared" si="124"/>
        <v/>
      </c>
      <c r="CJ60" s="492" t="str">
        <f t="shared" si="125"/>
        <v/>
      </c>
      <c r="CK60" s="492" t="str">
        <f t="shared" si="126"/>
        <v/>
      </c>
      <c r="CL60" s="492" t="str">
        <f t="shared" si="127"/>
        <v/>
      </c>
      <c r="CM60" s="492" t="str">
        <f t="shared" si="128"/>
        <v/>
      </c>
      <c r="CN60" s="492" t="str">
        <f t="shared" si="129"/>
        <v/>
      </c>
      <c r="CO60" s="492" t="str">
        <f t="shared" si="130"/>
        <v/>
      </c>
      <c r="CP60" s="492" t="str">
        <f t="shared" si="131"/>
        <v/>
      </c>
      <c r="CQ60" s="492" t="str">
        <f t="shared" si="132"/>
        <v/>
      </c>
      <c r="CR60" s="492" t="str">
        <f t="shared" si="133"/>
        <v/>
      </c>
      <c r="CS60" s="492" t="str">
        <f t="shared" si="134"/>
        <v/>
      </c>
      <c r="CT60" s="492" t="str">
        <f t="shared" si="135"/>
        <v/>
      </c>
      <c r="CU60" s="492" t="str">
        <f t="shared" si="136"/>
        <v/>
      </c>
      <c r="CV60" s="492" t="str">
        <f t="shared" si="137"/>
        <v/>
      </c>
      <c r="CW60" s="495">
        <v>1</v>
      </c>
      <c r="CX60" s="496"/>
      <c r="CY60" s="496"/>
      <c r="CZ60" s="496"/>
      <c r="DA60" s="496"/>
      <c r="DB60" s="496"/>
    </row>
    <row r="61" spans="1:106" ht="13.5" customHeight="1">
      <c r="A61" s="1232">
        <v>51</v>
      </c>
      <c r="B61" s="1233"/>
      <c r="C61" s="1230"/>
      <c r="D61" s="1234"/>
      <c r="E61" s="1231"/>
      <c r="F61" s="1230"/>
      <c r="G61" s="1234"/>
      <c r="H61" s="1231"/>
      <c r="I61" s="1230"/>
      <c r="J61" s="1231"/>
      <c r="K61" s="1290"/>
      <c r="L61" s="1291"/>
      <c r="M61" s="1290"/>
      <c r="N61" s="1291"/>
      <c r="O61" s="1290"/>
      <c r="P61" s="1291"/>
      <c r="Q61" s="1230"/>
      <c r="R61" s="1231"/>
      <c r="S61" s="1230"/>
      <c r="T61" s="1231"/>
      <c r="U61" s="1228"/>
      <c r="V61" s="1229"/>
      <c r="W61" s="1230"/>
      <c r="X61" s="1231"/>
      <c r="Y61" s="1226"/>
      <c r="Z61" s="1227"/>
      <c r="AA61" s="1275"/>
      <c r="AB61" s="1275"/>
      <c r="AC61" s="1212" t="str">
        <f t="shared" si="69"/>
        <v/>
      </c>
      <c r="AD61" s="1213"/>
      <c r="AE61" s="1213"/>
      <c r="AF61" s="1213"/>
      <c r="AG61" s="492" t="str">
        <f t="shared" si="70"/>
        <v/>
      </c>
      <c r="AH61" s="466" t="str">
        <f t="shared" si="71"/>
        <v/>
      </c>
      <c r="AI61" s="466" t="str">
        <f t="shared" si="72"/>
        <v/>
      </c>
      <c r="AJ61" s="466" t="str">
        <f t="shared" si="73"/>
        <v/>
      </c>
      <c r="AK61" s="492" t="str">
        <f t="shared" si="74"/>
        <v>○</v>
      </c>
      <c r="AL61" s="492" t="str">
        <f t="shared" si="75"/>
        <v/>
      </c>
      <c r="AM61" s="492" t="str">
        <f t="shared" si="76"/>
        <v/>
      </c>
      <c r="AN61" s="492" t="str">
        <f t="shared" si="77"/>
        <v/>
      </c>
      <c r="AO61" s="492" t="str">
        <f t="shared" si="78"/>
        <v/>
      </c>
      <c r="AP61" s="492" t="str">
        <f t="shared" si="79"/>
        <v/>
      </c>
      <c r="AQ61" s="492" t="str">
        <f t="shared" si="80"/>
        <v/>
      </c>
      <c r="AR61" s="492" t="str">
        <f t="shared" si="81"/>
        <v/>
      </c>
      <c r="AS61" s="492" t="str">
        <f t="shared" si="82"/>
        <v/>
      </c>
      <c r="AT61" s="492" t="str">
        <f t="shared" si="83"/>
        <v/>
      </c>
      <c r="AU61" s="492" t="str">
        <f t="shared" si="84"/>
        <v/>
      </c>
      <c r="AV61" s="492" t="str">
        <f t="shared" si="85"/>
        <v/>
      </c>
      <c r="AW61" s="492" t="str">
        <f t="shared" si="86"/>
        <v/>
      </c>
      <c r="AX61" s="492" t="str">
        <f t="shared" si="87"/>
        <v/>
      </c>
      <c r="AY61" s="492" t="str">
        <f t="shared" si="88"/>
        <v/>
      </c>
      <c r="AZ61" s="492" t="str">
        <f t="shared" si="89"/>
        <v/>
      </c>
      <c r="BA61" s="492" t="str">
        <f t="shared" si="90"/>
        <v/>
      </c>
      <c r="BB61" s="492" t="str">
        <f t="shared" si="91"/>
        <v/>
      </c>
      <c r="BC61" s="492" t="str">
        <f t="shared" si="92"/>
        <v/>
      </c>
      <c r="BD61" s="492" t="str">
        <f t="shared" si="93"/>
        <v/>
      </c>
      <c r="BE61" s="492" t="str">
        <f t="shared" si="94"/>
        <v/>
      </c>
      <c r="BF61" s="492" t="str">
        <f t="shared" si="95"/>
        <v/>
      </c>
      <c r="BG61" s="492" t="str">
        <f t="shared" si="96"/>
        <v/>
      </c>
      <c r="BH61" s="492" t="str">
        <f t="shared" si="97"/>
        <v/>
      </c>
      <c r="BI61" s="492" t="str">
        <f t="shared" si="98"/>
        <v/>
      </c>
      <c r="BJ61" s="492" t="str">
        <f t="shared" si="99"/>
        <v/>
      </c>
      <c r="BK61" s="492" t="str">
        <f t="shared" si="100"/>
        <v/>
      </c>
      <c r="BL61" s="492" t="str">
        <f t="shared" si="101"/>
        <v/>
      </c>
      <c r="BM61" s="492" t="str">
        <f t="shared" si="102"/>
        <v/>
      </c>
      <c r="BN61" s="492" t="str">
        <f t="shared" si="103"/>
        <v/>
      </c>
      <c r="BO61" s="492" t="str">
        <f t="shared" si="104"/>
        <v/>
      </c>
      <c r="BP61" s="492" t="str">
        <f t="shared" si="105"/>
        <v/>
      </c>
      <c r="BQ61" s="492" t="str">
        <f t="shared" si="106"/>
        <v/>
      </c>
      <c r="BR61" s="492" t="str">
        <f t="shared" si="107"/>
        <v/>
      </c>
      <c r="BS61" s="492" t="str">
        <f t="shared" si="108"/>
        <v/>
      </c>
      <c r="BT61" s="492" t="str">
        <f t="shared" si="109"/>
        <v/>
      </c>
      <c r="BU61" s="492" t="str">
        <f t="shared" si="110"/>
        <v/>
      </c>
      <c r="BV61" s="492" t="str">
        <f t="shared" si="111"/>
        <v/>
      </c>
      <c r="BW61" s="492" t="str">
        <f t="shared" si="112"/>
        <v/>
      </c>
      <c r="BX61" s="492" t="str">
        <f t="shared" si="113"/>
        <v/>
      </c>
      <c r="BY61" s="492" t="str">
        <f t="shared" si="114"/>
        <v/>
      </c>
      <c r="BZ61" s="492" t="str">
        <f t="shared" si="115"/>
        <v/>
      </c>
      <c r="CA61" s="492" t="str">
        <f t="shared" si="116"/>
        <v/>
      </c>
      <c r="CB61" s="492" t="str">
        <f t="shared" si="117"/>
        <v/>
      </c>
      <c r="CC61" s="492" t="str">
        <f t="shared" si="118"/>
        <v/>
      </c>
      <c r="CD61" s="492" t="str">
        <f t="shared" si="119"/>
        <v/>
      </c>
      <c r="CE61" s="492" t="str">
        <f t="shared" si="120"/>
        <v/>
      </c>
      <c r="CF61" s="492" t="str">
        <f t="shared" si="121"/>
        <v/>
      </c>
      <c r="CG61" s="492" t="str">
        <f t="shared" si="122"/>
        <v/>
      </c>
      <c r="CH61" s="492" t="str">
        <f t="shared" si="123"/>
        <v/>
      </c>
      <c r="CI61" s="492" t="str">
        <f t="shared" si="124"/>
        <v/>
      </c>
      <c r="CJ61" s="492" t="str">
        <f t="shared" si="125"/>
        <v/>
      </c>
      <c r="CK61" s="492" t="str">
        <f t="shared" si="126"/>
        <v/>
      </c>
      <c r="CL61" s="492" t="str">
        <f t="shared" si="127"/>
        <v/>
      </c>
      <c r="CM61" s="492" t="str">
        <f t="shared" si="128"/>
        <v/>
      </c>
      <c r="CN61" s="492" t="str">
        <f t="shared" si="129"/>
        <v/>
      </c>
      <c r="CO61" s="492" t="str">
        <f t="shared" si="130"/>
        <v/>
      </c>
      <c r="CP61" s="492" t="str">
        <f t="shared" si="131"/>
        <v/>
      </c>
      <c r="CQ61" s="492" t="str">
        <f t="shared" si="132"/>
        <v/>
      </c>
      <c r="CR61" s="492" t="str">
        <f t="shared" si="133"/>
        <v/>
      </c>
      <c r="CS61" s="492" t="str">
        <f t="shared" si="134"/>
        <v/>
      </c>
      <c r="CT61" s="492" t="str">
        <f t="shared" si="135"/>
        <v/>
      </c>
      <c r="CU61" s="492" t="str">
        <f t="shared" si="136"/>
        <v/>
      </c>
      <c r="CV61" s="492" t="str">
        <f t="shared" si="137"/>
        <v/>
      </c>
      <c r="CW61" s="495">
        <v>1</v>
      </c>
      <c r="CX61" s="496"/>
      <c r="CY61" s="496"/>
      <c r="CZ61" s="496"/>
      <c r="DA61" s="496"/>
      <c r="DB61" s="496"/>
    </row>
    <row r="62" spans="1:106" ht="13.5" customHeight="1">
      <c r="A62" s="1232">
        <v>52</v>
      </c>
      <c r="B62" s="1233"/>
      <c r="C62" s="1230"/>
      <c r="D62" s="1234"/>
      <c r="E62" s="1231"/>
      <c r="F62" s="1230"/>
      <c r="G62" s="1234"/>
      <c r="H62" s="1231"/>
      <c r="I62" s="1230"/>
      <c r="J62" s="1231"/>
      <c r="K62" s="1290"/>
      <c r="L62" s="1291"/>
      <c r="M62" s="1290"/>
      <c r="N62" s="1291"/>
      <c r="O62" s="1290"/>
      <c r="P62" s="1291"/>
      <c r="Q62" s="1230"/>
      <c r="R62" s="1231"/>
      <c r="S62" s="1230"/>
      <c r="T62" s="1231"/>
      <c r="U62" s="1228"/>
      <c r="V62" s="1229"/>
      <c r="W62" s="1230"/>
      <c r="X62" s="1231"/>
      <c r="Y62" s="1226"/>
      <c r="Z62" s="1227"/>
      <c r="AA62" s="1275"/>
      <c r="AB62" s="1275"/>
      <c r="AC62" s="1212" t="str">
        <f t="shared" si="69"/>
        <v/>
      </c>
      <c r="AD62" s="1213"/>
      <c r="AE62" s="1213"/>
      <c r="AF62" s="1213"/>
      <c r="AG62" s="492" t="str">
        <f t="shared" si="70"/>
        <v/>
      </c>
      <c r="AH62" s="466" t="str">
        <f t="shared" si="71"/>
        <v/>
      </c>
      <c r="AI62" s="466" t="str">
        <f t="shared" si="72"/>
        <v/>
      </c>
      <c r="AJ62" s="466" t="str">
        <f t="shared" si="73"/>
        <v/>
      </c>
      <c r="AK62" s="492" t="str">
        <f t="shared" si="74"/>
        <v>○</v>
      </c>
      <c r="AL62" s="492" t="str">
        <f t="shared" si="75"/>
        <v/>
      </c>
      <c r="AM62" s="492" t="str">
        <f t="shared" si="76"/>
        <v/>
      </c>
      <c r="AN62" s="492" t="str">
        <f t="shared" si="77"/>
        <v/>
      </c>
      <c r="AO62" s="492" t="str">
        <f t="shared" si="78"/>
        <v/>
      </c>
      <c r="AP62" s="492" t="str">
        <f t="shared" si="79"/>
        <v/>
      </c>
      <c r="AQ62" s="492" t="str">
        <f t="shared" si="80"/>
        <v/>
      </c>
      <c r="AR62" s="492" t="str">
        <f t="shared" si="81"/>
        <v/>
      </c>
      <c r="AS62" s="492" t="str">
        <f t="shared" si="82"/>
        <v/>
      </c>
      <c r="AT62" s="492" t="str">
        <f t="shared" si="83"/>
        <v/>
      </c>
      <c r="AU62" s="492" t="str">
        <f t="shared" si="84"/>
        <v/>
      </c>
      <c r="AV62" s="492" t="str">
        <f t="shared" si="85"/>
        <v/>
      </c>
      <c r="AW62" s="492" t="str">
        <f t="shared" si="86"/>
        <v/>
      </c>
      <c r="AX62" s="492" t="str">
        <f t="shared" si="87"/>
        <v/>
      </c>
      <c r="AY62" s="492" t="str">
        <f t="shared" si="88"/>
        <v/>
      </c>
      <c r="AZ62" s="492" t="str">
        <f t="shared" si="89"/>
        <v/>
      </c>
      <c r="BA62" s="492" t="str">
        <f t="shared" si="90"/>
        <v/>
      </c>
      <c r="BB62" s="492" t="str">
        <f t="shared" si="91"/>
        <v/>
      </c>
      <c r="BC62" s="492" t="str">
        <f t="shared" si="92"/>
        <v/>
      </c>
      <c r="BD62" s="492" t="str">
        <f t="shared" si="93"/>
        <v/>
      </c>
      <c r="BE62" s="492" t="str">
        <f t="shared" si="94"/>
        <v/>
      </c>
      <c r="BF62" s="492" t="str">
        <f t="shared" si="95"/>
        <v/>
      </c>
      <c r="BG62" s="492" t="str">
        <f t="shared" si="96"/>
        <v/>
      </c>
      <c r="BH62" s="492" t="str">
        <f t="shared" si="97"/>
        <v/>
      </c>
      <c r="BI62" s="492" t="str">
        <f t="shared" si="98"/>
        <v/>
      </c>
      <c r="BJ62" s="492" t="str">
        <f t="shared" si="99"/>
        <v/>
      </c>
      <c r="BK62" s="492" t="str">
        <f t="shared" si="100"/>
        <v/>
      </c>
      <c r="BL62" s="492" t="str">
        <f t="shared" si="101"/>
        <v/>
      </c>
      <c r="BM62" s="492" t="str">
        <f t="shared" si="102"/>
        <v/>
      </c>
      <c r="BN62" s="492" t="str">
        <f t="shared" si="103"/>
        <v/>
      </c>
      <c r="BO62" s="492" t="str">
        <f t="shared" si="104"/>
        <v/>
      </c>
      <c r="BP62" s="492" t="str">
        <f t="shared" si="105"/>
        <v/>
      </c>
      <c r="BQ62" s="492" t="str">
        <f t="shared" si="106"/>
        <v/>
      </c>
      <c r="BR62" s="492" t="str">
        <f t="shared" si="107"/>
        <v/>
      </c>
      <c r="BS62" s="492" t="str">
        <f t="shared" si="108"/>
        <v/>
      </c>
      <c r="BT62" s="492" t="str">
        <f t="shared" si="109"/>
        <v/>
      </c>
      <c r="BU62" s="492" t="str">
        <f t="shared" si="110"/>
        <v/>
      </c>
      <c r="BV62" s="492" t="str">
        <f t="shared" si="111"/>
        <v/>
      </c>
      <c r="BW62" s="492" t="str">
        <f t="shared" si="112"/>
        <v/>
      </c>
      <c r="BX62" s="492" t="str">
        <f t="shared" si="113"/>
        <v/>
      </c>
      <c r="BY62" s="492" t="str">
        <f t="shared" si="114"/>
        <v/>
      </c>
      <c r="BZ62" s="492" t="str">
        <f t="shared" si="115"/>
        <v/>
      </c>
      <c r="CA62" s="492" t="str">
        <f t="shared" si="116"/>
        <v/>
      </c>
      <c r="CB62" s="492" t="str">
        <f t="shared" si="117"/>
        <v/>
      </c>
      <c r="CC62" s="492" t="str">
        <f t="shared" si="118"/>
        <v/>
      </c>
      <c r="CD62" s="492" t="str">
        <f t="shared" si="119"/>
        <v/>
      </c>
      <c r="CE62" s="492" t="str">
        <f t="shared" si="120"/>
        <v/>
      </c>
      <c r="CF62" s="492" t="str">
        <f t="shared" si="121"/>
        <v/>
      </c>
      <c r="CG62" s="492" t="str">
        <f t="shared" si="122"/>
        <v/>
      </c>
      <c r="CH62" s="492" t="str">
        <f t="shared" si="123"/>
        <v/>
      </c>
      <c r="CI62" s="492" t="str">
        <f t="shared" si="124"/>
        <v/>
      </c>
      <c r="CJ62" s="492" t="str">
        <f t="shared" si="125"/>
        <v/>
      </c>
      <c r="CK62" s="492" t="str">
        <f t="shared" si="126"/>
        <v/>
      </c>
      <c r="CL62" s="492" t="str">
        <f t="shared" si="127"/>
        <v/>
      </c>
      <c r="CM62" s="492" t="str">
        <f t="shared" si="128"/>
        <v/>
      </c>
      <c r="CN62" s="492" t="str">
        <f t="shared" si="129"/>
        <v/>
      </c>
      <c r="CO62" s="492" t="str">
        <f t="shared" si="130"/>
        <v/>
      </c>
      <c r="CP62" s="492" t="str">
        <f t="shared" si="131"/>
        <v/>
      </c>
      <c r="CQ62" s="492" t="str">
        <f t="shared" si="132"/>
        <v/>
      </c>
      <c r="CR62" s="492" t="str">
        <f t="shared" si="133"/>
        <v/>
      </c>
      <c r="CS62" s="492" t="str">
        <f t="shared" si="134"/>
        <v/>
      </c>
      <c r="CT62" s="492" t="str">
        <f t="shared" si="135"/>
        <v/>
      </c>
      <c r="CU62" s="492" t="str">
        <f t="shared" si="136"/>
        <v/>
      </c>
      <c r="CV62" s="492" t="str">
        <f t="shared" si="137"/>
        <v/>
      </c>
      <c r="CW62" s="495">
        <v>1</v>
      </c>
      <c r="CX62" s="496"/>
      <c r="CY62" s="496"/>
      <c r="CZ62" s="496"/>
      <c r="DA62" s="496"/>
      <c r="DB62" s="496"/>
    </row>
    <row r="63" spans="1:106" ht="13.5" customHeight="1">
      <c r="A63" s="1232">
        <v>53</v>
      </c>
      <c r="B63" s="1233"/>
      <c r="C63" s="1230"/>
      <c r="D63" s="1234"/>
      <c r="E63" s="1231"/>
      <c r="F63" s="1230"/>
      <c r="G63" s="1234"/>
      <c r="H63" s="1231"/>
      <c r="I63" s="1230"/>
      <c r="J63" s="1231"/>
      <c r="K63" s="1290"/>
      <c r="L63" s="1291"/>
      <c r="M63" s="1290"/>
      <c r="N63" s="1291"/>
      <c r="O63" s="1290"/>
      <c r="P63" s="1291"/>
      <c r="Q63" s="1230"/>
      <c r="R63" s="1231"/>
      <c r="S63" s="1230"/>
      <c r="T63" s="1231"/>
      <c r="U63" s="1228"/>
      <c r="V63" s="1229"/>
      <c r="W63" s="1230"/>
      <c r="X63" s="1231"/>
      <c r="Y63" s="1226"/>
      <c r="Z63" s="1227"/>
      <c r="AA63" s="1275"/>
      <c r="AB63" s="1275"/>
      <c r="AC63" s="1212" t="str">
        <f t="shared" si="69"/>
        <v/>
      </c>
      <c r="AD63" s="1213"/>
      <c r="AE63" s="1213"/>
      <c r="AF63" s="1213"/>
      <c r="AG63" s="492" t="str">
        <f t="shared" si="70"/>
        <v/>
      </c>
      <c r="AH63" s="466" t="str">
        <f t="shared" si="71"/>
        <v/>
      </c>
      <c r="AI63" s="466" t="str">
        <f t="shared" si="72"/>
        <v/>
      </c>
      <c r="AJ63" s="466" t="str">
        <f t="shared" si="73"/>
        <v/>
      </c>
      <c r="AK63" s="492" t="str">
        <f t="shared" si="74"/>
        <v>○</v>
      </c>
      <c r="AL63" s="492" t="str">
        <f t="shared" si="75"/>
        <v/>
      </c>
      <c r="AM63" s="492" t="str">
        <f t="shared" si="76"/>
        <v/>
      </c>
      <c r="AN63" s="492" t="str">
        <f t="shared" si="77"/>
        <v/>
      </c>
      <c r="AO63" s="492" t="str">
        <f t="shared" si="78"/>
        <v/>
      </c>
      <c r="AP63" s="492" t="str">
        <f t="shared" si="79"/>
        <v/>
      </c>
      <c r="AQ63" s="492" t="str">
        <f t="shared" si="80"/>
        <v/>
      </c>
      <c r="AR63" s="492" t="str">
        <f t="shared" si="81"/>
        <v/>
      </c>
      <c r="AS63" s="492" t="str">
        <f t="shared" si="82"/>
        <v/>
      </c>
      <c r="AT63" s="492" t="str">
        <f t="shared" si="83"/>
        <v/>
      </c>
      <c r="AU63" s="492" t="str">
        <f t="shared" si="84"/>
        <v/>
      </c>
      <c r="AV63" s="492" t="str">
        <f t="shared" si="85"/>
        <v/>
      </c>
      <c r="AW63" s="492" t="str">
        <f t="shared" si="86"/>
        <v/>
      </c>
      <c r="AX63" s="492" t="str">
        <f t="shared" si="87"/>
        <v/>
      </c>
      <c r="AY63" s="492" t="str">
        <f t="shared" si="88"/>
        <v/>
      </c>
      <c r="AZ63" s="492" t="str">
        <f t="shared" si="89"/>
        <v/>
      </c>
      <c r="BA63" s="492" t="str">
        <f t="shared" si="90"/>
        <v/>
      </c>
      <c r="BB63" s="492" t="str">
        <f t="shared" si="91"/>
        <v/>
      </c>
      <c r="BC63" s="492" t="str">
        <f t="shared" si="92"/>
        <v/>
      </c>
      <c r="BD63" s="492" t="str">
        <f t="shared" si="93"/>
        <v/>
      </c>
      <c r="BE63" s="492" t="str">
        <f t="shared" si="94"/>
        <v/>
      </c>
      <c r="BF63" s="492" t="str">
        <f t="shared" si="95"/>
        <v/>
      </c>
      <c r="BG63" s="492" t="str">
        <f t="shared" si="96"/>
        <v/>
      </c>
      <c r="BH63" s="492" t="str">
        <f t="shared" si="97"/>
        <v/>
      </c>
      <c r="BI63" s="492" t="str">
        <f t="shared" si="98"/>
        <v/>
      </c>
      <c r="BJ63" s="492" t="str">
        <f t="shared" si="99"/>
        <v/>
      </c>
      <c r="BK63" s="492" t="str">
        <f t="shared" si="100"/>
        <v/>
      </c>
      <c r="BL63" s="492" t="str">
        <f t="shared" si="101"/>
        <v/>
      </c>
      <c r="BM63" s="492" t="str">
        <f t="shared" si="102"/>
        <v/>
      </c>
      <c r="BN63" s="492" t="str">
        <f t="shared" si="103"/>
        <v/>
      </c>
      <c r="BO63" s="492" t="str">
        <f t="shared" si="104"/>
        <v/>
      </c>
      <c r="BP63" s="492" t="str">
        <f t="shared" si="105"/>
        <v/>
      </c>
      <c r="BQ63" s="492" t="str">
        <f t="shared" si="106"/>
        <v/>
      </c>
      <c r="BR63" s="492" t="str">
        <f t="shared" si="107"/>
        <v/>
      </c>
      <c r="BS63" s="492" t="str">
        <f t="shared" si="108"/>
        <v/>
      </c>
      <c r="BT63" s="492" t="str">
        <f t="shared" si="109"/>
        <v/>
      </c>
      <c r="BU63" s="492" t="str">
        <f t="shared" si="110"/>
        <v/>
      </c>
      <c r="BV63" s="492" t="str">
        <f t="shared" si="111"/>
        <v/>
      </c>
      <c r="BW63" s="492" t="str">
        <f t="shared" si="112"/>
        <v/>
      </c>
      <c r="BX63" s="492" t="str">
        <f t="shared" si="113"/>
        <v/>
      </c>
      <c r="BY63" s="492" t="str">
        <f t="shared" si="114"/>
        <v/>
      </c>
      <c r="BZ63" s="492" t="str">
        <f t="shared" si="115"/>
        <v/>
      </c>
      <c r="CA63" s="492" t="str">
        <f t="shared" si="116"/>
        <v/>
      </c>
      <c r="CB63" s="492" t="str">
        <f t="shared" si="117"/>
        <v/>
      </c>
      <c r="CC63" s="492" t="str">
        <f t="shared" si="118"/>
        <v/>
      </c>
      <c r="CD63" s="492" t="str">
        <f t="shared" si="119"/>
        <v/>
      </c>
      <c r="CE63" s="492" t="str">
        <f t="shared" si="120"/>
        <v/>
      </c>
      <c r="CF63" s="492" t="str">
        <f t="shared" si="121"/>
        <v/>
      </c>
      <c r="CG63" s="492" t="str">
        <f t="shared" si="122"/>
        <v/>
      </c>
      <c r="CH63" s="492" t="str">
        <f t="shared" si="123"/>
        <v/>
      </c>
      <c r="CI63" s="492" t="str">
        <f t="shared" si="124"/>
        <v/>
      </c>
      <c r="CJ63" s="492" t="str">
        <f t="shared" si="125"/>
        <v/>
      </c>
      <c r="CK63" s="492" t="str">
        <f t="shared" si="126"/>
        <v/>
      </c>
      <c r="CL63" s="492" t="str">
        <f t="shared" si="127"/>
        <v/>
      </c>
      <c r="CM63" s="492" t="str">
        <f t="shared" si="128"/>
        <v/>
      </c>
      <c r="CN63" s="492" t="str">
        <f t="shared" si="129"/>
        <v/>
      </c>
      <c r="CO63" s="492" t="str">
        <f t="shared" si="130"/>
        <v/>
      </c>
      <c r="CP63" s="492" t="str">
        <f t="shared" si="131"/>
        <v/>
      </c>
      <c r="CQ63" s="492" t="str">
        <f t="shared" si="132"/>
        <v/>
      </c>
      <c r="CR63" s="492" t="str">
        <f t="shared" si="133"/>
        <v/>
      </c>
      <c r="CS63" s="492" t="str">
        <f t="shared" si="134"/>
        <v/>
      </c>
      <c r="CT63" s="492" t="str">
        <f t="shared" si="135"/>
        <v/>
      </c>
      <c r="CU63" s="492" t="str">
        <f t="shared" si="136"/>
        <v/>
      </c>
      <c r="CV63" s="492" t="str">
        <f t="shared" si="137"/>
        <v/>
      </c>
      <c r="CW63" s="495">
        <v>1</v>
      </c>
      <c r="CX63" s="496"/>
      <c r="CY63" s="496"/>
      <c r="CZ63" s="496"/>
      <c r="DA63" s="496"/>
      <c r="DB63" s="496"/>
    </row>
    <row r="64" spans="1:106" ht="13.5" customHeight="1">
      <c r="A64" s="1232">
        <v>54</v>
      </c>
      <c r="B64" s="1233"/>
      <c r="C64" s="1230"/>
      <c r="D64" s="1234"/>
      <c r="E64" s="1231"/>
      <c r="F64" s="1230"/>
      <c r="G64" s="1234"/>
      <c r="H64" s="1231"/>
      <c r="I64" s="1230"/>
      <c r="J64" s="1231"/>
      <c r="K64" s="1290"/>
      <c r="L64" s="1291"/>
      <c r="M64" s="1290"/>
      <c r="N64" s="1291"/>
      <c r="O64" s="1290"/>
      <c r="P64" s="1291"/>
      <c r="Q64" s="1230"/>
      <c r="R64" s="1231"/>
      <c r="S64" s="1230"/>
      <c r="T64" s="1231"/>
      <c r="U64" s="1228"/>
      <c r="V64" s="1229"/>
      <c r="W64" s="1230"/>
      <c r="X64" s="1231"/>
      <c r="Y64" s="1226"/>
      <c r="Z64" s="1227"/>
      <c r="AA64" s="1275"/>
      <c r="AB64" s="1275"/>
      <c r="AC64" s="1212" t="str">
        <f t="shared" si="69"/>
        <v/>
      </c>
      <c r="AD64" s="1213"/>
      <c r="AE64" s="1213"/>
      <c r="AF64" s="1213"/>
      <c r="AG64" s="492" t="str">
        <f t="shared" si="70"/>
        <v/>
      </c>
      <c r="AH64" s="466" t="str">
        <f t="shared" si="71"/>
        <v/>
      </c>
      <c r="AI64" s="466" t="str">
        <f t="shared" si="72"/>
        <v/>
      </c>
      <c r="AJ64" s="466" t="str">
        <f t="shared" si="73"/>
        <v/>
      </c>
      <c r="AK64" s="492" t="str">
        <f t="shared" si="74"/>
        <v>○</v>
      </c>
      <c r="AL64" s="492" t="str">
        <f t="shared" si="75"/>
        <v/>
      </c>
      <c r="AM64" s="492" t="str">
        <f t="shared" si="76"/>
        <v/>
      </c>
      <c r="AN64" s="492" t="str">
        <f t="shared" si="77"/>
        <v/>
      </c>
      <c r="AO64" s="492" t="str">
        <f t="shared" si="78"/>
        <v/>
      </c>
      <c r="AP64" s="492" t="str">
        <f t="shared" si="79"/>
        <v/>
      </c>
      <c r="AQ64" s="492" t="str">
        <f t="shared" si="80"/>
        <v/>
      </c>
      <c r="AR64" s="492" t="str">
        <f t="shared" si="81"/>
        <v/>
      </c>
      <c r="AS64" s="492" t="str">
        <f t="shared" si="82"/>
        <v/>
      </c>
      <c r="AT64" s="492" t="str">
        <f t="shared" si="83"/>
        <v/>
      </c>
      <c r="AU64" s="492" t="str">
        <f t="shared" si="84"/>
        <v/>
      </c>
      <c r="AV64" s="492" t="str">
        <f t="shared" si="85"/>
        <v/>
      </c>
      <c r="AW64" s="492" t="str">
        <f t="shared" si="86"/>
        <v/>
      </c>
      <c r="AX64" s="492" t="str">
        <f t="shared" si="87"/>
        <v/>
      </c>
      <c r="AY64" s="492" t="str">
        <f t="shared" si="88"/>
        <v/>
      </c>
      <c r="AZ64" s="492" t="str">
        <f t="shared" si="89"/>
        <v/>
      </c>
      <c r="BA64" s="492" t="str">
        <f t="shared" si="90"/>
        <v/>
      </c>
      <c r="BB64" s="492" t="str">
        <f t="shared" si="91"/>
        <v/>
      </c>
      <c r="BC64" s="492" t="str">
        <f t="shared" si="92"/>
        <v/>
      </c>
      <c r="BD64" s="492" t="str">
        <f t="shared" si="93"/>
        <v/>
      </c>
      <c r="BE64" s="492" t="str">
        <f t="shared" si="94"/>
        <v/>
      </c>
      <c r="BF64" s="492" t="str">
        <f t="shared" si="95"/>
        <v/>
      </c>
      <c r="BG64" s="492" t="str">
        <f t="shared" si="96"/>
        <v/>
      </c>
      <c r="BH64" s="492" t="str">
        <f t="shared" si="97"/>
        <v/>
      </c>
      <c r="BI64" s="492" t="str">
        <f t="shared" si="98"/>
        <v/>
      </c>
      <c r="BJ64" s="492" t="str">
        <f t="shared" si="99"/>
        <v/>
      </c>
      <c r="BK64" s="492" t="str">
        <f t="shared" si="100"/>
        <v/>
      </c>
      <c r="BL64" s="492" t="str">
        <f t="shared" si="101"/>
        <v/>
      </c>
      <c r="BM64" s="492" t="str">
        <f t="shared" si="102"/>
        <v/>
      </c>
      <c r="BN64" s="492" t="str">
        <f t="shared" si="103"/>
        <v/>
      </c>
      <c r="BO64" s="492" t="str">
        <f t="shared" si="104"/>
        <v/>
      </c>
      <c r="BP64" s="492" t="str">
        <f t="shared" si="105"/>
        <v/>
      </c>
      <c r="BQ64" s="492" t="str">
        <f t="shared" si="106"/>
        <v/>
      </c>
      <c r="BR64" s="492" t="str">
        <f t="shared" si="107"/>
        <v/>
      </c>
      <c r="BS64" s="492" t="str">
        <f t="shared" si="108"/>
        <v/>
      </c>
      <c r="BT64" s="492" t="str">
        <f t="shared" si="109"/>
        <v/>
      </c>
      <c r="BU64" s="492" t="str">
        <f t="shared" si="110"/>
        <v/>
      </c>
      <c r="BV64" s="492" t="str">
        <f t="shared" si="111"/>
        <v/>
      </c>
      <c r="BW64" s="492" t="str">
        <f t="shared" si="112"/>
        <v/>
      </c>
      <c r="BX64" s="492" t="str">
        <f t="shared" si="113"/>
        <v/>
      </c>
      <c r="BY64" s="492" t="str">
        <f t="shared" si="114"/>
        <v/>
      </c>
      <c r="BZ64" s="492" t="str">
        <f t="shared" si="115"/>
        <v/>
      </c>
      <c r="CA64" s="492" t="str">
        <f t="shared" si="116"/>
        <v/>
      </c>
      <c r="CB64" s="492" t="str">
        <f t="shared" si="117"/>
        <v/>
      </c>
      <c r="CC64" s="492" t="str">
        <f t="shared" si="118"/>
        <v/>
      </c>
      <c r="CD64" s="492" t="str">
        <f t="shared" si="119"/>
        <v/>
      </c>
      <c r="CE64" s="492" t="str">
        <f t="shared" si="120"/>
        <v/>
      </c>
      <c r="CF64" s="492" t="str">
        <f t="shared" si="121"/>
        <v/>
      </c>
      <c r="CG64" s="492" t="str">
        <f t="shared" si="122"/>
        <v/>
      </c>
      <c r="CH64" s="492" t="str">
        <f t="shared" si="123"/>
        <v/>
      </c>
      <c r="CI64" s="492" t="str">
        <f t="shared" si="124"/>
        <v/>
      </c>
      <c r="CJ64" s="492" t="str">
        <f t="shared" si="125"/>
        <v/>
      </c>
      <c r="CK64" s="492" t="str">
        <f t="shared" si="126"/>
        <v/>
      </c>
      <c r="CL64" s="492" t="str">
        <f t="shared" si="127"/>
        <v/>
      </c>
      <c r="CM64" s="492" t="str">
        <f t="shared" si="128"/>
        <v/>
      </c>
      <c r="CN64" s="492" t="str">
        <f t="shared" si="129"/>
        <v/>
      </c>
      <c r="CO64" s="492" t="str">
        <f t="shared" si="130"/>
        <v/>
      </c>
      <c r="CP64" s="492" t="str">
        <f t="shared" si="131"/>
        <v/>
      </c>
      <c r="CQ64" s="492" t="str">
        <f t="shared" si="132"/>
        <v/>
      </c>
      <c r="CR64" s="492" t="str">
        <f t="shared" si="133"/>
        <v/>
      </c>
      <c r="CS64" s="492" t="str">
        <f t="shared" si="134"/>
        <v/>
      </c>
      <c r="CT64" s="492" t="str">
        <f t="shared" si="135"/>
        <v/>
      </c>
      <c r="CU64" s="492" t="str">
        <f t="shared" si="136"/>
        <v/>
      </c>
      <c r="CV64" s="492" t="str">
        <f t="shared" si="137"/>
        <v/>
      </c>
      <c r="CW64" s="495">
        <v>1</v>
      </c>
      <c r="CX64" s="496"/>
      <c r="CY64" s="496"/>
      <c r="CZ64" s="496"/>
      <c r="DA64" s="496"/>
      <c r="DB64" s="496"/>
    </row>
    <row r="65" spans="1:106" ht="13.5" customHeight="1">
      <c r="A65" s="1232">
        <v>55</v>
      </c>
      <c r="B65" s="1233"/>
      <c r="C65" s="1230"/>
      <c r="D65" s="1234"/>
      <c r="E65" s="1231"/>
      <c r="F65" s="1230"/>
      <c r="G65" s="1234"/>
      <c r="H65" s="1231"/>
      <c r="I65" s="1230"/>
      <c r="J65" s="1231"/>
      <c r="K65" s="1290"/>
      <c r="L65" s="1291"/>
      <c r="M65" s="1290"/>
      <c r="N65" s="1291"/>
      <c r="O65" s="1290"/>
      <c r="P65" s="1291"/>
      <c r="Q65" s="1230"/>
      <c r="R65" s="1231"/>
      <c r="S65" s="1230"/>
      <c r="T65" s="1231"/>
      <c r="U65" s="1228"/>
      <c r="V65" s="1229"/>
      <c r="W65" s="1230"/>
      <c r="X65" s="1231"/>
      <c r="Y65" s="1226"/>
      <c r="Z65" s="1227"/>
      <c r="AA65" s="1275"/>
      <c r="AB65" s="1275"/>
      <c r="AC65" s="1212" t="str">
        <f t="shared" si="69"/>
        <v/>
      </c>
      <c r="AD65" s="1213"/>
      <c r="AE65" s="1213"/>
      <c r="AF65" s="1213"/>
      <c r="AG65" s="492" t="str">
        <f t="shared" si="70"/>
        <v/>
      </c>
      <c r="AH65" s="466" t="str">
        <f t="shared" si="71"/>
        <v/>
      </c>
      <c r="AI65" s="466" t="str">
        <f t="shared" si="72"/>
        <v/>
      </c>
      <c r="AJ65" s="466" t="str">
        <f t="shared" si="73"/>
        <v/>
      </c>
      <c r="AK65" s="492" t="str">
        <f t="shared" si="74"/>
        <v>○</v>
      </c>
      <c r="AL65" s="492" t="str">
        <f t="shared" si="75"/>
        <v/>
      </c>
      <c r="AM65" s="492" t="str">
        <f t="shared" si="76"/>
        <v/>
      </c>
      <c r="AN65" s="492" t="str">
        <f t="shared" si="77"/>
        <v/>
      </c>
      <c r="AO65" s="492" t="str">
        <f t="shared" si="78"/>
        <v/>
      </c>
      <c r="AP65" s="492" t="str">
        <f t="shared" si="79"/>
        <v/>
      </c>
      <c r="AQ65" s="492" t="str">
        <f t="shared" si="80"/>
        <v/>
      </c>
      <c r="AR65" s="492" t="str">
        <f t="shared" si="81"/>
        <v/>
      </c>
      <c r="AS65" s="492" t="str">
        <f t="shared" si="82"/>
        <v/>
      </c>
      <c r="AT65" s="492" t="str">
        <f t="shared" si="83"/>
        <v/>
      </c>
      <c r="AU65" s="492" t="str">
        <f t="shared" si="84"/>
        <v/>
      </c>
      <c r="AV65" s="492" t="str">
        <f t="shared" si="85"/>
        <v/>
      </c>
      <c r="AW65" s="492" t="str">
        <f t="shared" si="86"/>
        <v/>
      </c>
      <c r="AX65" s="492" t="str">
        <f t="shared" si="87"/>
        <v/>
      </c>
      <c r="AY65" s="492" t="str">
        <f t="shared" si="88"/>
        <v/>
      </c>
      <c r="AZ65" s="492" t="str">
        <f t="shared" si="89"/>
        <v/>
      </c>
      <c r="BA65" s="492" t="str">
        <f t="shared" si="90"/>
        <v/>
      </c>
      <c r="BB65" s="492" t="str">
        <f t="shared" si="91"/>
        <v/>
      </c>
      <c r="BC65" s="492" t="str">
        <f t="shared" si="92"/>
        <v/>
      </c>
      <c r="BD65" s="492" t="str">
        <f t="shared" si="93"/>
        <v/>
      </c>
      <c r="BE65" s="492" t="str">
        <f t="shared" si="94"/>
        <v/>
      </c>
      <c r="BF65" s="492" t="str">
        <f t="shared" si="95"/>
        <v/>
      </c>
      <c r="BG65" s="492" t="str">
        <f t="shared" si="96"/>
        <v/>
      </c>
      <c r="BH65" s="492" t="str">
        <f t="shared" si="97"/>
        <v/>
      </c>
      <c r="BI65" s="492" t="str">
        <f t="shared" si="98"/>
        <v/>
      </c>
      <c r="BJ65" s="492" t="str">
        <f t="shared" si="99"/>
        <v/>
      </c>
      <c r="BK65" s="492" t="str">
        <f t="shared" si="100"/>
        <v/>
      </c>
      <c r="BL65" s="492" t="str">
        <f t="shared" si="101"/>
        <v/>
      </c>
      <c r="BM65" s="492" t="str">
        <f t="shared" si="102"/>
        <v/>
      </c>
      <c r="BN65" s="492" t="str">
        <f t="shared" si="103"/>
        <v/>
      </c>
      <c r="BO65" s="492" t="str">
        <f t="shared" si="104"/>
        <v/>
      </c>
      <c r="BP65" s="492" t="str">
        <f t="shared" si="105"/>
        <v/>
      </c>
      <c r="BQ65" s="492" t="str">
        <f t="shared" si="106"/>
        <v/>
      </c>
      <c r="BR65" s="492" t="str">
        <f t="shared" si="107"/>
        <v/>
      </c>
      <c r="BS65" s="492" t="str">
        <f t="shared" si="108"/>
        <v/>
      </c>
      <c r="BT65" s="492" t="str">
        <f t="shared" si="109"/>
        <v/>
      </c>
      <c r="BU65" s="492" t="str">
        <f t="shared" si="110"/>
        <v/>
      </c>
      <c r="BV65" s="492" t="str">
        <f t="shared" si="111"/>
        <v/>
      </c>
      <c r="BW65" s="492" t="str">
        <f t="shared" si="112"/>
        <v/>
      </c>
      <c r="BX65" s="492" t="str">
        <f t="shared" si="113"/>
        <v/>
      </c>
      <c r="BY65" s="492" t="str">
        <f t="shared" si="114"/>
        <v/>
      </c>
      <c r="BZ65" s="492" t="str">
        <f t="shared" si="115"/>
        <v/>
      </c>
      <c r="CA65" s="492" t="str">
        <f t="shared" si="116"/>
        <v/>
      </c>
      <c r="CB65" s="492" t="str">
        <f t="shared" si="117"/>
        <v/>
      </c>
      <c r="CC65" s="492" t="str">
        <f t="shared" si="118"/>
        <v/>
      </c>
      <c r="CD65" s="492" t="str">
        <f t="shared" si="119"/>
        <v/>
      </c>
      <c r="CE65" s="492" t="str">
        <f t="shared" si="120"/>
        <v/>
      </c>
      <c r="CF65" s="492" t="str">
        <f t="shared" si="121"/>
        <v/>
      </c>
      <c r="CG65" s="492" t="str">
        <f t="shared" si="122"/>
        <v/>
      </c>
      <c r="CH65" s="492" t="str">
        <f t="shared" si="123"/>
        <v/>
      </c>
      <c r="CI65" s="492" t="str">
        <f t="shared" si="124"/>
        <v/>
      </c>
      <c r="CJ65" s="492" t="str">
        <f t="shared" si="125"/>
        <v/>
      </c>
      <c r="CK65" s="492" t="str">
        <f t="shared" si="126"/>
        <v/>
      </c>
      <c r="CL65" s="492" t="str">
        <f t="shared" si="127"/>
        <v/>
      </c>
      <c r="CM65" s="492" t="str">
        <f t="shared" si="128"/>
        <v/>
      </c>
      <c r="CN65" s="492" t="str">
        <f t="shared" si="129"/>
        <v/>
      </c>
      <c r="CO65" s="492" t="str">
        <f t="shared" si="130"/>
        <v/>
      </c>
      <c r="CP65" s="492" t="str">
        <f t="shared" si="131"/>
        <v/>
      </c>
      <c r="CQ65" s="492" t="str">
        <f t="shared" si="132"/>
        <v/>
      </c>
      <c r="CR65" s="492" t="str">
        <f t="shared" si="133"/>
        <v/>
      </c>
      <c r="CS65" s="492" t="str">
        <f t="shared" si="134"/>
        <v/>
      </c>
      <c r="CT65" s="492" t="str">
        <f t="shared" si="135"/>
        <v/>
      </c>
      <c r="CU65" s="492" t="str">
        <f t="shared" si="136"/>
        <v/>
      </c>
      <c r="CV65" s="492" t="str">
        <f t="shared" si="137"/>
        <v/>
      </c>
      <c r="CW65" s="495">
        <v>1</v>
      </c>
      <c r="CX65" s="496"/>
      <c r="CY65" s="496"/>
      <c r="CZ65" s="496"/>
      <c r="DA65" s="496"/>
      <c r="DB65" s="496"/>
    </row>
    <row r="66" spans="1:106" ht="13.5" customHeight="1">
      <c r="A66" s="1232">
        <v>56</v>
      </c>
      <c r="B66" s="1233"/>
      <c r="C66" s="1230"/>
      <c r="D66" s="1234"/>
      <c r="E66" s="1231"/>
      <c r="F66" s="1230"/>
      <c r="G66" s="1234"/>
      <c r="H66" s="1231"/>
      <c r="I66" s="1230"/>
      <c r="J66" s="1231"/>
      <c r="K66" s="1290"/>
      <c r="L66" s="1291"/>
      <c r="M66" s="1290"/>
      <c r="N66" s="1291"/>
      <c r="O66" s="1290"/>
      <c r="P66" s="1291"/>
      <c r="Q66" s="1230"/>
      <c r="R66" s="1231"/>
      <c r="S66" s="1230"/>
      <c r="T66" s="1231"/>
      <c r="U66" s="1228"/>
      <c r="V66" s="1229"/>
      <c r="W66" s="1230"/>
      <c r="X66" s="1231"/>
      <c r="Y66" s="1226"/>
      <c r="Z66" s="1227"/>
      <c r="AA66" s="1275"/>
      <c r="AB66" s="1275"/>
      <c r="AC66" s="1212" t="str">
        <f t="shared" si="69"/>
        <v/>
      </c>
      <c r="AD66" s="1213"/>
      <c r="AE66" s="1213"/>
      <c r="AF66" s="1213"/>
      <c r="AG66" s="492" t="str">
        <f t="shared" si="70"/>
        <v/>
      </c>
      <c r="AH66" s="466" t="str">
        <f t="shared" si="71"/>
        <v/>
      </c>
      <c r="AI66" s="466" t="str">
        <f t="shared" si="72"/>
        <v/>
      </c>
      <c r="AJ66" s="466" t="str">
        <f t="shared" si="73"/>
        <v/>
      </c>
      <c r="AK66" s="492" t="str">
        <f t="shared" si="74"/>
        <v>○</v>
      </c>
      <c r="AL66" s="492" t="str">
        <f t="shared" si="75"/>
        <v/>
      </c>
      <c r="AM66" s="492" t="str">
        <f t="shared" si="76"/>
        <v/>
      </c>
      <c r="AN66" s="492" t="str">
        <f t="shared" si="77"/>
        <v/>
      </c>
      <c r="AO66" s="492" t="str">
        <f t="shared" si="78"/>
        <v/>
      </c>
      <c r="AP66" s="492" t="str">
        <f t="shared" si="79"/>
        <v/>
      </c>
      <c r="AQ66" s="492" t="str">
        <f t="shared" si="80"/>
        <v/>
      </c>
      <c r="AR66" s="492" t="str">
        <f t="shared" si="81"/>
        <v/>
      </c>
      <c r="AS66" s="492" t="str">
        <f t="shared" si="82"/>
        <v/>
      </c>
      <c r="AT66" s="492" t="str">
        <f t="shared" si="83"/>
        <v/>
      </c>
      <c r="AU66" s="492" t="str">
        <f t="shared" si="84"/>
        <v/>
      </c>
      <c r="AV66" s="492" t="str">
        <f t="shared" si="85"/>
        <v/>
      </c>
      <c r="AW66" s="492" t="str">
        <f t="shared" si="86"/>
        <v/>
      </c>
      <c r="AX66" s="492" t="str">
        <f t="shared" si="87"/>
        <v/>
      </c>
      <c r="AY66" s="492" t="str">
        <f t="shared" si="88"/>
        <v/>
      </c>
      <c r="AZ66" s="492" t="str">
        <f t="shared" si="89"/>
        <v/>
      </c>
      <c r="BA66" s="492" t="str">
        <f t="shared" si="90"/>
        <v/>
      </c>
      <c r="BB66" s="492" t="str">
        <f t="shared" si="91"/>
        <v/>
      </c>
      <c r="BC66" s="492" t="str">
        <f t="shared" si="92"/>
        <v/>
      </c>
      <c r="BD66" s="492" t="str">
        <f t="shared" si="93"/>
        <v/>
      </c>
      <c r="BE66" s="492" t="str">
        <f t="shared" si="94"/>
        <v/>
      </c>
      <c r="BF66" s="492" t="str">
        <f t="shared" si="95"/>
        <v/>
      </c>
      <c r="BG66" s="492" t="str">
        <f t="shared" si="96"/>
        <v/>
      </c>
      <c r="BH66" s="492" t="str">
        <f t="shared" si="97"/>
        <v/>
      </c>
      <c r="BI66" s="492" t="str">
        <f t="shared" si="98"/>
        <v/>
      </c>
      <c r="BJ66" s="492" t="str">
        <f t="shared" si="99"/>
        <v/>
      </c>
      <c r="BK66" s="492" t="str">
        <f t="shared" si="100"/>
        <v/>
      </c>
      <c r="BL66" s="492" t="str">
        <f t="shared" si="101"/>
        <v/>
      </c>
      <c r="BM66" s="492" t="str">
        <f t="shared" si="102"/>
        <v/>
      </c>
      <c r="BN66" s="492" t="str">
        <f t="shared" si="103"/>
        <v/>
      </c>
      <c r="BO66" s="492" t="str">
        <f t="shared" si="104"/>
        <v/>
      </c>
      <c r="BP66" s="492" t="str">
        <f t="shared" si="105"/>
        <v/>
      </c>
      <c r="BQ66" s="492" t="str">
        <f t="shared" si="106"/>
        <v/>
      </c>
      <c r="BR66" s="492" t="str">
        <f t="shared" si="107"/>
        <v/>
      </c>
      <c r="BS66" s="492" t="str">
        <f t="shared" si="108"/>
        <v/>
      </c>
      <c r="BT66" s="492" t="str">
        <f t="shared" si="109"/>
        <v/>
      </c>
      <c r="BU66" s="492" t="str">
        <f t="shared" si="110"/>
        <v/>
      </c>
      <c r="BV66" s="492" t="str">
        <f t="shared" si="111"/>
        <v/>
      </c>
      <c r="BW66" s="492" t="str">
        <f t="shared" si="112"/>
        <v/>
      </c>
      <c r="BX66" s="492" t="str">
        <f t="shared" si="113"/>
        <v/>
      </c>
      <c r="BY66" s="492" t="str">
        <f t="shared" si="114"/>
        <v/>
      </c>
      <c r="BZ66" s="492" t="str">
        <f t="shared" si="115"/>
        <v/>
      </c>
      <c r="CA66" s="492" t="str">
        <f t="shared" si="116"/>
        <v/>
      </c>
      <c r="CB66" s="492" t="str">
        <f t="shared" si="117"/>
        <v/>
      </c>
      <c r="CC66" s="492" t="str">
        <f t="shared" si="118"/>
        <v/>
      </c>
      <c r="CD66" s="492" t="str">
        <f t="shared" si="119"/>
        <v/>
      </c>
      <c r="CE66" s="492" t="str">
        <f t="shared" si="120"/>
        <v/>
      </c>
      <c r="CF66" s="492" t="str">
        <f t="shared" si="121"/>
        <v/>
      </c>
      <c r="CG66" s="492" t="str">
        <f t="shared" si="122"/>
        <v/>
      </c>
      <c r="CH66" s="492" t="str">
        <f t="shared" si="123"/>
        <v/>
      </c>
      <c r="CI66" s="492" t="str">
        <f t="shared" si="124"/>
        <v/>
      </c>
      <c r="CJ66" s="492" t="str">
        <f t="shared" si="125"/>
        <v/>
      </c>
      <c r="CK66" s="492" t="str">
        <f t="shared" si="126"/>
        <v/>
      </c>
      <c r="CL66" s="492" t="str">
        <f t="shared" si="127"/>
        <v/>
      </c>
      <c r="CM66" s="492" t="str">
        <f t="shared" si="128"/>
        <v/>
      </c>
      <c r="CN66" s="492" t="str">
        <f t="shared" si="129"/>
        <v/>
      </c>
      <c r="CO66" s="492" t="str">
        <f t="shared" si="130"/>
        <v/>
      </c>
      <c r="CP66" s="492" t="str">
        <f t="shared" si="131"/>
        <v/>
      </c>
      <c r="CQ66" s="492" t="str">
        <f t="shared" si="132"/>
        <v/>
      </c>
      <c r="CR66" s="492" t="str">
        <f t="shared" si="133"/>
        <v/>
      </c>
      <c r="CS66" s="492" t="str">
        <f t="shared" si="134"/>
        <v/>
      </c>
      <c r="CT66" s="492" t="str">
        <f t="shared" si="135"/>
        <v/>
      </c>
      <c r="CU66" s="492" t="str">
        <f t="shared" si="136"/>
        <v/>
      </c>
      <c r="CV66" s="492" t="str">
        <f t="shared" si="137"/>
        <v/>
      </c>
      <c r="CW66" s="495">
        <v>1</v>
      </c>
      <c r="CX66" s="496"/>
      <c r="CY66" s="496"/>
      <c r="CZ66" s="496"/>
      <c r="DA66" s="496"/>
      <c r="DB66" s="496"/>
    </row>
    <row r="67" spans="1:106" ht="13.5" customHeight="1">
      <c r="A67" s="1232">
        <v>57</v>
      </c>
      <c r="B67" s="1233"/>
      <c r="C67" s="1230"/>
      <c r="D67" s="1234"/>
      <c r="E67" s="1231"/>
      <c r="F67" s="1230"/>
      <c r="G67" s="1234"/>
      <c r="H67" s="1231"/>
      <c r="I67" s="1230"/>
      <c r="J67" s="1231"/>
      <c r="K67" s="1290"/>
      <c r="L67" s="1291"/>
      <c r="M67" s="1290"/>
      <c r="N67" s="1291"/>
      <c r="O67" s="1290"/>
      <c r="P67" s="1291"/>
      <c r="Q67" s="1230"/>
      <c r="R67" s="1231"/>
      <c r="S67" s="1230"/>
      <c r="T67" s="1231"/>
      <c r="U67" s="1228"/>
      <c r="V67" s="1229"/>
      <c r="W67" s="1230"/>
      <c r="X67" s="1231"/>
      <c r="Y67" s="1226"/>
      <c r="Z67" s="1227"/>
      <c r="AA67" s="1275"/>
      <c r="AB67" s="1275"/>
      <c r="AC67" s="1212" t="str">
        <f t="shared" si="69"/>
        <v/>
      </c>
      <c r="AD67" s="1213"/>
      <c r="AE67" s="1213"/>
      <c r="AF67" s="1213"/>
      <c r="AG67" s="492" t="str">
        <f t="shared" si="70"/>
        <v/>
      </c>
      <c r="AH67" s="466" t="str">
        <f t="shared" si="71"/>
        <v/>
      </c>
      <c r="AI67" s="466" t="str">
        <f t="shared" si="72"/>
        <v/>
      </c>
      <c r="AJ67" s="466" t="str">
        <f t="shared" si="73"/>
        <v/>
      </c>
      <c r="AK67" s="492" t="str">
        <f t="shared" si="74"/>
        <v>○</v>
      </c>
      <c r="AL67" s="492" t="str">
        <f t="shared" si="75"/>
        <v/>
      </c>
      <c r="AM67" s="492" t="str">
        <f t="shared" si="76"/>
        <v/>
      </c>
      <c r="AN67" s="492" t="str">
        <f t="shared" si="77"/>
        <v/>
      </c>
      <c r="AO67" s="492" t="str">
        <f t="shared" si="78"/>
        <v/>
      </c>
      <c r="AP67" s="492" t="str">
        <f t="shared" si="79"/>
        <v/>
      </c>
      <c r="AQ67" s="492" t="str">
        <f t="shared" si="80"/>
        <v/>
      </c>
      <c r="AR67" s="492" t="str">
        <f t="shared" si="81"/>
        <v/>
      </c>
      <c r="AS67" s="492" t="str">
        <f t="shared" si="82"/>
        <v/>
      </c>
      <c r="AT67" s="492" t="str">
        <f t="shared" si="83"/>
        <v/>
      </c>
      <c r="AU67" s="492" t="str">
        <f t="shared" si="84"/>
        <v/>
      </c>
      <c r="AV67" s="492" t="str">
        <f t="shared" si="85"/>
        <v/>
      </c>
      <c r="AW67" s="492" t="str">
        <f t="shared" si="86"/>
        <v/>
      </c>
      <c r="AX67" s="492" t="str">
        <f t="shared" si="87"/>
        <v/>
      </c>
      <c r="AY67" s="492" t="str">
        <f t="shared" si="88"/>
        <v/>
      </c>
      <c r="AZ67" s="492" t="str">
        <f t="shared" si="89"/>
        <v/>
      </c>
      <c r="BA67" s="492" t="str">
        <f t="shared" si="90"/>
        <v/>
      </c>
      <c r="BB67" s="492" t="str">
        <f t="shared" si="91"/>
        <v/>
      </c>
      <c r="BC67" s="492" t="str">
        <f t="shared" si="92"/>
        <v/>
      </c>
      <c r="BD67" s="492" t="str">
        <f t="shared" si="93"/>
        <v/>
      </c>
      <c r="BE67" s="492" t="str">
        <f t="shared" si="94"/>
        <v/>
      </c>
      <c r="BF67" s="492" t="str">
        <f t="shared" si="95"/>
        <v/>
      </c>
      <c r="BG67" s="492" t="str">
        <f t="shared" si="96"/>
        <v/>
      </c>
      <c r="BH67" s="492" t="str">
        <f t="shared" si="97"/>
        <v/>
      </c>
      <c r="BI67" s="492" t="str">
        <f t="shared" si="98"/>
        <v/>
      </c>
      <c r="BJ67" s="492" t="str">
        <f t="shared" si="99"/>
        <v/>
      </c>
      <c r="BK67" s="492" t="str">
        <f t="shared" si="100"/>
        <v/>
      </c>
      <c r="BL67" s="492" t="str">
        <f t="shared" si="101"/>
        <v/>
      </c>
      <c r="BM67" s="492" t="str">
        <f t="shared" si="102"/>
        <v/>
      </c>
      <c r="BN67" s="492" t="str">
        <f t="shared" si="103"/>
        <v/>
      </c>
      <c r="BO67" s="492" t="str">
        <f t="shared" si="104"/>
        <v/>
      </c>
      <c r="BP67" s="492" t="str">
        <f t="shared" si="105"/>
        <v/>
      </c>
      <c r="BQ67" s="492" t="str">
        <f t="shared" si="106"/>
        <v/>
      </c>
      <c r="BR67" s="492" t="str">
        <f t="shared" si="107"/>
        <v/>
      </c>
      <c r="BS67" s="492" t="str">
        <f t="shared" si="108"/>
        <v/>
      </c>
      <c r="BT67" s="492" t="str">
        <f t="shared" si="109"/>
        <v/>
      </c>
      <c r="BU67" s="492" t="str">
        <f t="shared" si="110"/>
        <v/>
      </c>
      <c r="BV67" s="492" t="str">
        <f t="shared" si="111"/>
        <v/>
      </c>
      <c r="BW67" s="492" t="str">
        <f t="shared" si="112"/>
        <v/>
      </c>
      <c r="BX67" s="492" t="str">
        <f t="shared" si="113"/>
        <v/>
      </c>
      <c r="BY67" s="492" t="str">
        <f t="shared" si="114"/>
        <v/>
      </c>
      <c r="BZ67" s="492" t="str">
        <f t="shared" si="115"/>
        <v/>
      </c>
      <c r="CA67" s="492" t="str">
        <f t="shared" si="116"/>
        <v/>
      </c>
      <c r="CB67" s="492" t="str">
        <f t="shared" si="117"/>
        <v/>
      </c>
      <c r="CC67" s="492" t="str">
        <f t="shared" si="118"/>
        <v/>
      </c>
      <c r="CD67" s="492" t="str">
        <f t="shared" si="119"/>
        <v/>
      </c>
      <c r="CE67" s="492" t="str">
        <f t="shared" si="120"/>
        <v/>
      </c>
      <c r="CF67" s="492" t="str">
        <f t="shared" si="121"/>
        <v/>
      </c>
      <c r="CG67" s="492" t="str">
        <f t="shared" si="122"/>
        <v/>
      </c>
      <c r="CH67" s="492" t="str">
        <f t="shared" si="123"/>
        <v/>
      </c>
      <c r="CI67" s="492" t="str">
        <f t="shared" si="124"/>
        <v/>
      </c>
      <c r="CJ67" s="492" t="str">
        <f t="shared" si="125"/>
        <v/>
      </c>
      <c r="CK67" s="492" t="str">
        <f t="shared" si="126"/>
        <v/>
      </c>
      <c r="CL67" s="492" t="str">
        <f t="shared" si="127"/>
        <v/>
      </c>
      <c r="CM67" s="492" t="str">
        <f t="shared" si="128"/>
        <v/>
      </c>
      <c r="CN67" s="492" t="str">
        <f t="shared" si="129"/>
        <v/>
      </c>
      <c r="CO67" s="492" t="str">
        <f t="shared" si="130"/>
        <v/>
      </c>
      <c r="CP67" s="492" t="str">
        <f t="shared" si="131"/>
        <v/>
      </c>
      <c r="CQ67" s="492" t="str">
        <f t="shared" si="132"/>
        <v/>
      </c>
      <c r="CR67" s="492" t="str">
        <f t="shared" si="133"/>
        <v/>
      </c>
      <c r="CS67" s="492" t="str">
        <f t="shared" si="134"/>
        <v/>
      </c>
      <c r="CT67" s="492" t="str">
        <f t="shared" si="135"/>
        <v/>
      </c>
      <c r="CU67" s="492" t="str">
        <f t="shared" si="136"/>
        <v/>
      </c>
      <c r="CV67" s="492" t="str">
        <f t="shared" si="137"/>
        <v/>
      </c>
      <c r="CW67" s="495">
        <v>1</v>
      </c>
      <c r="CX67" s="496"/>
      <c r="CY67" s="496"/>
      <c r="CZ67" s="496"/>
      <c r="DA67" s="496"/>
      <c r="DB67" s="496"/>
    </row>
    <row r="68" spans="1:106" ht="13.5" customHeight="1">
      <c r="A68" s="1232">
        <v>58</v>
      </c>
      <c r="B68" s="1233"/>
      <c r="C68" s="1230"/>
      <c r="D68" s="1234"/>
      <c r="E68" s="1231"/>
      <c r="F68" s="1230"/>
      <c r="G68" s="1234"/>
      <c r="H68" s="1231"/>
      <c r="I68" s="1230"/>
      <c r="J68" s="1231"/>
      <c r="K68" s="1290"/>
      <c r="L68" s="1291"/>
      <c r="M68" s="1290"/>
      <c r="N68" s="1291"/>
      <c r="O68" s="1290"/>
      <c r="P68" s="1291"/>
      <c r="Q68" s="1230"/>
      <c r="R68" s="1231"/>
      <c r="S68" s="1230"/>
      <c r="T68" s="1231"/>
      <c r="U68" s="1228"/>
      <c r="V68" s="1229"/>
      <c r="W68" s="1230"/>
      <c r="X68" s="1231"/>
      <c r="Y68" s="1226"/>
      <c r="Z68" s="1227"/>
      <c r="AA68" s="1275"/>
      <c r="AB68" s="1275"/>
      <c r="AC68" s="1212" t="str">
        <f t="shared" si="69"/>
        <v/>
      </c>
      <c r="AD68" s="1213"/>
      <c r="AE68" s="1213"/>
      <c r="AF68" s="1213"/>
      <c r="AG68" s="492" t="str">
        <f t="shared" si="70"/>
        <v/>
      </c>
      <c r="AH68" s="466" t="str">
        <f t="shared" si="71"/>
        <v/>
      </c>
      <c r="AI68" s="466" t="str">
        <f t="shared" si="72"/>
        <v/>
      </c>
      <c r="AJ68" s="466" t="str">
        <f t="shared" si="73"/>
        <v/>
      </c>
      <c r="AK68" s="492" t="str">
        <f t="shared" si="74"/>
        <v>○</v>
      </c>
      <c r="AL68" s="492" t="str">
        <f t="shared" si="75"/>
        <v/>
      </c>
      <c r="AM68" s="492" t="str">
        <f t="shared" si="76"/>
        <v/>
      </c>
      <c r="AN68" s="492" t="str">
        <f t="shared" si="77"/>
        <v/>
      </c>
      <c r="AO68" s="492" t="str">
        <f t="shared" si="78"/>
        <v/>
      </c>
      <c r="AP68" s="492" t="str">
        <f t="shared" si="79"/>
        <v/>
      </c>
      <c r="AQ68" s="492" t="str">
        <f t="shared" si="80"/>
        <v/>
      </c>
      <c r="AR68" s="492" t="str">
        <f t="shared" si="81"/>
        <v/>
      </c>
      <c r="AS68" s="492" t="str">
        <f t="shared" si="82"/>
        <v/>
      </c>
      <c r="AT68" s="492" t="str">
        <f t="shared" si="83"/>
        <v/>
      </c>
      <c r="AU68" s="492" t="str">
        <f t="shared" si="84"/>
        <v/>
      </c>
      <c r="AV68" s="492" t="str">
        <f t="shared" si="85"/>
        <v/>
      </c>
      <c r="AW68" s="492" t="str">
        <f t="shared" si="86"/>
        <v/>
      </c>
      <c r="AX68" s="492" t="str">
        <f t="shared" si="87"/>
        <v/>
      </c>
      <c r="AY68" s="492" t="str">
        <f t="shared" si="88"/>
        <v/>
      </c>
      <c r="AZ68" s="492" t="str">
        <f t="shared" si="89"/>
        <v/>
      </c>
      <c r="BA68" s="492" t="str">
        <f t="shared" si="90"/>
        <v/>
      </c>
      <c r="BB68" s="492" t="str">
        <f t="shared" si="91"/>
        <v/>
      </c>
      <c r="BC68" s="492" t="str">
        <f t="shared" si="92"/>
        <v/>
      </c>
      <c r="BD68" s="492" t="str">
        <f t="shared" si="93"/>
        <v/>
      </c>
      <c r="BE68" s="492" t="str">
        <f t="shared" si="94"/>
        <v/>
      </c>
      <c r="BF68" s="492" t="str">
        <f t="shared" si="95"/>
        <v/>
      </c>
      <c r="BG68" s="492" t="str">
        <f t="shared" si="96"/>
        <v/>
      </c>
      <c r="BH68" s="492" t="str">
        <f t="shared" si="97"/>
        <v/>
      </c>
      <c r="BI68" s="492" t="str">
        <f t="shared" si="98"/>
        <v/>
      </c>
      <c r="BJ68" s="492" t="str">
        <f t="shared" si="99"/>
        <v/>
      </c>
      <c r="BK68" s="492" t="str">
        <f t="shared" si="100"/>
        <v/>
      </c>
      <c r="BL68" s="492" t="str">
        <f t="shared" si="101"/>
        <v/>
      </c>
      <c r="BM68" s="492" t="str">
        <f t="shared" si="102"/>
        <v/>
      </c>
      <c r="BN68" s="492" t="str">
        <f t="shared" si="103"/>
        <v/>
      </c>
      <c r="BO68" s="492" t="str">
        <f t="shared" si="104"/>
        <v/>
      </c>
      <c r="BP68" s="492" t="str">
        <f t="shared" si="105"/>
        <v/>
      </c>
      <c r="BQ68" s="492" t="str">
        <f t="shared" si="106"/>
        <v/>
      </c>
      <c r="BR68" s="492" t="str">
        <f t="shared" si="107"/>
        <v/>
      </c>
      <c r="BS68" s="492" t="str">
        <f t="shared" si="108"/>
        <v/>
      </c>
      <c r="BT68" s="492" t="str">
        <f t="shared" si="109"/>
        <v/>
      </c>
      <c r="BU68" s="492" t="str">
        <f t="shared" si="110"/>
        <v/>
      </c>
      <c r="BV68" s="492" t="str">
        <f t="shared" si="111"/>
        <v/>
      </c>
      <c r="BW68" s="492" t="str">
        <f t="shared" si="112"/>
        <v/>
      </c>
      <c r="BX68" s="492" t="str">
        <f t="shared" si="113"/>
        <v/>
      </c>
      <c r="BY68" s="492" t="str">
        <f t="shared" si="114"/>
        <v/>
      </c>
      <c r="BZ68" s="492" t="str">
        <f t="shared" si="115"/>
        <v/>
      </c>
      <c r="CA68" s="492" t="str">
        <f t="shared" si="116"/>
        <v/>
      </c>
      <c r="CB68" s="492" t="str">
        <f t="shared" si="117"/>
        <v/>
      </c>
      <c r="CC68" s="492" t="str">
        <f t="shared" si="118"/>
        <v/>
      </c>
      <c r="CD68" s="492" t="str">
        <f t="shared" si="119"/>
        <v/>
      </c>
      <c r="CE68" s="492" t="str">
        <f t="shared" si="120"/>
        <v/>
      </c>
      <c r="CF68" s="492" t="str">
        <f t="shared" si="121"/>
        <v/>
      </c>
      <c r="CG68" s="492" t="str">
        <f t="shared" si="122"/>
        <v/>
      </c>
      <c r="CH68" s="492" t="str">
        <f t="shared" si="123"/>
        <v/>
      </c>
      <c r="CI68" s="492" t="str">
        <f t="shared" si="124"/>
        <v/>
      </c>
      <c r="CJ68" s="492" t="str">
        <f t="shared" si="125"/>
        <v/>
      </c>
      <c r="CK68" s="492" t="str">
        <f t="shared" si="126"/>
        <v/>
      </c>
      <c r="CL68" s="492" t="str">
        <f t="shared" si="127"/>
        <v/>
      </c>
      <c r="CM68" s="492" t="str">
        <f t="shared" si="128"/>
        <v/>
      </c>
      <c r="CN68" s="492" t="str">
        <f t="shared" si="129"/>
        <v/>
      </c>
      <c r="CO68" s="492" t="str">
        <f t="shared" si="130"/>
        <v/>
      </c>
      <c r="CP68" s="492" t="str">
        <f t="shared" si="131"/>
        <v/>
      </c>
      <c r="CQ68" s="492" t="str">
        <f t="shared" si="132"/>
        <v/>
      </c>
      <c r="CR68" s="492" t="str">
        <f t="shared" si="133"/>
        <v/>
      </c>
      <c r="CS68" s="492" t="str">
        <f t="shared" si="134"/>
        <v/>
      </c>
      <c r="CT68" s="492" t="str">
        <f t="shared" si="135"/>
        <v/>
      </c>
      <c r="CU68" s="492" t="str">
        <f t="shared" si="136"/>
        <v/>
      </c>
      <c r="CV68" s="492" t="str">
        <f t="shared" si="137"/>
        <v/>
      </c>
      <c r="CW68" s="495">
        <v>1</v>
      </c>
      <c r="CX68" s="496"/>
      <c r="CY68" s="496"/>
      <c r="CZ68" s="496"/>
      <c r="DA68" s="496"/>
      <c r="DB68" s="496"/>
    </row>
    <row r="69" spans="1:106" ht="13.5" customHeight="1">
      <c r="A69" s="1232">
        <v>59</v>
      </c>
      <c r="B69" s="1233"/>
      <c r="C69" s="1230"/>
      <c r="D69" s="1234"/>
      <c r="E69" s="1231"/>
      <c r="F69" s="1230"/>
      <c r="G69" s="1234"/>
      <c r="H69" s="1231"/>
      <c r="I69" s="1230"/>
      <c r="J69" s="1231"/>
      <c r="K69" s="1290"/>
      <c r="L69" s="1291"/>
      <c r="M69" s="1290"/>
      <c r="N69" s="1291"/>
      <c r="O69" s="1290"/>
      <c r="P69" s="1291"/>
      <c r="Q69" s="1230"/>
      <c r="R69" s="1231"/>
      <c r="S69" s="1230"/>
      <c r="T69" s="1231"/>
      <c r="U69" s="1228"/>
      <c r="V69" s="1229"/>
      <c r="W69" s="1230"/>
      <c r="X69" s="1231"/>
      <c r="Y69" s="1226"/>
      <c r="Z69" s="1227"/>
      <c r="AA69" s="1275"/>
      <c r="AB69" s="1275"/>
      <c r="AC69" s="1212" t="str">
        <f t="shared" si="69"/>
        <v/>
      </c>
      <c r="AD69" s="1213"/>
      <c r="AE69" s="1213"/>
      <c r="AF69" s="1213"/>
      <c r="AG69" s="492" t="str">
        <f t="shared" si="70"/>
        <v/>
      </c>
      <c r="AH69" s="466" t="str">
        <f t="shared" si="71"/>
        <v/>
      </c>
      <c r="AI69" s="466" t="str">
        <f t="shared" si="72"/>
        <v/>
      </c>
      <c r="AJ69" s="466" t="str">
        <f t="shared" si="73"/>
        <v/>
      </c>
      <c r="AK69" s="492" t="str">
        <f t="shared" si="74"/>
        <v>○</v>
      </c>
      <c r="AL69" s="492" t="str">
        <f t="shared" si="75"/>
        <v/>
      </c>
      <c r="AM69" s="492" t="str">
        <f t="shared" si="76"/>
        <v/>
      </c>
      <c r="AN69" s="492" t="str">
        <f t="shared" si="77"/>
        <v/>
      </c>
      <c r="AO69" s="492" t="str">
        <f t="shared" si="78"/>
        <v/>
      </c>
      <c r="AP69" s="492" t="str">
        <f t="shared" si="79"/>
        <v/>
      </c>
      <c r="AQ69" s="492" t="str">
        <f t="shared" si="80"/>
        <v/>
      </c>
      <c r="AR69" s="492" t="str">
        <f t="shared" si="81"/>
        <v/>
      </c>
      <c r="AS69" s="492" t="str">
        <f t="shared" si="82"/>
        <v/>
      </c>
      <c r="AT69" s="492" t="str">
        <f t="shared" si="83"/>
        <v/>
      </c>
      <c r="AU69" s="492" t="str">
        <f t="shared" si="84"/>
        <v/>
      </c>
      <c r="AV69" s="492" t="str">
        <f t="shared" si="85"/>
        <v/>
      </c>
      <c r="AW69" s="492" t="str">
        <f t="shared" si="86"/>
        <v/>
      </c>
      <c r="AX69" s="492" t="str">
        <f t="shared" si="87"/>
        <v/>
      </c>
      <c r="AY69" s="492" t="str">
        <f t="shared" si="88"/>
        <v/>
      </c>
      <c r="AZ69" s="492" t="str">
        <f t="shared" si="89"/>
        <v/>
      </c>
      <c r="BA69" s="492" t="str">
        <f t="shared" si="90"/>
        <v/>
      </c>
      <c r="BB69" s="492" t="str">
        <f t="shared" si="91"/>
        <v/>
      </c>
      <c r="BC69" s="492" t="str">
        <f t="shared" si="92"/>
        <v/>
      </c>
      <c r="BD69" s="492" t="str">
        <f t="shared" si="93"/>
        <v/>
      </c>
      <c r="BE69" s="492" t="str">
        <f t="shared" si="94"/>
        <v/>
      </c>
      <c r="BF69" s="492" t="str">
        <f t="shared" si="95"/>
        <v/>
      </c>
      <c r="BG69" s="492" t="str">
        <f t="shared" si="96"/>
        <v/>
      </c>
      <c r="BH69" s="492" t="str">
        <f t="shared" si="97"/>
        <v/>
      </c>
      <c r="BI69" s="492" t="str">
        <f t="shared" si="98"/>
        <v/>
      </c>
      <c r="BJ69" s="492" t="str">
        <f t="shared" si="99"/>
        <v/>
      </c>
      <c r="BK69" s="492" t="str">
        <f t="shared" si="100"/>
        <v/>
      </c>
      <c r="BL69" s="492" t="str">
        <f t="shared" si="101"/>
        <v/>
      </c>
      <c r="BM69" s="492" t="str">
        <f t="shared" si="102"/>
        <v/>
      </c>
      <c r="BN69" s="492" t="str">
        <f t="shared" si="103"/>
        <v/>
      </c>
      <c r="BO69" s="492" t="str">
        <f t="shared" si="104"/>
        <v/>
      </c>
      <c r="BP69" s="492" t="str">
        <f t="shared" si="105"/>
        <v/>
      </c>
      <c r="BQ69" s="492" t="str">
        <f t="shared" si="106"/>
        <v/>
      </c>
      <c r="BR69" s="492" t="str">
        <f t="shared" si="107"/>
        <v/>
      </c>
      <c r="BS69" s="492" t="str">
        <f t="shared" si="108"/>
        <v/>
      </c>
      <c r="BT69" s="492" t="str">
        <f t="shared" si="109"/>
        <v/>
      </c>
      <c r="BU69" s="492" t="str">
        <f t="shared" si="110"/>
        <v/>
      </c>
      <c r="BV69" s="492" t="str">
        <f t="shared" si="111"/>
        <v/>
      </c>
      <c r="BW69" s="492" t="str">
        <f t="shared" si="112"/>
        <v/>
      </c>
      <c r="BX69" s="492" t="str">
        <f t="shared" si="113"/>
        <v/>
      </c>
      <c r="BY69" s="492" t="str">
        <f t="shared" si="114"/>
        <v/>
      </c>
      <c r="BZ69" s="492" t="str">
        <f t="shared" si="115"/>
        <v/>
      </c>
      <c r="CA69" s="492" t="str">
        <f t="shared" si="116"/>
        <v/>
      </c>
      <c r="CB69" s="492" t="str">
        <f t="shared" si="117"/>
        <v/>
      </c>
      <c r="CC69" s="492" t="str">
        <f t="shared" si="118"/>
        <v/>
      </c>
      <c r="CD69" s="492" t="str">
        <f t="shared" si="119"/>
        <v/>
      </c>
      <c r="CE69" s="492" t="str">
        <f t="shared" si="120"/>
        <v/>
      </c>
      <c r="CF69" s="492" t="str">
        <f t="shared" si="121"/>
        <v/>
      </c>
      <c r="CG69" s="492" t="str">
        <f t="shared" si="122"/>
        <v/>
      </c>
      <c r="CH69" s="492" t="str">
        <f t="shared" si="123"/>
        <v/>
      </c>
      <c r="CI69" s="492" t="str">
        <f t="shared" si="124"/>
        <v/>
      </c>
      <c r="CJ69" s="492" t="str">
        <f t="shared" si="125"/>
        <v/>
      </c>
      <c r="CK69" s="492" t="str">
        <f t="shared" si="126"/>
        <v/>
      </c>
      <c r="CL69" s="492" t="str">
        <f t="shared" si="127"/>
        <v/>
      </c>
      <c r="CM69" s="492" t="str">
        <f t="shared" si="128"/>
        <v/>
      </c>
      <c r="CN69" s="492" t="str">
        <f t="shared" si="129"/>
        <v/>
      </c>
      <c r="CO69" s="492" t="str">
        <f t="shared" si="130"/>
        <v/>
      </c>
      <c r="CP69" s="492" t="str">
        <f t="shared" si="131"/>
        <v/>
      </c>
      <c r="CQ69" s="492" t="str">
        <f t="shared" si="132"/>
        <v/>
      </c>
      <c r="CR69" s="492" t="str">
        <f t="shared" si="133"/>
        <v/>
      </c>
      <c r="CS69" s="492" t="str">
        <f t="shared" si="134"/>
        <v/>
      </c>
      <c r="CT69" s="492" t="str">
        <f t="shared" si="135"/>
        <v/>
      </c>
      <c r="CU69" s="492" t="str">
        <f t="shared" si="136"/>
        <v/>
      </c>
      <c r="CV69" s="492" t="str">
        <f t="shared" si="137"/>
        <v/>
      </c>
      <c r="CW69" s="495">
        <v>1</v>
      </c>
      <c r="CX69" s="496"/>
      <c r="CY69" s="496"/>
      <c r="CZ69" s="496"/>
      <c r="DA69" s="496"/>
      <c r="DB69" s="496"/>
    </row>
    <row r="70" spans="1:106" ht="13.5" customHeight="1">
      <c r="A70" s="1232">
        <v>60</v>
      </c>
      <c r="B70" s="1233"/>
      <c r="C70" s="1230"/>
      <c r="D70" s="1234"/>
      <c r="E70" s="1231"/>
      <c r="F70" s="1230"/>
      <c r="G70" s="1234"/>
      <c r="H70" s="1231"/>
      <c r="I70" s="1230"/>
      <c r="J70" s="1231"/>
      <c r="K70" s="1290"/>
      <c r="L70" s="1291"/>
      <c r="M70" s="1290"/>
      <c r="N70" s="1291"/>
      <c r="O70" s="1290"/>
      <c r="P70" s="1291"/>
      <c r="Q70" s="1230"/>
      <c r="R70" s="1231"/>
      <c r="S70" s="1230"/>
      <c r="T70" s="1231"/>
      <c r="U70" s="1228"/>
      <c r="V70" s="1229"/>
      <c r="W70" s="1230"/>
      <c r="X70" s="1231"/>
      <c r="Y70" s="1226"/>
      <c r="Z70" s="1227"/>
      <c r="AA70" s="1275"/>
      <c r="AB70" s="1275"/>
      <c r="AC70" s="1212" t="str">
        <f t="shared" si="69"/>
        <v/>
      </c>
      <c r="AD70" s="1213"/>
      <c r="AE70" s="1213"/>
      <c r="AF70" s="1213"/>
      <c r="AG70" s="492" t="str">
        <f t="shared" si="70"/>
        <v/>
      </c>
      <c r="AH70" s="466" t="str">
        <f t="shared" si="71"/>
        <v/>
      </c>
      <c r="AI70" s="466" t="str">
        <f t="shared" si="72"/>
        <v/>
      </c>
      <c r="AJ70" s="466" t="str">
        <f t="shared" si="73"/>
        <v/>
      </c>
      <c r="AK70" s="492" t="str">
        <f t="shared" si="74"/>
        <v>○</v>
      </c>
      <c r="AL70" s="492" t="str">
        <f t="shared" si="75"/>
        <v/>
      </c>
      <c r="AM70" s="492" t="str">
        <f t="shared" si="76"/>
        <v/>
      </c>
      <c r="AN70" s="492" t="str">
        <f t="shared" si="77"/>
        <v/>
      </c>
      <c r="AO70" s="492" t="str">
        <f t="shared" si="78"/>
        <v/>
      </c>
      <c r="AP70" s="492" t="str">
        <f t="shared" si="79"/>
        <v/>
      </c>
      <c r="AQ70" s="492" t="str">
        <f t="shared" si="80"/>
        <v/>
      </c>
      <c r="AR70" s="492" t="str">
        <f t="shared" si="81"/>
        <v/>
      </c>
      <c r="AS70" s="492" t="str">
        <f t="shared" si="82"/>
        <v/>
      </c>
      <c r="AT70" s="492" t="str">
        <f t="shared" si="83"/>
        <v/>
      </c>
      <c r="AU70" s="492" t="str">
        <f t="shared" si="84"/>
        <v/>
      </c>
      <c r="AV70" s="492" t="str">
        <f t="shared" si="85"/>
        <v/>
      </c>
      <c r="AW70" s="492" t="str">
        <f t="shared" si="86"/>
        <v/>
      </c>
      <c r="AX70" s="492" t="str">
        <f t="shared" si="87"/>
        <v/>
      </c>
      <c r="AY70" s="492" t="str">
        <f t="shared" si="88"/>
        <v/>
      </c>
      <c r="AZ70" s="492" t="str">
        <f t="shared" si="89"/>
        <v/>
      </c>
      <c r="BA70" s="492" t="str">
        <f t="shared" si="90"/>
        <v/>
      </c>
      <c r="BB70" s="492" t="str">
        <f t="shared" si="91"/>
        <v/>
      </c>
      <c r="BC70" s="492" t="str">
        <f t="shared" si="92"/>
        <v/>
      </c>
      <c r="BD70" s="492" t="str">
        <f t="shared" si="93"/>
        <v/>
      </c>
      <c r="BE70" s="492" t="str">
        <f t="shared" si="94"/>
        <v/>
      </c>
      <c r="BF70" s="492" t="str">
        <f t="shared" si="95"/>
        <v/>
      </c>
      <c r="BG70" s="492" t="str">
        <f t="shared" si="96"/>
        <v/>
      </c>
      <c r="BH70" s="492" t="str">
        <f t="shared" si="97"/>
        <v/>
      </c>
      <c r="BI70" s="492" t="str">
        <f t="shared" si="98"/>
        <v/>
      </c>
      <c r="BJ70" s="492" t="str">
        <f t="shared" si="99"/>
        <v/>
      </c>
      <c r="BK70" s="492" t="str">
        <f t="shared" si="100"/>
        <v/>
      </c>
      <c r="BL70" s="492" t="str">
        <f t="shared" si="101"/>
        <v/>
      </c>
      <c r="BM70" s="492" t="str">
        <f t="shared" si="102"/>
        <v/>
      </c>
      <c r="BN70" s="492" t="str">
        <f t="shared" si="103"/>
        <v/>
      </c>
      <c r="BO70" s="492" t="str">
        <f t="shared" si="104"/>
        <v/>
      </c>
      <c r="BP70" s="492" t="str">
        <f t="shared" si="105"/>
        <v/>
      </c>
      <c r="BQ70" s="492" t="str">
        <f t="shared" si="106"/>
        <v/>
      </c>
      <c r="BR70" s="492" t="str">
        <f t="shared" si="107"/>
        <v/>
      </c>
      <c r="BS70" s="492" t="str">
        <f t="shared" si="108"/>
        <v/>
      </c>
      <c r="BT70" s="492" t="str">
        <f t="shared" si="109"/>
        <v/>
      </c>
      <c r="BU70" s="492" t="str">
        <f t="shared" si="110"/>
        <v/>
      </c>
      <c r="BV70" s="492" t="str">
        <f t="shared" si="111"/>
        <v/>
      </c>
      <c r="BW70" s="492" t="str">
        <f t="shared" si="112"/>
        <v/>
      </c>
      <c r="BX70" s="492" t="str">
        <f t="shared" si="113"/>
        <v/>
      </c>
      <c r="BY70" s="492" t="str">
        <f t="shared" si="114"/>
        <v/>
      </c>
      <c r="BZ70" s="492" t="str">
        <f t="shared" si="115"/>
        <v/>
      </c>
      <c r="CA70" s="492" t="str">
        <f t="shared" si="116"/>
        <v/>
      </c>
      <c r="CB70" s="492" t="str">
        <f t="shared" si="117"/>
        <v/>
      </c>
      <c r="CC70" s="492" t="str">
        <f t="shared" si="118"/>
        <v/>
      </c>
      <c r="CD70" s="492" t="str">
        <f t="shared" si="119"/>
        <v/>
      </c>
      <c r="CE70" s="492" t="str">
        <f t="shared" si="120"/>
        <v/>
      </c>
      <c r="CF70" s="492" t="str">
        <f t="shared" si="121"/>
        <v/>
      </c>
      <c r="CG70" s="492" t="str">
        <f t="shared" si="122"/>
        <v/>
      </c>
      <c r="CH70" s="492" t="str">
        <f t="shared" si="123"/>
        <v/>
      </c>
      <c r="CI70" s="492" t="str">
        <f t="shared" si="124"/>
        <v/>
      </c>
      <c r="CJ70" s="492" t="str">
        <f t="shared" si="125"/>
        <v/>
      </c>
      <c r="CK70" s="492" t="str">
        <f t="shared" si="126"/>
        <v/>
      </c>
      <c r="CL70" s="492" t="str">
        <f t="shared" si="127"/>
        <v/>
      </c>
      <c r="CM70" s="492" t="str">
        <f t="shared" si="128"/>
        <v/>
      </c>
      <c r="CN70" s="492" t="str">
        <f t="shared" si="129"/>
        <v/>
      </c>
      <c r="CO70" s="492" t="str">
        <f t="shared" si="130"/>
        <v/>
      </c>
      <c r="CP70" s="492" t="str">
        <f t="shared" si="131"/>
        <v/>
      </c>
      <c r="CQ70" s="492" t="str">
        <f t="shared" si="132"/>
        <v/>
      </c>
      <c r="CR70" s="492" t="str">
        <f t="shared" si="133"/>
        <v/>
      </c>
      <c r="CS70" s="492" t="str">
        <f t="shared" si="134"/>
        <v/>
      </c>
      <c r="CT70" s="492" t="str">
        <f t="shared" si="135"/>
        <v/>
      </c>
      <c r="CU70" s="492" t="str">
        <f t="shared" si="136"/>
        <v/>
      </c>
      <c r="CV70" s="492" t="str">
        <f t="shared" si="137"/>
        <v/>
      </c>
      <c r="CW70" s="495">
        <v>1</v>
      </c>
      <c r="CX70" s="496"/>
      <c r="CY70" s="496"/>
      <c r="CZ70" s="496"/>
      <c r="DA70" s="496"/>
      <c r="DB70" s="496"/>
    </row>
    <row r="71" spans="1:106" ht="13.5" customHeight="1">
      <c r="A71" s="1232">
        <v>61</v>
      </c>
      <c r="B71" s="1233"/>
      <c r="C71" s="1230"/>
      <c r="D71" s="1234"/>
      <c r="E71" s="1231"/>
      <c r="F71" s="1230"/>
      <c r="G71" s="1234"/>
      <c r="H71" s="1231"/>
      <c r="I71" s="1230"/>
      <c r="J71" s="1231"/>
      <c r="K71" s="1290"/>
      <c r="L71" s="1291"/>
      <c r="M71" s="1290"/>
      <c r="N71" s="1291"/>
      <c r="O71" s="1290"/>
      <c r="P71" s="1291"/>
      <c r="Q71" s="1230"/>
      <c r="R71" s="1231"/>
      <c r="S71" s="1230"/>
      <c r="T71" s="1231"/>
      <c r="U71" s="1228"/>
      <c r="V71" s="1229"/>
      <c r="W71" s="1230"/>
      <c r="X71" s="1231"/>
      <c r="Y71" s="1226"/>
      <c r="Z71" s="1227"/>
      <c r="AA71" s="1275"/>
      <c r="AB71" s="1275"/>
      <c r="AC71" s="1212" t="str">
        <f t="shared" si="69"/>
        <v/>
      </c>
      <c r="AD71" s="1213"/>
      <c r="AE71" s="1213"/>
      <c r="AF71" s="1213"/>
      <c r="AG71" s="492" t="str">
        <f t="shared" si="70"/>
        <v/>
      </c>
      <c r="AH71" s="466" t="str">
        <f t="shared" si="71"/>
        <v/>
      </c>
      <c r="AI71" s="466" t="str">
        <f t="shared" si="72"/>
        <v/>
      </c>
      <c r="AJ71" s="466" t="str">
        <f t="shared" si="73"/>
        <v/>
      </c>
      <c r="AK71" s="492" t="str">
        <f t="shared" si="74"/>
        <v>○</v>
      </c>
      <c r="AL71" s="492" t="str">
        <f t="shared" si="75"/>
        <v/>
      </c>
      <c r="AM71" s="492" t="str">
        <f t="shared" si="76"/>
        <v/>
      </c>
      <c r="AN71" s="492" t="str">
        <f t="shared" si="77"/>
        <v/>
      </c>
      <c r="AO71" s="492" t="str">
        <f t="shared" si="78"/>
        <v/>
      </c>
      <c r="AP71" s="492" t="str">
        <f t="shared" si="79"/>
        <v/>
      </c>
      <c r="AQ71" s="492" t="str">
        <f t="shared" si="80"/>
        <v/>
      </c>
      <c r="AR71" s="492" t="str">
        <f t="shared" si="81"/>
        <v/>
      </c>
      <c r="AS71" s="492" t="str">
        <f t="shared" si="82"/>
        <v/>
      </c>
      <c r="AT71" s="492" t="str">
        <f t="shared" si="83"/>
        <v/>
      </c>
      <c r="AU71" s="492" t="str">
        <f t="shared" si="84"/>
        <v/>
      </c>
      <c r="AV71" s="492" t="str">
        <f t="shared" si="85"/>
        <v/>
      </c>
      <c r="AW71" s="492" t="str">
        <f t="shared" si="86"/>
        <v/>
      </c>
      <c r="AX71" s="492" t="str">
        <f t="shared" si="87"/>
        <v/>
      </c>
      <c r="AY71" s="492" t="str">
        <f t="shared" si="88"/>
        <v/>
      </c>
      <c r="AZ71" s="492" t="str">
        <f t="shared" si="89"/>
        <v/>
      </c>
      <c r="BA71" s="492" t="str">
        <f t="shared" si="90"/>
        <v/>
      </c>
      <c r="BB71" s="492" t="str">
        <f t="shared" si="91"/>
        <v/>
      </c>
      <c r="BC71" s="492" t="str">
        <f t="shared" si="92"/>
        <v/>
      </c>
      <c r="BD71" s="492" t="str">
        <f t="shared" si="93"/>
        <v/>
      </c>
      <c r="BE71" s="492" t="str">
        <f t="shared" si="94"/>
        <v/>
      </c>
      <c r="BF71" s="492" t="str">
        <f t="shared" si="95"/>
        <v/>
      </c>
      <c r="BG71" s="492" t="str">
        <f t="shared" si="96"/>
        <v/>
      </c>
      <c r="BH71" s="492" t="str">
        <f t="shared" si="97"/>
        <v/>
      </c>
      <c r="BI71" s="492" t="str">
        <f t="shared" si="98"/>
        <v/>
      </c>
      <c r="BJ71" s="492" t="str">
        <f t="shared" si="99"/>
        <v/>
      </c>
      <c r="BK71" s="492" t="str">
        <f t="shared" si="100"/>
        <v/>
      </c>
      <c r="BL71" s="492" t="str">
        <f t="shared" si="101"/>
        <v/>
      </c>
      <c r="BM71" s="492" t="str">
        <f t="shared" si="102"/>
        <v/>
      </c>
      <c r="BN71" s="492" t="str">
        <f t="shared" si="103"/>
        <v/>
      </c>
      <c r="BO71" s="492" t="str">
        <f t="shared" si="104"/>
        <v/>
      </c>
      <c r="BP71" s="492" t="str">
        <f t="shared" si="105"/>
        <v/>
      </c>
      <c r="BQ71" s="492" t="str">
        <f t="shared" si="106"/>
        <v/>
      </c>
      <c r="BR71" s="492" t="str">
        <f t="shared" si="107"/>
        <v/>
      </c>
      <c r="BS71" s="492" t="str">
        <f t="shared" si="108"/>
        <v/>
      </c>
      <c r="BT71" s="492" t="str">
        <f t="shared" si="109"/>
        <v/>
      </c>
      <c r="BU71" s="492" t="str">
        <f t="shared" si="110"/>
        <v/>
      </c>
      <c r="BV71" s="492" t="str">
        <f t="shared" si="111"/>
        <v/>
      </c>
      <c r="BW71" s="492" t="str">
        <f t="shared" si="112"/>
        <v/>
      </c>
      <c r="BX71" s="492" t="str">
        <f t="shared" si="113"/>
        <v/>
      </c>
      <c r="BY71" s="492" t="str">
        <f t="shared" si="114"/>
        <v/>
      </c>
      <c r="BZ71" s="492" t="str">
        <f t="shared" si="115"/>
        <v/>
      </c>
      <c r="CA71" s="492" t="str">
        <f t="shared" si="116"/>
        <v/>
      </c>
      <c r="CB71" s="492" t="str">
        <f t="shared" si="117"/>
        <v/>
      </c>
      <c r="CC71" s="492" t="str">
        <f t="shared" si="118"/>
        <v/>
      </c>
      <c r="CD71" s="492" t="str">
        <f t="shared" si="119"/>
        <v/>
      </c>
      <c r="CE71" s="492" t="str">
        <f t="shared" si="120"/>
        <v/>
      </c>
      <c r="CF71" s="492" t="str">
        <f t="shared" si="121"/>
        <v/>
      </c>
      <c r="CG71" s="492" t="str">
        <f t="shared" si="122"/>
        <v/>
      </c>
      <c r="CH71" s="492" t="str">
        <f t="shared" si="123"/>
        <v/>
      </c>
      <c r="CI71" s="492" t="str">
        <f t="shared" si="124"/>
        <v/>
      </c>
      <c r="CJ71" s="492" t="str">
        <f t="shared" si="125"/>
        <v/>
      </c>
      <c r="CK71" s="492" t="str">
        <f t="shared" si="126"/>
        <v/>
      </c>
      <c r="CL71" s="492" t="str">
        <f t="shared" si="127"/>
        <v/>
      </c>
      <c r="CM71" s="492" t="str">
        <f t="shared" si="128"/>
        <v/>
      </c>
      <c r="CN71" s="492" t="str">
        <f t="shared" si="129"/>
        <v/>
      </c>
      <c r="CO71" s="492" t="str">
        <f t="shared" si="130"/>
        <v/>
      </c>
      <c r="CP71" s="492" t="str">
        <f t="shared" si="131"/>
        <v/>
      </c>
      <c r="CQ71" s="492" t="str">
        <f t="shared" si="132"/>
        <v/>
      </c>
      <c r="CR71" s="492" t="str">
        <f t="shared" si="133"/>
        <v/>
      </c>
      <c r="CS71" s="492" t="str">
        <f t="shared" si="134"/>
        <v/>
      </c>
      <c r="CT71" s="492" t="str">
        <f t="shared" si="135"/>
        <v/>
      </c>
      <c r="CU71" s="492" t="str">
        <f t="shared" si="136"/>
        <v/>
      </c>
      <c r="CV71" s="492" t="str">
        <f t="shared" si="137"/>
        <v/>
      </c>
      <c r="CW71" s="495">
        <v>1</v>
      </c>
      <c r="CX71" s="496"/>
      <c r="CY71" s="496"/>
      <c r="CZ71" s="496"/>
      <c r="DA71" s="496"/>
      <c r="DB71" s="496"/>
    </row>
    <row r="72" spans="1:106" ht="13.5" customHeight="1">
      <c r="A72" s="1232">
        <v>62</v>
      </c>
      <c r="B72" s="1233"/>
      <c r="C72" s="1230"/>
      <c r="D72" s="1234"/>
      <c r="E72" s="1231"/>
      <c r="F72" s="1230"/>
      <c r="G72" s="1234"/>
      <c r="H72" s="1231"/>
      <c r="I72" s="1230"/>
      <c r="J72" s="1231"/>
      <c r="K72" s="1290"/>
      <c r="L72" s="1291"/>
      <c r="M72" s="1290"/>
      <c r="N72" s="1291"/>
      <c r="O72" s="1290"/>
      <c r="P72" s="1291"/>
      <c r="Q72" s="1230"/>
      <c r="R72" s="1231"/>
      <c r="S72" s="1230"/>
      <c r="T72" s="1231"/>
      <c r="U72" s="1228"/>
      <c r="V72" s="1229"/>
      <c r="W72" s="1230"/>
      <c r="X72" s="1231"/>
      <c r="Y72" s="1226"/>
      <c r="Z72" s="1227"/>
      <c r="AA72" s="1275"/>
      <c r="AB72" s="1275"/>
      <c r="AC72" s="1212" t="str">
        <f t="shared" si="69"/>
        <v/>
      </c>
      <c r="AD72" s="1213"/>
      <c r="AE72" s="1213"/>
      <c r="AF72" s="1213"/>
      <c r="AG72" s="492" t="str">
        <f t="shared" si="70"/>
        <v/>
      </c>
      <c r="AH72" s="466" t="str">
        <f t="shared" si="71"/>
        <v/>
      </c>
      <c r="AI72" s="466" t="str">
        <f t="shared" si="72"/>
        <v/>
      </c>
      <c r="AJ72" s="466" t="str">
        <f t="shared" si="73"/>
        <v/>
      </c>
      <c r="AK72" s="492" t="str">
        <f t="shared" si="74"/>
        <v>○</v>
      </c>
      <c r="AL72" s="492" t="str">
        <f t="shared" si="75"/>
        <v/>
      </c>
      <c r="AM72" s="492" t="str">
        <f t="shared" si="76"/>
        <v/>
      </c>
      <c r="AN72" s="492" t="str">
        <f t="shared" si="77"/>
        <v/>
      </c>
      <c r="AO72" s="492" t="str">
        <f t="shared" si="78"/>
        <v/>
      </c>
      <c r="AP72" s="492" t="str">
        <f t="shared" si="79"/>
        <v/>
      </c>
      <c r="AQ72" s="492" t="str">
        <f t="shared" si="80"/>
        <v/>
      </c>
      <c r="AR72" s="492" t="str">
        <f t="shared" si="81"/>
        <v/>
      </c>
      <c r="AS72" s="492" t="str">
        <f t="shared" si="82"/>
        <v/>
      </c>
      <c r="AT72" s="492" t="str">
        <f t="shared" si="83"/>
        <v/>
      </c>
      <c r="AU72" s="492" t="str">
        <f t="shared" si="84"/>
        <v/>
      </c>
      <c r="AV72" s="492" t="str">
        <f t="shared" si="85"/>
        <v/>
      </c>
      <c r="AW72" s="492" t="str">
        <f t="shared" si="86"/>
        <v/>
      </c>
      <c r="AX72" s="492" t="str">
        <f t="shared" si="87"/>
        <v/>
      </c>
      <c r="AY72" s="492" t="str">
        <f t="shared" si="88"/>
        <v/>
      </c>
      <c r="AZ72" s="492" t="str">
        <f t="shared" si="89"/>
        <v/>
      </c>
      <c r="BA72" s="492" t="str">
        <f t="shared" si="90"/>
        <v/>
      </c>
      <c r="BB72" s="492" t="str">
        <f t="shared" si="91"/>
        <v/>
      </c>
      <c r="BC72" s="492" t="str">
        <f t="shared" si="92"/>
        <v/>
      </c>
      <c r="BD72" s="492" t="str">
        <f t="shared" si="93"/>
        <v/>
      </c>
      <c r="BE72" s="492" t="str">
        <f t="shared" si="94"/>
        <v/>
      </c>
      <c r="BF72" s="492" t="str">
        <f t="shared" si="95"/>
        <v/>
      </c>
      <c r="BG72" s="492" t="str">
        <f t="shared" si="96"/>
        <v/>
      </c>
      <c r="BH72" s="492" t="str">
        <f t="shared" si="97"/>
        <v/>
      </c>
      <c r="BI72" s="492" t="str">
        <f t="shared" si="98"/>
        <v/>
      </c>
      <c r="BJ72" s="492" t="str">
        <f t="shared" si="99"/>
        <v/>
      </c>
      <c r="BK72" s="492" t="str">
        <f t="shared" si="100"/>
        <v/>
      </c>
      <c r="BL72" s="492" t="str">
        <f t="shared" si="101"/>
        <v/>
      </c>
      <c r="BM72" s="492" t="str">
        <f t="shared" si="102"/>
        <v/>
      </c>
      <c r="BN72" s="492" t="str">
        <f t="shared" si="103"/>
        <v/>
      </c>
      <c r="BO72" s="492" t="str">
        <f t="shared" si="104"/>
        <v/>
      </c>
      <c r="BP72" s="492" t="str">
        <f t="shared" si="105"/>
        <v/>
      </c>
      <c r="BQ72" s="492" t="str">
        <f t="shared" si="106"/>
        <v/>
      </c>
      <c r="BR72" s="492" t="str">
        <f t="shared" si="107"/>
        <v/>
      </c>
      <c r="BS72" s="492" t="str">
        <f t="shared" si="108"/>
        <v/>
      </c>
      <c r="BT72" s="492" t="str">
        <f t="shared" si="109"/>
        <v/>
      </c>
      <c r="BU72" s="492" t="str">
        <f t="shared" si="110"/>
        <v/>
      </c>
      <c r="BV72" s="492" t="str">
        <f t="shared" si="111"/>
        <v/>
      </c>
      <c r="BW72" s="492" t="str">
        <f t="shared" si="112"/>
        <v/>
      </c>
      <c r="BX72" s="492" t="str">
        <f t="shared" si="113"/>
        <v/>
      </c>
      <c r="BY72" s="492" t="str">
        <f t="shared" si="114"/>
        <v/>
      </c>
      <c r="BZ72" s="492" t="str">
        <f t="shared" si="115"/>
        <v/>
      </c>
      <c r="CA72" s="492" t="str">
        <f t="shared" si="116"/>
        <v/>
      </c>
      <c r="CB72" s="492" t="str">
        <f t="shared" si="117"/>
        <v/>
      </c>
      <c r="CC72" s="492" t="str">
        <f t="shared" si="118"/>
        <v/>
      </c>
      <c r="CD72" s="492" t="str">
        <f t="shared" si="119"/>
        <v/>
      </c>
      <c r="CE72" s="492" t="str">
        <f t="shared" si="120"/>
        <v/>
      </c>
      <c r="CF72" s="492" t="str">
        <f t="shared" si="121"/>
        <v/>
      </c>
      <c r="CG72" s="492" t="str">
        <f t="shared" si="122"/>
        <v/>
      </c>
      <c r="CH72" s="492" t="str">
        <f t="shared" si="123"/>
        <v/>
      </c>
      <c r="CI72" s="492" t="str">
        <f t="shared" si="124"/>
        <v/>
      </c>
      <c r="CJ72" s="492" t="str">
        <f t="shared" si="125"/>
        <v/>
      </c>
      <c r="CK72" s="492" t="str">
        <f t="shared" si="126"/>
        <v/>
      </c>
      <c r="CL72" s="492" t="str">
        <f t="shared" si="127"/>
        <v/>
      </c>
      <c r="CM72" s="492" t="str">
        <f t="shared" si="128"/>
        <v/>
      </c>
      <c r="CN72" s="492" t="str">
        <f t="shared" si="129"/>
        <v/>
      </c>
      <c r="CO72" s="492" t="str">
        <f t="shared" si="130"/>
        <v/>
      </c>
      <c r="CP72" s="492" t="str">
        <f t="shared" si="131"/>
        <v/>
      </c>
      <c r="CQ72" s="492" t="str">
        <f t="shared" si="132"/>
        <v/>
      </c>
      <c r="CR72" s="492" t="str">
        <f t="shared" si="133"/>
        <v/>
      </c>
      <c r="CS72" s="492" t="str">
        <f t="shared" si="134"/>
        <v/>
      </c>
      <c r="CT72" s="492" t="str">
        <f t="shared" si="135"/>
        <v/>
      </c>
      <c r="CU72" s="492" t="str">
        <f t="shared" si="136"/>
        <v/>
      </c>
      <c r="CV72" s="492" t="str">
        <f t="shared" si="137"/>
        <v/>
      </c>
      <c r="CW72" s="495">
        <v>1</v>
      </c>
      <c r="CX72" s="496"/>
      <c r="CY72" s="496"/>
      <c r="CZ72" s="496"/>
      <c r="DA72" s="496"/>
      <c r="DB72" s="496"/>
    </row>
    <row r="73" spans="1:106" ht="13.5" customHeight="1">
      <c r="A73" s="1232">
        <v>63</v>
      </c>
      <c r="B73" s="1233"/>
      <c r="C73" s="1230"/>
      <c r="D73" s="1234"/>
      <c r="E73" s="1231"/>
      <c r="F73" s="1230"/>
      <c r="G73" s="1234"/>
      <c r="H73" s="1231"/>
      <c r="I73" s="1230"/>
      <c r="J73" s="1231"/>
      <c r="K73" s="1290"/>
      <c r="L73" s="1291"/>
      <c r="M73" s="1290"/>
      <c r="N73" s="1291"/>
      <c r="O73" s="1290"/>
      <c r="P73" s="1291"/>
      <c r="Q73" s="1230"/>
      <c r="R73" s="1231"/>
      <c r="S73" s="1230"/>
      <c r="T73" s="1231"/>
      <c r="U73" s="1228"/>
      <c r="V73" s="1229"/>
      <c r="W73" s="1230"/>
      <c r="X73" s="1231"/>
      <c r="Y73" s="1226"/>
      <c r="Z73" s="1227"/>
      <c r="AA73" s="1275"/>
      <c r="AB73" s="1275"/>
      <c r="AC73" s="1212" t="str">
        <f t="shared" si="69"/>
        <v/>
      </c>
      <c r="AD73" s="1213"/>
      <c r="AE73" s="1213"/>
      <c r="AF73" s="1213"/>
      <c r="AG73" s="492" t="str">
        <f t="shared" si="70"/>
        <v/>
      </c>
      <c r="AH73" s="466" t="str">
        <f t="shared" si="71"/>
        <v/>
      </c>
      <c r="AI73" s="466" t="str">
        <f t="shared" si="72"/>
        <v/>
      </c>
      <c r="AJ73" s="466" t="str">
        <f t="shared" si="73"/>
        <v/>
      </c>
      <c r="AK73" s="492" t="str">
        <f t="shared" si="74"/>
        <v>○</v>
      </c>
      <c r="AL73" s="492" t="str">
        <f t="shared" si="75"/>
        <v/>
      </c>
      <c r="AM73" s="492" t="str">
        <f t="shared" si="76"/>
        <v/>
      </c>
      <c r="AN73" s="492" t="str">
        <f t="shared" si="77"/>
        <v/>
      </c>
      <c r="AO73" s="492" t="str">
        <f t="shared" si="78"/>
        <v/>
      </c>
      <c r="AP73" s="492" t="str">
        <f t="shared" si="79"/>
        <v/>
      </c>
      <c r="AQ73" s="492" t="str">
        <f t="shared" si="80"/>
        <v/>
      </c>
      <c r="AR73" s="492" t="str">
        <f t="shared" si="81"/>
        <v/>
      </c>
      <c r="AS73" s="492" t="str">
        <f t="shared" si="82"/>
        <v/>
      </c>
      <c r="AT73" s="492" t="str">
        <f t="shared" si="83"/>
        <v/>
      </c>
      <c r="AU73" s="492" t="str">
        <f t="shared" si="84"/>
        <v/>
      </c>
      <c r="AV73" s="492" t="str">
        <f t="shared" si="85"/>
        <v/>
      </c>
      <c r="AW73" s="492" t="str">
        <f t="shared" si="86"/>
        <v/>
      </c>
      <c r="AX73" s="492" t="str">
        <f t="shared" si="87"/>
        <v/>
      </c>
      <c r="AY73" s="492" t="str">
        <f t="shared" si="88"/>
        <v/>
      </c>
      <c r="AZ73" s="492" t="str">
        <f t="shared" si="89"/>
        <v/>
      </c>
      <c r="BA73" s="492" t="str">
        <f t="shared" si="90"/>
        <v/>
      </c>
      <c r="BB73" s="492" t="str">
        <f t="shared" si="91"/>
        <v/>
      </c>
      <c r="BC73" s="492" t="str">
        <f t="shared" si="92"/>
        <v/>
      </c>
      <c r="BD73" s="492" t="str">
        <f t="shared" si="93"/>
        <v/>
      </c>
      <c r="BE73" s="492" t="str">
        <f t="shared" si="94"/>
        <v/>
      </c>
      <c r="BF73" s="492" t="str">
        <f t="shared" si="95"/>
        <v/>
      </c>
      <c r="BG73" s="492" t="str">
        <f t="shared" si="96"/>
        <v/>
      </c>
      <c r="BH73" s="492" t="str">
        <f t="shared" si="97"/>
        <v/>
      </c>
      <c r="BI73" s="492" t="str">
        <f t="shared" si="98"/>
        <v/>
      </c>
      <c r="BJ73" s="492" t="str">
        <f t="shared" si="99"/>
        <v/>
      </c>
      <c r="BK73" s="492" t="str">
        <f t="shared" si="100"/>
        <v/>
      </c>
      <c r="BL73" s="492" t="str">
        <f t="shared" si="101"/>
        <v/>
      </c>
      <c r="BM73" s="492" t="str">
        <f t="shared" si="102"/>
        <v/>
      </c>
      <c r="BN73" s="492" t="str">
        <f t="shared" si="103"/>
        <v/>
      </c>
      <c r="BO73" s="492" t="str">
        <f t="shared" si="104"/>
        <v/>
      </c>
      <c r="BP73" s="492" t="str">
        <f t="shared" si="105"/>
        <v/>
      </c>
      <c r="BQ73" s="492" t="str">
        <f t="shared" si="106"/>
        <v/>
      </c>
      <c r="BR73" s="492" t="str">
        <f t="shared" si="107"/>
        <v/>
      </c>
      <c r="BS73" s="492" t="str">
        <f t="shared" si="108"/>
        <v/>
      </c>
      <c r="BT73" s="492" t="str">
        <f t="shared" si="109"/>
        <v/>
      </c>
      <c r="BU73" s="492" t="str">
        <f t="shared" si="110"/>
        <v/>
      </c>
      <c r="BV73" s="492" t="str">
        <f t="shared" si="111"/>
        <v/>
      </c>
      <c r="BW73" s="492" t="str">
        <f t="shared" si="112"/>
        <v/>
      </c>
      <c r="BX73" s="492" t="str">
        <f t="shared" si="113"/>
        <v/>
      </c>
      <c r="BY73" s="492" t="str">
        <f t="shared" si="114"/>
        <v/>
      </c>
      <c r="BZ73" s="492" t="str">
        <f t="shared" si="115"/>
        <v/>
      </c>
      <c r="CA73" s="492" t="str">
        <f t="shared" si="116"/>
        <v/>
      </c>
      <c r="CB73" s="492" t="str">
        <f t="shared" si="117"/>
        <v/>
      </c>
      <c r="CC73" s="492" t="str">
        <f t="shared" si="118"/>
        <v/>
      </c>
      <c r="CD73" s="492" t="str">
        <f t="shared" si="119"/>
        <v/>
      </c>
      <c r="CE73" s="492" t="str">
        <f t="shared" si="120"/>
        <v/>
      </c>
      <c r="CF73" s="492" t="str">
        <f t="shared" si="121"/>
        <v/>
      </c>
      <c r="CG73" s="492" t="str">
        <f t="shared" si="122"/>
        <v/>
      </c>
      <c r="CH73" s="492" t="str">
        <f t="shared" si="123"/>
        <v/>
      </c>
      <c r="CI73" s="492" t="str">
        <f t="shared" si="124"/>
        <v/>
      </c>
      <c r="CJ73" s="492" t="str">
        <f t="shared" si="125"/>
        <v/>
      </c>
      <c r="CK73" s="492" t="str">
        <f t="shared" si="126"/>
        <v/>
      </c>
      <c r="CL73" s="492" t="str">
        <f t="shared" si="127"/>
        <v/>
      </c>
      <c r="CM73" s="492" t="str">
        <f t="shared" si="128"/>
        <v/>
      </c>
      <c r="CN73" s="492" t="str">
        <f t="shared" si="129"/>
        <v/>
      </c>
      <c r="CO73" s="492" t="str">
        <f t="shared" si="130"/>
        <v/>
      </c>
      <c r="CP73" s="492" t="str">
        <f t="shared" si="131"/>
        <v/>
      </c>
      <c r="CQ73" s="492" t="str">
        <f t="shared" si="132"/>
        <v/>
      </c>
      <c r="CR73" s="492" t="str">
        <f t="shared" si="133"/>
        <v/>
      </c>
      <c r="CS73" s="492" t="str">
        <f t="shared" si="134"/>
        <v/>
      </c>
      <c r="CT73" s="492" t="str">
        <f t="shared" si="135"/>
        <v/>
      </c>
      <c r="CU73" s="492" t="str">
        <f t="shared" si="136"/>
        <v/>
      </c>
      <c r="CV73" s="492" t="str">
        <f t="shared" si="137"/>
        <v/>
      </c>
      <c r="CW73" s="495">
        <v>1</v>
      </c>
      <c r="CX73" s="496"/>
      <c r="CY73" s="496"/>
      <c r="CZ73" s="496"/>
      <c r="DA73" s="496"/>
      <c r="DB73" s="496"/>
    </row>
    <row r="74" spans="1:106" ht="13.5" customHeight="1">
      <c r="A74" s="1232">
        <v>64</v>
      </c>
      <c r="B74" s="1233"/>
      <c r="C74" s="1230"/>
      <c r="D74" s="1234"/>
      <c r="E74" s="1231"/>
      <c r="F74" s="1230"/>
      <c r="G74" s="1234"/>
      <c r="H74" s="1231"/>
      <c r="I74" s="1230"/>
      <c r="J74" s="1231"/>
      <c r="K74" s="1290"/>
      <c r="L74" s="1291"/>
      <c r="M74" s="1290"/>
      <c r="N74" s="1291"/>
      <c r="O74" s="1290"/>
      <c r="P74" s="1291"/>
      <c r="Q74" s="1230"/>
      <c r="R74" s="1231"/>
      <c r="S74" s="1230"/>
      <c r="T74" s="1231"/>
      <c r="U74" s="1228"/>
      <c r="V74" s="1229"/>
      <c r="W74" s="1230"/>
      <c r="X74" s="1231"/>
      <c r="Y74" s="1226"/>
      <c r="Z74" s="1227"/>
      <c r="AA74" s="1275"/>
      <c r="AB74" s="1275"/>
      <c r="AC74" s="1212" t="str">
        <f t="shared" si="69"/>
        <v/>
      </c>
      <c r="AD74" s="1213"/>
      <c r="AE74" s="1213"/>
      <c r="AF74" s="1213"/>
      <c r="AG74" s="492" t="str">
        <f t="shared" si="70"/>
        <v/>
      </c>
      <c r="AH74" s="466" t="str">
        <f t="shared" si="71"/>
        <v/>
      </c>
      <c r="AI74" s="466" t="str">
        <f t="shared" si="72"/>
        <v/>
      </c>
      <c r="AJ74" s="466" t="str">
        <f t="shared" si="73"/>
        <v/>
      </c>
      <c r="AK74" s="492" t="str">
        <f t="shared" si="74"/>
        <v>○</v>
      </c>
      <c r="AL74" s="492" t="str">
        <f t="shared" si="75"/>
        <v/>
      </c>
      <c r="AM74" s="492" t="str">
        <f t="shared" si="76"/>
        <v/>
      </c>
      <c r="AN74" s="492" t="str">
        <f t="shared" si="77"/>
        <v/>
      </c>
      <c r="AO74" s="492" t="str">
        <f t="shared" si="78"/>
        <v/>
      </c>
      <c r="AP74" s="492" t="str">
        <f t="shared" si="79"/>
        <v/>
      </c>
      <c r="AQ74" s="492" t="str">
        <f t="shared" si="80"/>
        <v/>
      </c>
      <c r="AR74" s="492" t="str">
        <f t="shared" si="81"/>
        <v/>
      </c>
      <c r="AS74" s="492" t="str">
        <f t="shared" si="82"/>
        <v/>
      </c>
      <c r="AT74" s="492" t="str">
        <f t="shared" si="83"/>
        <v/>
      </c>
      <c r="AU74" s="492" t="str">
        <f t="shared" si="84"/>
        <v/>
      </c>
      <c r="AV74" s="492" t="str">
        <f t="shared" si="85"/>
        <v/>
      </c>
      <c r="AW74" s="492" t="str">
        <f t="shared" si="86"/>
        <v/>
      </c>
      <c r="AX74" s="492" t="str">
        <f t="shared" si="87"/>
        <v/>
      </c>
      <c r="AY74" s="492" t="str">
        <f t="shared" si="88"/>
        <v/>
      </c>
      <c r="AZ74" s="492" t="str">
        <f t="shared" si="89"/>
        <v/>
      </c>
      <c r="BA74" s="492" t="str">
        <f t="shared" si="90"/>
        <v/>
      </c>
      <c r="BB74" s="492" t="str">
        <f t="shared" si="91"/>
        <v/>
      </c>
      <c r="BC74" s="492" t="str">
        <f t="shared" si="92"/>
        <v/>
      </c>
      <c r="BD74" s="492" t="str">
        <f t="shared" si="93"/>
        <v/>
      </c>
      <c r="BE74" s="492" t="str">
        <f t="shared" si="94"/>
        <v/>
      </c>
      <c r="BF74" s="492" t="str">
        <f t="shared" si="95"/>
        <v/>
      </c>
      <c r="BG74" s="492" t="str">
        <f t="shared" si="96"/>
        <v/>
      </c>
      <c r="BH74" s="492" t="str">
        <f t="shared" si="97"/>
        <v/>
      </c>
      <c r="BI74" s="492" t="str">
        <f t="shared" si="98"/>
        <v/>
      </c>
      <c r="BJ74" s="492" t="str">
        <f t="shared" si="99"/>
        <v/>
      </c>
      <c r="BK74" s="492" t="str">
        <f t="shared" si="100"/>
        <v/>
      </c>
      <c r="BL74" s="492" t="str">
        <f t="shared" si="101"/>
        <v/>
      </c>
      <c r="BM74" s="492" t="str">
        <f t="shared" si="102"/>
        <v/>
      </c>
      <c r="BN74" s="492" t="str">
        <f t="shared" si="103"/>
        <v/>
      </c>
      <c r="BO74" s="492" t="str">
        <f t="shared" si="104"/>
        <v/>
      </c>
      <c r="BP74" s="492" t="str">
        <f t="shared" si="105"/>
        <v/>
      </c>
      <c r="BQ74" s="492" t="str">
        <f t="shared" si="106"/>
        <v/>
      </c>
      <c r="BR74" s="492" t="str">
        <f t="shared" si="107"/>
        <v/>
      </c>
      <c r="BS74" s="492" t="str">
        <f t="shared" si="108"/>
        <v/>
      </c>
      <c r="BT74" s="492" t="str">
        <f t="shared" si="109"/>
        <v/>
      </c>
      <c r="BU74" s="492" t="str">
        <f t="shared" si="110"/>
        <v/>
      </c>
      <c r="BV74" s="492" t="str">
        <f t="shared" si="111"/>
        <v/>
      </c>
      <c r="BW74" s="492" t="str">
        <f t="shared" si="112"/>
        <v/>
      </c>
      <c r="BX74" s="492" t="str">
        <f t="shared" si="113"/>
        <v/>
      </c>
      <c r="BY74" s="492" t="str">
        <f t="shared" si="114"/>
        <v/>
      </c>
      <c r="BZ74" s="492" t="str">
        <f t="shared" si="115"/>
        <v/>
      </c>
      <c r="CA74" s="492" t="str">
        <f t="shared" si="116"/>
        <v/>
      </c>
      <c r="CB74" s="492" t="str">
        <f t="shared" si="117"/>
        <v/>
      </c>
      <c r="CC74" s="492" t="str">
        <f t="shared" si="118"/>
        <v/>
      </c>
      <c r="CD74" s="492" t="str">
        <f t="shared" si="119"/>
        <v/>
      </c>
      <c r="CE74" s="492" t="str">
        <f t="shared" si="120"/>
        <v/>
      </c>
      <c r="CF74" s="492" t="str">
        <f t="shared" si="121"/>
        <v/>
      </c>
      <c r="CG74" s="492" t="str">
        <f t="shared" si="122"/>
        <v/>
      </c>
      <c r="CH74" s="492" t="str">
        <f t="shared" si="123"/>
        <v/>
      </c>
      <c r="CI74" s="492" t="str">
        <f t="shared" si="124"/>
        <v/>
      </c>
      <c r="CJ74" s="492" t="str">
        <f t="shared" si="125"/>
        <v/>
      </c>
      <c r="CK74" s="492" t="str">
        <f t="shared" si="126"/>
        <v/>
      </c>
      <c r="CL74" s="492" t="str">
        <f t="shared" si="127"/>
        <v/>
      </c>
      <c r="CM74" s="492" t="str">
        <f t="shared" si="128"/>
        <v/>
      </c>
      <c r="CN74" s="492" t="str">
        <f t="shared" si="129"/>
        <v/>
      </c>
      <c r="CO74" s="492" t="str">
        <f t="shared" si="130"/>
        <v/>
      </c>
      <c r="CP74" s="492" t="str">
        <f t="shared" si="131"/>
        <v/>
      </c>
      <c r="CQ74" s="492" t="str">
        <f t="shared" si="132"/>
        <v/>
      </c>
      <c r="CR74" s="492" t="str">
        <f t="shared" si="133"/>
        <v/>
      </c>
      <c r="CS74" s="492" t="str">
        <f t="shared" si="134"/>
        <v/>
      </c>
      <c r="CT74" s="492" t="str">
        <f t="shared" si="135"/>
        <v/>
      </c>
      <c r="CU74" s="492" t="str">
        <f t="shared" si="136"/>
        <v/>
      </c>
      <c r="CV74" s="492" t="str">
        <f t="shared" si="137"/>
        <v/>
      </c>
      <c r="CW74" s="495">
        <v>1</v>
      </c>
      <c r="CX74" s="496"/>
      <c r="CY74" s="496"/>
      <c r="CZ74" s="496"/>
      <c r="DA74" s="496"/>
      <c r="DB74" s="496"/>
    </row>
    <row r="75" spans="1:106" ht="13.5" customHeight="1">
      <c r="A75" s="1232">
        <v>65</v>
      </c>
      <c r="B75" s="1233"/>
      <c r="C75" s="1230"/>
      <c r="D75" s="1234"/>
      <c r="E75" s="1231"/>
      <c r="F75" s="1230"/>
      <c r="G75" s="1234"/>
      <c r="H75" s="1231"/>
      <c r="I75" s="1230"/>
      <c r="J75" s="1231"/>
      <c r="K75" s="1290"/>
      <c r="L75" s="1291"/>
      <c r="M75" s="1290"/>
      <c r="N75" s="1291"/>
      <c r="O75" s="1290"/>
      <c r="P75" s="1291"/>
      <c r="Q75" s="1230"/>
      <c r="R75" s="1231"/>
      <c r="S75" s="1230"/>
      <c r="T75" s="1231"/>
      <c r="U75" s="1228"/>
      <c r="V75" s="1229"/>
      <c r="W75" s="1230"/>
      <c r="X75" s="1231"/>
      <c r="Y75" s="1226"/>
      <c r="Z75" s="1227"/>
      <c r="AA75" s="1275"/>
      <c r="AB75" s="1275"/>
      <c r="AC75" s="1212" t="str">
        <f t="shared" ref="AC75:AC108" si="138">IF(S75="","",IF(AND(M75="標準",S75="○",O75=""),"※下表に記載必要箇所あり(①)",IF(AND(M75="標準",S75="○",O75="分園"),"※下表に記載必要箇所あり(③)",IF(AND(M75="短時間",S75="○",O75=""),"※下表に記載必要箇所あり(②)","※下表に記載必要箇所あり(④)"))))</f>
        <v/>
      </c>
      <c r="AD75" s="1213"/>
      <c r="AE75" s="1213"/>
      <c r="AF75" s="1213"/>
      <c r="AG75" s="492" t="str">
        <f t="shared" ref="AG75:AG106" si="139">IF(AND(Q75="○",W75=""),"A","")</f>
        <v/>
      </c>
      <c r="AH75" s="466" t="str">
        <f t="shared" ref="AH75:AH106" si="140">IF(AND(Q75="○",W75="○"),"B","")</f>
        <v/>
      </c>
      <c r="AI75" s="466" t="str">
        <f t="shared" ref="AI75:AI106" si="141">IF(AND(Q75="",S75="○",W75=""),"C","")</f>
        <v/>
      </c>
      <c r="AJ75" s="466" t="str">
        <f t="shared" ref="AJ75:AJ106" si="142">IF(AND(Q75="",S75="○",W75="○"),"D","")</f>
        <v/>
      </c>
      <c r="AK75" s="492" t="str">
        <f t="shared" ref="AK75:AK106" si="143">IF(U75&gt;0,"","○")</f>
        <v>○</v>
      </c>
      <c r="AL75" s="492" t="str">
        <f t="shared" ref="AL75:AL106" si="144">IF(AND(I75="５歳",M75="標準",O75="",AK75="○",W75=""),"○","")</f>
        <v/>
      </c>
      <c r="AM75" s="492" t="str">
        <f t="shared" ref="AM75:AM106" si="145">IF(AND(I75="４歳",M75="標準",O75="",AK75="○",W75=""),"○","")</f>
        <v/>
      </c>
      <c r="AN75" s="492" t="str">
        <f t="shared" ref="AN75:AN106" si="146">IF(AND(I75="３歳",M75="標準",O75="",AK75="○",W75=""),"○","")</f>
        <v/>
      </c>
      <c r="AO75" s="492" t="str">
        <f t="shared" ref="AO75:AO106" si="147">IF(AND(I75="２歳",M75="標準",O75="",AK75="○",W75=""),"○","")</f>
        <v/>
      </c>
      <c r="AP75" s="492" t="str">
        <f t="shared" ref="AP75:AP106" si="148">IF(AND(I75="１歳",M75="標準",O75="",AK75="○",W75=""),"○","")</f>
        <v/>
      </c>
      <c r="AQ75" s="492" t="str">
        <f t="shared" ref="AQ75:AQ106" si="149">IF(AND(I75="乳児",M75="標準",O75="",AK75="○",W75=""),"○","")</f>
        <v/>
      </c>
      <c r="AR75" s="492" t="str">
        <f t="shared" ref="AR75:AR106" si="150">IF(AND(I75="５歳",M75="標準",O75="",AK75="○",W75="○"),"○","")</f>
        <v/>
      </c>
      <c r="AS75" s="492" t="str">
        <f t="shared" ref="AS75:AS106" si="151">IF(AND(I75="４歳",M75="標準",O75="",AK75="○",W75="○"),"○","")</f>
        <v/>
      </c>
      <c r="AT75" s="492" t="str">
        <f t="shared" ref="AT75:AT106" si="152">IF(AND(I75="３歳",M75="標準",O75="",AK75="○",W75="○"),"○","")</f>
        <v/>
      </c>
      <c r="AU75" s="492" t="str">
        <f t="shared" ref="AU75:AU106" si="153">IF(AND(I75="５歳",M75="標準",U75&gt;0),"○","")</f>
        <v/>
      </c>
      <c r="AV75" s="492" t="str">
        <f t="shared" ref="AV75:AV106" si="154">IF(AND(I75="４歳",M75="標準",U75&gt;0),"○","")</f>
        <v/>
      </c>
      <c r="AW75" s="492" t="str">
        <f t="shared" ref="AW75:AW106" si="155">IF(AND(I75="３歳",M75="標準",U75&gt;0),"○","")</f>
        <v/>
      </c>
      <c r="AX75" s="492" t="str">
        <f t="shared" ref="AX75:AX106" si="156">IF(AND(I75="２歳",M75="標準",U75&gt;0),"○","")</f>
        <v/>
      </c>
      <c r="AY75" s="492" t="str">
        <f t="shared" ref="AY75:AY106" si="157">IF(AND(I75="１歳",M75="標準",U75&gt;0),"○","")</f>
        <v/>
      </c>
      <c r="AZ75" s="492" t="str">
        <f t="shared" ref="AZ75:AZ106" si="158">IF(AND(I75="乳児",M75="標準",U75&gt;0),"○","")</f>
        <v/>
      </c>
      <c r="BA75" s="492" t="str">
        <f t="shared" ref="BA75:BA106" si="159">IF(AND(I75="５歳",M75="短時間",O75="",AK75="○",W75=""),"○","")</f>
        <v/>
      </c>
      <c r="BB75" s="492" t="str">
        <f t="shared" ref="BB75:BB106" si="160">IF(AND(I75="４歳",M75="短時間",O75="",AK75="○",W75=""),"○","")</f>
        <v/>
      </c>
      <c r="BC75" s="492" t="str">
        <f t="shared" ref="BC75:BC106" si="161">IF(AND(I75="３歳",M75="短時間",O75="",AK75="○",W75=""),"○","")</f>
        <v/>
      </c>
      <c r="BD75" s="492" t="str">
        <f t="shared" ref="BD75:BD106" si="162">IF(AND(I75="２歳",M75="短時間",O75="",AK75="○",W75=""),"○","")</f>
        <v/>
      </c>
      <c r="BE75" s="492" t="str">
        <f t="shared" ref="BE75:BE106" si="163">IF(AND(I75="１歳",M75="短時間",O75="",AK75="○",W75=""),"○","")</f>
        <v/>
      </c>
      <c r="BF75" s="492" t="str">
        <f t="shared" ref="BF75:BF106" si="164">IF(AND(I75="乳児",M75="短時間",O75="",AK75="○",W75=""),"○","")</f>
        <v/>
      </c>
      <c r="BG75" s="492" t="str">
        <f t="shared" ref="BG75:BG106" si="165">IF(AND(I75="５歳",M75="短時間",O75="",AK75="○",W75="○"),"○","")</f>
        <v/>
      </c>
      <c r="BH75" s="492" t="str">
        <f t="shared" ref="BH75:BH106" si="166">IF(AND(I75="４歳",M75="短時間",O75="",AK75="○",W75="○"),"○","")</f>
        <v/>
      </c>
      <c r="BI75" s="492" t="str">
        <f t="shared" ref="BI75:BI106" si="167">IF(AND(I75="３歳",M75="短時間",O75="",AK75="○",W75="○"),"○","")</f>
        <v/>
      </c>
      <c r="BJ75" s="492" t="str">
        <f t="shared" ref="BJ75:BJ106" si="168">IF(AND(I75="２歳",M75="短時間",O75="",AK75="○",W75="○"),"○","")</f>
        <v/>
      </c>
      <c r="BK75" s="492" t="str">
        <f t="shared" ref="BK75:BK106" si="169">IF(AND(I75="１歳",M75="短時間",O75="",AK75="○",W75="○"),"○","")</f>
        <v/>
      </c>
      <c r="BL75" s="492" t="str">
        <f t="shared" ref="BL75:BL106" si="170">IF(AND(I75="乳児",M75="短時間",O75="",AK75="○",W75="○"),"○","")</f>
        <v/>
      </c>
      <c r="BM75" s="492" t="str">
        <f t="shared" ref="BM75:BM106" si="171">IF(AND(I75="５歳",M75="短時間",O75="",U75&gt;0),"○","")</f>
        <v/>
      </c>
      <c r="BN75" s="492" t="str">
        <f t="shared" ref="BN75:BN106" si="172">IF(AND(I75="４歳",M75="短時間",O75="",U75&gt;0),"○","")</f>
        <v/>
      </c>
      <c r="BO75" s="492" t="str">
        <f t="shared" ref="BO75:BO106" si="173">IF(AND(I75="３歳",M75="短時間",O75="",U75&gt;0),"○","")</f>
        <v/>
      </c>
      <c r="BP75" s="492" t="str">
        <f t="shared" ref="BP75:BP106" si="174">IF(AND(I75="２歳",M75="短時間",O75="",U75&gt;0),"○","")</f>
        <v/>
      </c>
      <c r="BQ75" s="492" t="str">
        <f t="shared" ref="BQ75:BQ106" si="175">IF(AND(I75="１歳",M75="短時間",O75="",U75&gt;0),"○","")</f>
        <v/>
      </c>
      <c r="BR75" s="492" t="str">
        <f t="shared" ref="BR75:BR106" si="176">IF(AND(I75="乳児",M75="短時間",O75="",U75&gt;0),"○","")</f>
        <v/>
      </c>
      <c r="BS75" s="492" t="str">
        <f t="shared" ref="BS75:BS106" si="177">IF(AND(I75="５歳",M75="標準",O75="分園",AK75="○",W75=""),"○","")</f>
        <v/>
      </c>
      <c r="BT75" s="492" t="str">
        <f t="shared" ref="BT75:BT106" si="178">IF(AND(I75="４歳",M75="標準",O75="分園",AK75="○",W75=""),"○","")</f>
        <v/>
      </c>
      <c r="BU75" s="492" t="str">
        <f t="shared" ref="BU75:BU106" si="179">IF(AND(I75="３歳",M75="標準",O75="分園",AK75="○",W75=""),"○","")</f>
        <v/>
      </c>
      <c r="BV75" s="492" t="str">
        <f t="shared" ref="BV75:BV106" si="180">IF(AND(I75="２歳",M75="標準",O75="分園",AK75="○",W75=""),"○","")</f>
        <v/>
      </c>
      <c r="BW75" s="492" t="str">
        <f t="shared" ref="BW75:BW106" si="181">IF(AND(I75="１歳",M75="標準",O75="分園",AK75="○",W75=""),"○","")</f>
        <v/>
      </c>
      <c r="BX75" s="492" t="str">
        <f t="shared" ref="BX75:BX106" si="182">IF(AND(I75="乳児",M75="標準",O75="分園",AK75="○",W75=""),"○","")</f>
        <v/>
      </c>
      <c r="BY75" s="492" t="str">
        <f t="shared" ref="BY75:BY106" si="183">IF(AND(I75="５歳",M75="標準",O75="分園",AK75="○",W75="○"),"○","")</f>
        <v/>
      </c>
      <c r="BZ75" s="492" t="str">
        <f t="shared" ref="BZ75:BZ106" si="184">IF(AND(I75="４歳",M75="標準",O75="分園",AK75="○",W75="○"),"○","")</f>
        <v/>
      </c>
      <c r="CA75" s="492" t="str">
        <f t="shared" ref="CA75:CA106" si="185">IF(AND(I75="３歳",M75="標準",O75="分園",AK75="○",W75="○"),"○","")</f>
        <v/>
      </c>
      <c r="CB75" s="492" t="str">
        <f t="shared" ref="CB75:CB106" si="186">IF(AND(I1501="５歳",M75="教育",O75="分園",U75&gt;0),"○","")</f>
        <v/>
      </c>
      <c r="CC75" s="492" t="str">
        <f t="shared" ref="CC75:CC106" si="187">IF(AND(I1501="４歳",M75="教育",O75="分園",U75&gt;0),"○","")</f>
        <v/>
      </c>
      <c r="CD75" s="492" t="str">
        <f t="shared" ref="CD75:CD106" si="188">IF(AND(I1501="３歳",M75="教育",O75="分園",U75&gt;0),"○","")</f>
        <v/>
      </c>
      <c r="CE75" s="492" t="str">
        <f t="shared" ref="CE75:CE106" si="189">IF(AND(I1501="２歳",M75="教育",O75="分園",U75&gt;0),"○","")</f>
        <v/>
      </c>
      <c r="CF75" s="492" t="str">
        <f t="shared" ref="CF75:CF106" si="190">IF(AND(I1501="１歳",M75="教育",O75="分園",U75&gt;0),"○","")</f>
        <v/>
      </c>
      <c r="CG75" s="492" t="str">
        <f t="shared" ref="CG75:CG106" si="191">IF(AND(I1501="乳児",M75="教育",O75="分園",U75&gt;0),"○","")</f>
        <v/>
      </c>
      <c r="CH75" s="492" t="str">
        <f t="shared" ref="CH75:CH106" si="192">IF(AND(I75="５歳",M75="短時間",O75="分園",AK75="○",W75=""),"○","")</f>
        <v/>
      </c>
      <c r="CI75" s="492" t="str">
        <f t="shared" ref="CI75:CI106" si="193">IF(AND(I75="４歳",M75="短時間",O75="分園",AK75="○",W75=""),"○","")</f>
        <v/>
      </c>
      <c r="CJ75" s="492" t="str">
        <f t="shared" ref="CJ75:CJ106" si="194">IF(AND(I75="３歳",M75="短時間",O75="分園",AK75="○",W75=""),"○","")</f>
        <v/>
      </c>
      <c r="CK75" s="492" t="str">
        <f t="shared" ref="CK75:CK106" si="195">IF(AND(I75="２歳",M75="短時間",O75="分園",AK75="○",W75=""),"○","")</f>
        <v/>
      </c>
      <c r="CL75" s="492" t="str">
        <f t="shared" ref="CL75:CL106" si="196">IF(AND(I75="１歳",M75="短時間",O75="分園",AK75="○",W75=""),"○","")</f>
        <v/>
      </c>
      <c r="CM75" s="492" t="str">
        <f t="shared" ref="CM75:CM106" si="197">IF(AND(I75="乳児",M75="短時間",O75="分園",AK75="○",W75=""),"○","")</f>
        <v/>
      </c>
      <c r="CN75" s="492" t="str">
        <f t="shared" ref="CN75:CN106" si="198">IF(AND(I75="５歳",M75="短時間",O75="分園",AK75="○",W75="○"),"○","")</f>
        <v/>
      </c>
      <c r="CO75" s="492" t="str">
        <f t="shared" ref="CO75:CO106" si="199">IF(AND(I75="４歳",M75="短時間",O75="分園",AK75="○",W75="○"),"○","")</f>
        <v/>
      </c>
      <c r="CP75" s="492" t="str">
        <f t="shared" ref="CP75:CP106" si="200">IF(AND(I75="３歳",M75="短時間",O75="分園",AK75="○",W75="○"),"○","")</f>
        <v/>
      </c>
      <c r="CQ75" s="492" t="str">
        <f t="shared" ref="CQ75:CQ99" si="201">IF(AND(I75="５歳",M75="短時間",O75="分園",U75&gt;0),"○","")</f>
        <v/>
      </c>
      <c r="CR75" s="492" t="str">
        <f t="shared" ref="CR75:CR99" si="202">IF(AND(I75="４歳",M75="短時間",O75="分園",U75&gt;0),"○","")</f>
        <v/>
      </c>
      <c r="CS75" s="492" t="str">
        <f t="shared" ref="CS75:CS99" si="203">IF(AND(I75="３歳",M75="短時間",O75="分園",U75&gt;0),"○","")</f>
        <v/>
      </c>
      <c r="CT75" s="492" t="str">
        <f t="shared" ref="CT75:CT99" si="204">IF(AND(I75="２歳",M75="短時間",O75="分園",U75&gt;0),"○","")</f>
        <v/>
      </c>
      <c r="CU75" s="492" t="str">
        <f t="shared" ref="CU75:CU99" si="205">IF(AND(I75="１歳",M75="短時間",O75="分園",U75&gt;0),"○","")</f>
        <v/>
      </c>
      <c r="CV75" s="492" t="str">
        <f t="shared" ref="CV75:CV99" si="206">IF(AND(I75="乳児",M75="短時間",O75="分園",U75&gt;0),"○","")</f>
        <v/>
      </c>
      <c r="CW75" s="495">
        <v>1</v>
      </c>
      <c r="CX75" s="496"/>
      <c r="CY75" s="496"/>
      <c r="CZ75" s="496"/>
      <c r="DA75" s="496"/>
      <c r="DB75" s="496"/>
    </row>
    <row r="76" spans="1:106" ht="13.5" customHeight="1">
      <c r="A76" s="1232">
        <v>66</v>
      </c>
      <c r="B76" s="1233"/>
      <c r="C76" s="1230"/>
      <c r="D76" s="1234"/>
      <c r="E76" s="1231"/>
      <c r="F76" s="1230"/>
      <c r="G76" s="1234"/>
      <c r="H76" s="1231"/>
      <c r="I76" s="1230"/>
      <c r="J76" s="1231"/>
      <c r="K76" s="1290"/>
      <c r="L76" s="1291"/>
      <c r="M76" s="1290"/>
      <c r="N76" s="1291"/>
      <c r="O76" s="1290"/>
      <c r="P76" s="1291"/>
      <c r="Q76" s="1230"/>
      <c r="R76" s="1231"/>
      <c r="S76" s="1230"/>
      <c r="T76" s="1231"/>
      <c r="U76" s="1228"/>
      <c r="V76" s="1229"/>
      <c r="W76" s="1230"/>
      <c r="X76" s="1231"/>
      <c r="Y76" s="1226"/>
      <c r="Z76" s="1227"/>
      <c r="AA76" s="1275"/>
      <c r="AB76" s="1275"/>
      <c r="AC76" s="1212" t="str">
        <f t="shared" si="138"/>
        <v/>
      </c>
      <c r="AD76" s="1213"/>
      <c r="AE76" s="1213"/>
      <c r="AF76" s="1213"/>
      <c r="AG76" s="492" t="str">
        <f t="shared" si="139"/>
        <v/>
      </c>
      <c r="AH76" s="466" t="str">
        <f t="shared" si="140"/>
        <v/>
      </c>
      <c r="AI76" s="466" t="str">
        <f t="shared" si="141"/>
        <v/>
      </c>
      <c r="AJ76" s="466" t="str">
        <f t="shared" si="142"/>
        <v/>
      </c>
      <c r="AK76" s="492" t="str">
        <f t="shared" si="143"/>
        <v>○</v>
      </c>
      <c r="AL76" s="492" t="str">
        <f t="shared" si="144"/>
        <v/>
      </c>
      <c r="AM76" s="492" t="str">
        <f t="shared" si="145"/>
        <v/>
      </c>
      <c r="AN76" s="492" t="str">
        <f t="shared" si="146"/>
        <v/>
      </c>
      <c r="AO76" s="492" t="str">
        <f t="shared" si="147"/>
        <v/>
      </c>
      <c r="AP76" s="492" t="str">
        <f t="shared" si="148"/>
        <v/>
      </c>
      <c r="AQ76" s="492" t="str">
        <f t="shared" si="149"/>
        <v/>
      </c>
      <c r="AR76" s="492" t="str">
        <f t="shared" si="150"/>
        <v/>
      </c>
      <c r="AS76" s="492" t="str">
        <f t="shared" si="151"/>
        <v/>
      </c>
      <c r="AT76" s="492" t="str">
        <f t="shared" si="152"/>
        <v/>
      </c>
      <c r="AU76" s="492" t="str">
        <f t="shared" si="153"/>
        <v/>
      </c>
      <c r="AV76" s="492" t="str">
        <f t="shared" si="154"/>
        <v/>
      </c>
      <c r="AW76" s="492" t="str">
        <f t="shared" si="155"/>
        <v/>
      </c>
      <c r="AX76" s="492" t="str">
        <f t="shared" si="156"/>
        <v/>
      </c>
      <c r="AY76" s="492" t="str">
        <f t="shared" si="157"/>
        <v/>
      </c>
      <c r="AZ76" s="492" t="str">
        <f t="shared" si="158"/>
        <v/>
      </c>
      <c r="BA76" s="492" t="str">
        <f t="shared" si="159"/>
        <v/>
      </c>
      <c r="BB76" s="492" t="str">
        <f t="shared" si="160"/>
        <v/>
      </c>
      <c r="BC76" s="492" t="str">
        <f t="shared" si="161"/>
        <v/>
      </c>
      <c r="BD76" s="492" t="str">
        <f t="shared" si="162"/>
        <v/>
      </c>
      <c r="BE76" s="492" t="str">
        <f t="shared" si="163"/>
        <v/>
      </c>
      <c r="BF76" s="492" t="str">
        <f t="shared" si="164"/>
        <v/>
      </c>
      <c r="BG76" s="492" t="str">
        <f t="shared" si="165"/>
        <v/>
      </c>
      <c r="BH76" s="492" t="str">
        <f t="shared" si="166"/>
        <v/>
      </c>
      <c r="BI76" s="492" t="str">
        <f t="shared" si="167"/>
        <v/>
      </c>
      <c r="BJ76" s="492" t="str">
        <f t="shared" si="168"/>
        <v/>
      </c>
      <c r="BK76" s="492" t="str">
        <f t="shared" si="169"/>
        <v/>
      </c>
      <c r="BL76" s="492" t="str">
        <f t="shared" si="170"/>
        <v/>
      </c>
      <c r="BM76" s="492" t="str">
        <f t="shared" si="171"/>
        <v/>
      </c>
      <c r="BN76" s="492" t="str">
        <f t="shared" si="172"/>
        <v/>
      </c>
      <c r="BO76" s="492" t="str">
        <f t="shared" si="173"/>
        <v/>
      </c>
      <c r="BP76" s="492" t="str">
        <f t="shared" si="174"/>
        <v/>
      </c>
      <c r="BQ76" s="492" t="str">
        <f t="shared" si="175"/>
        <v/>
      </c>
      <c r="BR76" s="492" t="str">
        <f t="shared" si="176"/>
        <v/>
      </c>
      <c r="BS76" s="492" t="str">
        <f t="shared" si="177"/>
        <v/>
      </c>
      <c r="BT76" s="492" t="str">
        <f t="shared" si="178"/>
        <v/>
      </c>
      <c r="BU76" s="492" t="str">
        <f t="shared" si="179"/>
        <v/>
      </c>
      <c r="BV76" s="492" t="str">
        <f t="shared" si="180"/>
        <v/>
      </c>
      <c r="BW76" s="492" t="str">
        <f t="shared" si="181"/>
        <v/>
      </c>
      <c r="BX76" s="492" t="str">
        <f t="shared" si="182"/>
        <v/>
      </c>
      <c r="BY76" s="492" t="str">
        <f t="shared" si="183"/>
        <v/>
      </c>
      <c r="BZ76" s="492" t="str">
        <f t="shared" si="184"/>
        <v/>
      </c>
      <c r="CA76" s="492" t="str">
        <f t="shared" si="185"/>
        <v/>
      </c>
      <c r="CB76" s="492" t="str">
        <f t="shared" si="186"/>
        <v/>
      </c>
      <c r="CC76" s="492" t="str">
        <f t="shared" si="187"/>
        <v/>
      </c>
      <c r="CD76" s="492" t="str">
        <f t="shared" si="188"/>
        <v/>
      </c>
      <c r="CE76" s="492" t="str">
        <f t="shared" si="189"/>
        <v/>
      </c>
      <c r="CF76" s="492" t="str">
        <f t="shared" si="190"/>
        <v/>
      </c>
      <c r="CG76" s="492" t="str">
        <f t="shared" si="191"/>
        <v/>
      </c>
      <c r="CH76" s="492" t="str">
        <f t="shared" si="192"/>
        <v/>
      </c>
      <c r="CI76" s="492" t="str">
        <f t="shared" si="193"/>
        <v/>
      </c>
      <c r="CJ76" s="492" t="str">
        <f t="shared" si="194"/>
        <v/>
      </c>
      <c r="CK76" s="492" t="str">
        <f t="shared" si="195"/>
        <v/>
      </c>
      <c r="CL76" s="492" t="str">
        <f t="shared" si="196"/>
        <v/>
      </c>
      <c r="CM76" s="492" t="str">
        <f t="shared" si="197"/>
        <v/>
      </c>
      <c r="CN76" s="492" t="str">
        <f t="shared" si="198"/>
        <v/>
      </c>
      <c r="CO76" s="492" t="str">
        <f t="shared" si="199"/>
        <v/>
      </c>
      <c r="CP76" s="492" t="str">
        <f t="shared" si="200"/>
        <v/>
      </c>
      <c r="CQ76" s="492" t="str">
        <f t="shared" si="201"/>
        <v/>
      </c>
      <c r="CR76" s="492" t="str">
        <f t="shared" si="202"/>
        <v/>
      </c>
      <c r="CS76" s="492" t="str">
        <f t="shared" si="203"/>
        <v/>
      </c>
      <c r="CT76" s="492" t="str">
        <f t="shared" si="204"/>
        <v/>
      </c>
      <c r="CU76" s="492" t="str">
        <f t="shared" si="205"/>
        <v/>
      </c>
      <c r="CV76" s="492" t="str">
        <f t="shared" si="206"/>
        <v/>
      </c>
      <c r="CW76" s="495">
        <v>1</v>
      </c>
      <c r="CX76" s="496"/>
      <c r="CY76" s="496"/>
      <c r="CZ76" s="496"/>
      <c r="DA76" s="496"/>
      <c r="DB76" s="496"/>
    </row>
    <row r="77" spans="1:106" ht="13.5" customHeight="1">
      <c r="A77" s="1232">
        <v>67</v>
      </c>
      <c r="B77" s="1233"/>
      <c r="C77" s="1230"/>
      <c r="D77" s="1234"/>
      <c r="E77" s="1231"/>
      <c r="F77" s="1230"/>
      <c r="G77" s="1234"/>
      <c r="H77" s="1231"/>
      <c r="I77" s="1230"/>
      <c r="J77" s="1231"/>
      <c r="K77" s="1290"/>
      <c r="L77" s="1291"/>
      <c r="M77" s="1290"/>
      <c r="N77" s="1291"/>
      <c r="O77" s="1290"/>
      <c r="P77" s="1291"/>
      <c r="Q77" s="1230"/>
      <c r="R77" s="1231"/>
      <c r="S77" s="1230"/>
      <c r="T77" s="1231"/>
      <c r="U77" s="1228"/>
      <c r="V77" s="1229"/>
      <c r="W77" s="1230"/>
      <c r="X77" s="1231"/>
      <c r="Y77" s="1226"/>
      <c r="Z77" s="1227"/>
      <c r="AA77" s="1275"/>
      <c r="AB77" s="1275"/>
      <c r="AC77" s="1212" t="str">
        <f t="shared" si="138"/>
        <v/>
      </c>
      <c r="AD77" s="1213"/>
      <c r="AE77" s="1213"/>
      <c r="AF77" s="1213"/>
      <c r="AG77" s="492" t="str">
        <f t="shared" si="139"/>
        <v/>
      </c>
      <c r="AH77" s="466" t="str">
        <f t="shared" si="140"/>
        <v/>
      </c>
      <c r="AI77" s="466" t="str">
        <f t="shared" si="141"/>
        <v/>
      </c>
      <c r="AJ77" s="466" t="str">
        <f t="shared" si="142"/>
        <v/>
      </c>
      <c r="AK77" s="492" t="str">
        <f t="shared" si="143"/>
        <v>○</v>
      </c>
      <c r="AL77" s="492" t="str">
        <f t="shared" si="144"/>
        <v/>
      </c>
      <c r="AM77" s="492" t="str">
        <f t="shared" si="145"/>
        <v/>
      </c>
      <c r="AN77" s="492" t="str">
        <f t="shared" si="146"/>
        <v/>
      </c>
      <c r="AO77" s="492" t="str">
        <f t="shared" si="147"/>
        <v/>
      </c>
      <c r="AP77" s="492" t="str">
        <f t="shared" si="148"/>
        <v/>
      </c>
      <c r="AQ77" s="492" t="str">
        <f t="shared" si="149"/>
        <v/>
      </c>
      <c r="AR77" s="492" t="str">
        <f t="shared" si="150"/>
        <v/>
      </c>
      <c r="AS77" s="492" t="str">
        <f t="shared" si="151"/>
        <v/>
      </c>
      <c r="AT77" s="492" t="str">
        <f t="shared" si="152"/>
        <v/>
      </c>
      <c r="AU77" s="492" t="str">
        <f t="shared" si="153"/>
        <v/>
      </c>
      <c r="AV77" s="492" t="str">
        <f t="shared" si="154"/>
        <v/>
      </c>
      <c r="AW77" s="492" t="str">
        <f t="shared" si="155"/>
        <v/>
      </c>
      <c r="AX77" s="492" t="str">
        <f t="shared" si="156"/>
        <v/>
      </c>
      <c r="AY77" s="492" t="str">
        <f t="shared" si="157"/>
        <v/>
      </c>
      <c r="AZ77" s="492" t="str">
        <f t="shared" si="158"/>
        <v/>
      </c>
      <c r="BA77" s="492" t="str">
        <f t="shared" si="159"/>
        <v/>
      </c>
      <c r="BB77" s="492" t="str">
        <f t="shared" si="160"/>
        <v/>
      </c>
      <c r="BC77" s="492" t="str">
        <f t="shared" si="161"/>
        <v/>
      </c>
      <c r="BD77" s="492" t="str">
        <f t="shared" si="162"/>
        <v/>
      </c>
      <c r="BE77" s="492" t="str">
        <f t="shared" si="163"/>
        <v/>
      </c>
      <c r="BF77" s="492" t="str">
        <f t="shared" si="164"/>
        <v/>
      </c>
      <c r="BG77" s="492" t="str">
        <f t="shared" si="165"/>
        <v/>
      </c>
      <c r="BH77" s="492" t="str">
        <f t="shared" si="166"/>
        <v/>
      </c>
      <c r="BI77" s="492" t="str">
        <f t="shared" si="167"/>
        <v/>
      </c>
      <c r="BJ77" s="492" t="str">
        <f t="shared" si="168"/>
        <v/>
      </c>
      <c r="BK77" s="492" t="str">
        <f t="shared" si="169"/>
        <v/>
      </c>
      <c r="BL77" s="492" t="str">
        <f t="shared" si="170"/>
        <v/>
      </c>
      <c r="BM77" s="492" t="str">
        <f t="shared" si="171"/>
        <v/>
      </c>
      <c r="BN77" s="492" t="str">
        <f t="shared" si="172"/>
        <v/>
      </c>
      <c r="BO77" s="492" t="str">
        <f t="shared" si="173"/>
        <v/>
      </c>
      <c r="BP77" s="492" t="str">
        <f t="shared" si="174"/>
        <v/>
      </c>
      <c r="BQ77" s="492" t="str">
        <f t="shared" si="175"/>
        <v/>
      </c>
      <c r="BR77" s="492" t="str">
        <f t="shared" si="176"/>
        <v/>
      </c>
      <c r="BS77" s="492" t="str">
        <f t="shared" si="177"/>
        <v/>
      </c>
      <c r="BT77" s="492" t="str">
        <f t="shared" si="178"/>
        <v/>
      </c>
      <c r="BU77" s="492" t="str">
        <f t="shared" si="179"/>
        <v/>
      </c>
      <c r="BV77" s="492" t="str">
        <f t="shared" si="180"/>
        <v/>
      </c>
      <c r="BW77" s="492" t="str">
        <f t="shared" si="181"/>
        <v/>
      </c>
      <c r="BX77" s="492" t="str">
        <f t="shared" si="182"/>
        <v/>
      </c>
      <c r="BY77" s="492" t="str">
        <f t="shared" si="183"/>
        <v/>
      </c>
      <c r="BZ77" s="492" t="str">
        <f t="shared" si="184"/>
        <v/>
      </c>
      <c r="CA77" s="492" t="str">
        <f t="shared" si="185"/>
        <v/>
      </c>
      <c r="CB77" s="492" t="str">
        <f t="shared" si="186"/>
        <v/>
      </c>
      <c r="CC77" s="492" t="str">
        <f t="shared" si="187"/>
        <v/>
      </c>
      <c r="CD77" s="492" t="str">
        <f t="shared" si="188"/>
        <v/>
      </c>
      <c r="CE77" s="492" t="str">
        <f t="shared" si="189"/>
        <v/>
      </c>
      <c r="CF77" s="492" t="str">
        <f t="shared" si="190"/>
        <v/>
      </c>
      <c r="CG77" s="492" t="str">
        <f t="shared" si="191"/>
        <v/>
      </c>
      <c r="CH77" s="492" t="str">
        <f t="shared" si="192"/>
        <v/>
      </c>
      <c r="CI77" s="492" t="str">
        <f t="shared" si="193"/>
        <v/>
      </c>
      <c r="CJ77" s="492" t="str">
        <f t="shared" si="194"/>
        <v/>
      </c>
      <c r="CK77" s="492" t="str">
        <f t="shared" si="195"/>
        <v/>
      </c>
      <c r="CL77" s="492" t="str">
        <f t="shared" si="196"/>
        <v/>
      </c>
      <c r="CM77" s="492" t="str">
        <f t="shared" si="197"/>
        <v/>
      </c>
      <c r="CN77" s="492" t="str">
        <f t="shared" si="198"/>
        <v/>
      </c>
      <c r="CO77" s="492" t="str">
        <f t="shared" si="199"/>
        <v/>
      </c>
      <c r="CP77" s="492" t="str">
        <f t="shared" si="200"/>
        <v/>
      </c>
      <c r="CQ77" s="492" t="str">
        <f t="shared" si="201"/>
        <v/>
      </c>
      <c r="CR77" s="492" t="str">
        <f t="shared" si="202"/>
        <v/>
      </c>
      <c r="CS77" s="492" t="str">
        <f t="shared" si="203"/>
        <v/>
      </c>
      <c r="CT77" s="492" t="str">
        <f t="shared" si="204"/>
        <v/>
      </c>
      <c r="CU77" s="492" t="str">
        <f t="shared" si="205"/>
        <v/>
      </c>
      <c r="CV77" s="492" t="str">
        <f t="shared" si="206"/>
        <v/>
      </c>
      <c r="CW77" s="495">
        <v>1</v>
      </c>
      <c r="CX77" s="496"/>
      <c r="CY77" s="496"/>
      <c r="CZ77" s="496"/>
      <c r="DA77" s="496"/>
      <c r="DB77" s="496"/>
    </row>
    <row r="78" spans="1:106" ht="13.5" customHeight="1">
      <c r="A78" s="1232">
        <v>68</v>
      </c>
      <c r="B78" s="1233"/>
      <c r="C78" s="1230"/>
      <c r="D78" s="1234"/>
      <c r="E78" s="1231"/>
      <c r="F78" s="1230"/>
      <c r="G78" s="1234"/>
      <c r="H78" s="1231"/>
      <c r="I78" s="1230"/>
      <c r="J78" s="1231"/>
      <c r="K78" s="1290"/>
      <c r="L78" s="1291"/>
      <c r="M78" s="1290"/>
      <c r="N78" s="1291"/>
      <c r="O78" s="1290"/>
      <c r="P78" s="1291"/>
      <c r="Q78" s="1230"/>
      <c r="R78" s="1231"/>
      <c r="S78" s="1230"/>
      <c r="T78" s="1231"/>
      <c r="U78" s="1228"/>
      <c r="V78" s="1229"/>
      <c r="W78" s="1230"/>
      <c r="X78" s="1231"/>
      <c r="Y78" s="1226"/>
      <c r="Z78" s="1227"/>
      <c r="AA78" s="1275"/>
      <c r="AB78" s="1275"/>
      <c r="AC78" s="1212" t="str">
        <f t="shared" si="138"/>
        <v/>
      </c>
      <c r="AD78" s="1213"/>
      <c r="AE78" s="1213"/>
      <c r="AF78" s="1213"/>
      <c r="AG78" s="492" t="str">
        <f t="shared" si="139"/>
        <v/>
      </c>
      <c r="AH78" s="466" t="str">
        <f t="shared" si="140"/>
        <v/>
      </c>
      <c r="AI78" s="466" t="str">
        <f t="shared" si="141"/>
        <v/>
      </c>
      <c r="AJ78" s="466" t="str">
        <f t="shared" si="142"/>
        <v/>
      </c>
      <c r="AK78" s="492" t="str">
        <f t="shared" si="143"/>
        <v>○</v>
      </c>
      <c r="AL78" s="492" t="str">
        <f t="shared" si="144"/>
        <v/>
      </c>
      <c r="AM78" s="492" t="str">
        <f t="shared" si="145"/>
        <v/>
      </c>
      <c r="AN78" s="492" t="str">
        <f t="shared" si="146"/>
        <v/>
      </c>
      <c r="AO78" s="492" t="str">
        <f t="shared" si="147"/>
        <v/>
      </c>
      <c r="AP78" s="492" t="str">
        <f t="shared" si="148"/>
        <v/>
      </c>
      <c r="AQ78" s="492" t="str">
        <f t="shared" si="149"/>
        <v/>
      </c>
      <c r="AR78" s="492" t="str">
        <f t="shared" si="150"/>
        <v/>
      </c>
      <c r="AS78" s="492" t="str">
        <f t="shared" si="151"/>
        <v/>
      </c>
      <c r="AT78" s="492" t="str">
        <f t="shared" si="152"/>
        <v/>
      </c>
      <c r="AU78" s="492" t="str">
        <f t="shared" si="153"/>
        <v/>
      </c>
      <c r="AV78" s="492" t="str">
        <f t="shared" si="154"/>
        <v/>
      </c>
      <c r="AW78" s="492" t="str">
        <f t="shared" si="155"/>
        <v/>
      </c>
      <c r="AX78" s="492" t="str">
        <f t="shared" si="156"/>
        <v/>
      </c>
      <c r="AY78" s="492" t="str">
        <f t="shared" si="157"/>
        <v/>
      </c>
      <c r="AZ78" s="492" t="str">
        <f t="shared" si="158"/>
        <v/>
      </c>
      <c r="BA78" s="492" t="str">
        <f t="shared" si="159"/>
        <v/>
      </c>
      <c r="BB78" s="492" t="str">
        <f t="shared" si="160"/>
        <v/>
      </c>
      <c r="BC78" s="492" t="str">
        <f t="shared" si="161"/>
        <v/>
      </c>
      <c r="BD78" s="492" t="str">
        <f t="shared" si="162"/>
        <v/>
      </c>
      <c r="BE78" s="492" t="str">
        <f t="shared" si="163"/>
        <v/>
      </c>
      <c r="BF78" s="492" t="str">
        <f t="shared" si="164"/>
        <v/>
      </c>
      <c r="BG78" s="492" t="str">
        <f t="shared" si="165"/>
        <v/>
      </c>
      <c r="BH78" s="492" t="str">
        <f t="shared" si="166"/>
        <v/>
      </c>
      <c r="BI78" s="492" t="str">
        <f t="shared" si="167"/>
        <v/>
      </c>
      <c r="BJ78" s="492" t="str">
        <f t="shared" si="168"/>
        <v/>
      </c>
      <c r="BK78" s="492" t="str">
        <f t="shared" si="169"/>
        <v/>
      </c>
      <c r="BL78" s="492" t="str">
        <f t="shared" si="170"/>
        <v/>
      </c>
      <c r="BM78" s="492" t="str">
        <f t="shared" si="171"/>
        <v/>
      </c>
      <c r="BN78" s="492" t="str">
        <f t="shared" si="172"/>
        <v/>
      </c>
      <c r="BO78" s="492" t="str">
        <f t="shared" si="173"/>
        <v/>
      </c>
      <c r="BP78" s="492" t="str">
        <f t="shared" si="174"/>
        <v/>
      </c>
      <c r="BQ78" s="492" t="str">
        <f t="shared" si="175"/>
        <v/>
      </c>
      <c r="BR78" s="492" t="str">
        <f t="shared" si="176"/>
        <v/>
      </c>
      <c r="BS78" s="492" t="str">
        <f t="shared" si="177"/>
        <v/>
      </c>
      <c r="BT78" s="492" t="str">
        <f t="shared" si="178"/>
        <v/>
      </c>
      <c r="BU78" s="492" t="str">
        <f t="shared" si="179"/>
        <v/>
      </c>
      <c r="BV78" s="492" t="str">
        <f t="shared" si="180"/>
        <v/>
      </c>
      <c r="BW78" s="492" t="str">
        <f t="shared" si="181"/>
        <v/>
      </c>
      <c r="BX78" s="492" t="str">
        <f t="shared" si="182"/>
        <v/>
      </c>
      <c r="BY78" s="492" t="str">
        <f t="shared" si="183"/>
        <v/>
      </c>
      <c r="BZ78" s="492" t="str">
        <f t="shared" si="184"/>
        <v/>
      </c>
      <c r="CA78" s="492" t="str">
        <f t="shared" si="185"/>
        <v/>
      </c>
      <c r="CB78" s="492" t="str">
        <f t="shared" si="186"/>
        <v/>
      </c>
      <c r="CC78" s="492" t="str">
        <f t="shared" si="187"/>
        <v/>
      </c>
      <c r="CD78" s="492" t="str">
        <f t="shared" si="188"/>
        <v/>
      </c>
      <c r="CE78" s="492" t="str">
        <f t="shared" si="189"/>
        <v/>
      </c>
      <c r="CF78" s="492" t="str">
        <f t="shared" si="190"/>
        <v/>
      </c>
      <c r="CG78" s="492" t="str">
        <f t="shared" si="191"/>
        <v/>
      </c>
      <c r="CH78" s="492" t="str">
        <f t="shared" si="192"/>
        <v/>
      </c>
      <c r="CI78" s="492" t="str">
        <f t="shared" si="193"/>
        <v/>
      </c>
      <c r="CJ78" s="492" t="str">
        <f t="shared" si="194"/>
        <v/>
      </c>
      <c r="CK78" s="492" t="str">
        <f t="shared" si="195"/>
        <v/>
      </c>
      <c r="CL78" s="492" t="str">
        <f t="shared" si="196"/>
        <v/>
      </c>
      <c r="CM78" s="492" t="str">
        <f t="shared" si="197"/>
        <v/>
      </c>
      <c r="CN78" s="492" t="str">
        <f t="shared" si="198"/>
        <v/>
      </c>
      <c r="CO78" s="492" t="str">
        <f t="shared" si="199"/>
        <v/>
      </c>
      <c r="CP78" s="492" t="str">
        <f t="shared" si="200"/>
        <v/>
      </c>
      <c r="CQ78" s="492" t="str">
        <f t="shared" si="201"/>
        <v/>
      </c>
      <c r="CR78" s="492" t="str">
        <f t="shared" si="202"/>
        <v/>
      </c>
      <c r="CS78" s="492" t="str">
        <f t="shared" si="203"/>
        <v/>
      </c>
      <c r="CT78" s="492" t="str">
        <f t="shared" si="204"/>
        <v/>
      </c>
      <c r="CU78" s="492" t="str">
        <f t="shared" si="205"/>
        <v/>
      </c>
      <c r="CV78" s="492" t="str">
        <f t="shared" si="206"/>
        <v/>
      </c>
      <c r="CW78" s="495">
        <v>1</v>
      </c>
      <c r="CX78" s="496"/>
      <c r="CY78" s="496"/>
      <c r="CZ78" s="496"/>
      <c r="DA78" s="496"/>
      <c r="DB78" s="496"/>
    </row>
    <row r="79" spans="1:106" ht="13.5" customHeight="1">
      <c r="A79" s="1232">
        <v>69</v>
      </c>
      <c r="B79" s="1233"/>
      <c r="C79" s="1230"/>
      <c r="D79" s="1234"/>
      <c r="E79" s="1231"/>
      <c r="F79" s="1230"/>
      <c r="G79" s="1234"/>
      <c r="H79" s="1231"/>
      <c r="I79" s="1230"/>
      <c r="J79" s="1231"/>
      <c r="K79" s="1290"/>
      <c r="L79" s="1291"/>
      <c r="M79" s="1290"/>
      <c r="N79" s="1291"/>
      <c r="O79" s="1290"/>
      <c r="P79" s="1291"/>
      <c r="Q79" s="1230"/>
      <c r="R79" s="1231"/>
      <c r="S79" s="1230"/>
      <c r="T79" s="1231"/>
      <c r="U79" s="1228"/>
      <c r="V79" s="1229"/>
      <c r="W79" s="1230"/>
      <c r="X79" s="1231"/>
      <c r="Y79" s="1226"/>
      <c r="Z79" s="1227"/>
      <c r="AA79" s="1275"/>
      <c r="AB79" s="1275"/>
      <c r="AC79" s="1212" t="str">
        <f t="shared" si="138"/>
        <v/>
      </c>
      <c r="AD79" s="1213"/>
      <c r="AE79" s="1213"/>
      <c r="AF79" s="1213"/>
      <c r="AG79" s="492" t="str">
        <f t="shared" si="139"/>
        <v/>
      </c>
      <c r="AH79" s="466" t="str">
        <f t="shared" si="140"/>
        <v/>
      </c>
      <c r="AI79" s="466" t="str">
        <f t="shared" si="141"/>
        <v/>
      </c>
      <c r="AJ79" s="466" t="str">
        <f t="shared" si="142"/>
        <v/>
      </c>
      <c r="AK79" s="492" t="str">
        <f t="shared" si="143"/>
        <v>○</v>
      </c>
      <c r="AL79" s="492" t="str">
        <f t="shared" si="144"/>
        <v/>
      </c>
      <c r="AM79" s="492" t="str">
        <f t="shared" si="145"/>
        <v/>
      </c>
      <c r="AN79" s="492" t="str">
        <f t="shared" si="146"/>
        <v/>
      </c>
      <c r="AO79" s="492" t="str">
        <f t="shared" si="147"/>
        <v/>
      </c>
      <c r="AP79" s="492" t="str">
        <f t="shared" si="148"/>
        <v/>
      </c>
      <c r="AQ79" s="492" t="str">
        <f t="shared" si="149"/>
        <v/>
      </c>
      <c r="AR79" s="492" t="str">
        <f t="shared" si="150"/>
        <v/>
      </c>
      <c r="AS79" s="492" t="str">
        <f t="shared" si="151"/>
        <v/>
      </c>
      <c r="AT79" s="492" t="str">
        <f t="shared" si="152"/>
        <v/>
      </c>
      <c r="AU79" s="492" t="str">
        <f t="shared" si="153"/>
        <v/>
      </c>
      <c r="AV79" s="492" t="str">
        <f t="shared" si="154"/>
        <v/>
      </c>
      <c r="AW79" s="492" t="str">
        <f t="shared" si="155"/>
        <v/>
      </c>
      <c r="AX79" s="492" t="str">
        <f t="shared" si="156"/>
        <v/>
      </c>
      <c r="AY79" s="492" t="str">
        <f t="shared" si="157"/>
        <v/>
      </c>
      <c r="AZ79" s="492" t="str">
        <f t="shared" si="158"/>
        <v/>
      </c>
      <c r="BA79" s="492" t="str">
        <f t="shared" si="159"/>
        <v/>
      </c>
      <c r="BB79" s="492" t="str">
        <f t="shared" si="160"/>
        <v/>
      </c>
      <c r="BC79" s="492" t="str">
        <f t="shared" si="161"/>
        <v/>
      </c>
      <c r="BD79" s="492" t="str">
        <f t="shared" si="162"/>
        <v/>
      </c>
      <c r="BE79" s="492" t="str">
        <f t="shared" si="163"/>
        <v/>
      </c>
      <c r="BF79" s="492" t="str">
        <f t="shared" si="164"/>
        <v/>
      </c>
      <c r="BG79" s="492" t="str">
        <f t="shared" si="165"/>
        <v/>
      </c>
      <c r="BH79" s="492" t="str">
        <f t="shared" si="166"/>
        <v/>
      </c>
      <c r="BI79" s="492" t="str">
        <f t="shared" si="167"/>
        <v/>
      </c>
      <c r="BJ79" s="492" t="str">
        <f t="shared" si="168"/>
        <v/>
      </c>
      <c r="BK79" s="492" t="str">
        <f t="shared" si="169"/>
        <v/>
      </c>
      <c r="BL79" s="492" t="str">
        <f t="shared" si="170"/>
        <v/>
      </c>
      <c r="BM79" s="492" t="str">
        <f t="shared" si="171"/>
        <v/>
      </c>
      <c r="BN79" s="492" t="str">
        <f t="shared" si="172"/>
        <v/>
      </c>
      <c r="BO79" s="492" t="str">
        <f t="shared" si="173"/>
        <v/>
      </c>
      <c r="BP79" s="492" t="str">
        <f t="shared" si="174"/>
        <v/>
      </c>
      <c r="BQ79" s="492" t="str">
        <f t="shared" si="175"/>
        <v/>
      </c>
      <c r="BR79" s="492" t="str">
        <f t="shared" si="176"/>
        <v/>
      </c>
      <c r="BS79" s="492" t="str">
        <f t="shared" si="177"/>
        <v/>
      </c>
      <c r="BT79" s="492" t="str">
        <f t="shared" si="178"/>
        <v/>
      </c>
      <c r="BU79" s="492" t="str">
        <f t="shared" si="179"/>
        <v/>
      </c>
      <c r="BV79" s="492" t="str">
        <f t="shared" si="180"/>
        <v/>
      </c>
      <c r="BW79" s="492" t="str">
        <f t="shared" si="181"/>
        <v/>
      </c>
      <c r="BX79" s="492" t="str">
        <f t="shared" si="182"/>
        <v/>
      </c>
      <c r="BY79" s="492" t="str">
        <f t="shared" si="183"/>
        <v/>
      </c>
      <c r="BZ79" s="492" t="str">
        <f t="shared" si="184"/>
        <v/>
      </c>
      <c r="CA79" s="492" t="str">
        <f t="shared" si="185"/>
        <v/>
      </c>
      <c r="CB79" s="492" t="str">
        <f t="shared" si="186"/>
        <v/>
      </c>
      <c r="CC79" s="492" t="str">
        <f t="shared" si="187"/>
        <v/>
      </c>
      <c r="CD79" s="492" t="str">
        <f t="shared" si="188"/>
        <v/>
      </c>
      <c r="CE79" s="492" t="str">
        <f t="shared" si="189"/>
        <v/>
      </c>
      <c r="CF79" s="492" t="str">
        <f t="shared" si="190"/>
        <v/>
      </c>
      <c r="CG79" s="492" t="str">
        <f t="shared" si="191"/>
        <v/>
      </c>
      <c r="CH79" s="492" t="str">
        <f t="shared" si="192"/>
        <v/>
      </c>
      <c r="CI79" s="492" t="str">
        <f t="shared" si="193"/>
        <v/>
      </c>
      <c r="CJ79" s="492" t="str">
        <f t="shared" si="194"/>
        <v/>
      </c>
      <c r="CK79" s="492" t="str">
        <f t="shared" si="195"/>
        <v/>
      </c>
      <c r="CL79" s="492" t="str">
        <f t="shared" si="196"/>
        <v/>
      </c>
      <c r="CM79" s="492" t="str">
        <f t="shared" si="197"/>
        <v/>
      </c>
      <c r="CN79" s="492" t="str">
        <f t="shared" si="198"/>
        <v/>
      </c>
      <c r="CO79" s="492" t="str">
        <f t="shared" si="199"/>
        <v/>
      </c>
      <c r="CP79" s="492" t="str">
        <f t="shared" si="200"/>
        <v/>
      </c>
      <c r="CQ79" s="492" t="str">
        <f t="shared" si="201"/>
        <v/>
      </c>
      <c r="CR79" s="492" t="str">
        <f t="shared" si="202"/>
        <v/>
      </c>
      <c r="CS79" s="492" t="str">
        <f t="shared" si="203"/>
        <v/>
      </c>
      <c r="CT79" s="492" t="str">
        <f t="shared" si="204"/>
        <v/>
      </c>
      <c r="CU79" s="492" t="str">
        <f t="shared" si="205"/>
        <v/>
      </c>
      <c r="CV79" s="492" t="str">
        <f t="shared" si="206"/>
        <v/>
      </c>
      <c r="CW79" s="495">
        <v>1</v>
      </c>
      <c r="CX79" s="496"/>
      <c r="CY79" s="496"/>
      <c r="CZ79" s="496"/>
      <c r="DA79" s="496"/>
      <c r="DB79" s="496"/>
    </row>
    <row r="80" spans="1:106" ht="13.5" customHeight="1">
      <c r="A80" s="1232">
        <v>70</v>
      </c>
      <c r="B80" s="1233"/>
      <c r="C80" s="1230"/>
      <c r="D80" s="1234"/>
      <c r="E80" s="1231"/>
      <c r="F80" s="1230"/>
      <c r="G80" s="1234"/>
      <c r="H80" s="1231"/>
      <c r="I80" s="1230"/>
      <c r="J80" s="1231"/>
      <c r="K80" s="1290"/>
      <c r="L80" s="1291"/>
      <c r="M80" s="1290"/>
      <c r="N80" s="1291"/>
      <c r="O80" s="1290"/>
      <c r="P80" s="1291"/>
      <c r="Q80" s="1230"/>
      <c r="R80" s="1231"/>
      <c r="S80" s="1230"/>
      <c r="T80" s="1231"/>
      <c r="U80" s="1228"/>
      <c r="V80" s="1229"/>
      <c r="W80" s="1230"/>
      <c r="X80" s="1231"/>
      <c r="Y80" s="1226"/>
      <c r="Z80" s="1227"/>
      <c r="AA80" s="1275"/>
      <c r="AB80" s="1275"/>
      <c r="AC80" s="1212" t="str">
        <f t="shared" si="138"/>
        <v/>
      </c>
      <c r="AD80" s="1213"/>
      <c r="AE80" s="1213"/>
      <c r="AF80" s="1213"/>
      <c r="AG80" s="492" t="str">
        <f t="shared" si="139"/>
        <v/>
      </c>
      <c r="AH80" s="466" t="str">
        <f t="shared" si="140"/>
        <v/>
      </c>
      <c r="AI80" s="466" t="str">
        <f t="shared" si="141"/>
        <v/>
      </c>
      <c r="AJ80" s="466" t="str">
        <f t="shared" si="142"/>
        <v/>
      </c>
      <c r="AK80" s="492" t="str">
        <f t="shared" si="143"/>
        <v>○</v>
      </c>
      <c r="AL80" s="492" t="str">
        <f t="shared" si="144"/>
        <v/>
      </c>
      <c r="AM80" s="492" t="str">
        <f t="shared" si="145"/>
        <v/>
      </c>
      <c r="AN80" s="492" t="str">
        <f t="shared" si="146"/>
        <v/>
      </c>
      <c r="AO80" s="492" t="str">
        <f t="shared" si="147"/>
        <v/>
      </c>
      <c r="AP80" s="492" t="str">
        <f t="shared" si="148"/>
        <v/>
      </c>
      <c r="AQ80" s="492" t="str">
        <f t="shared" si="149"/>
        <v/>
      </c>
      <c r="AR80" s="492" t="str">
        <f t="shared" si="150"/>
        <v/>
      </c>
      <c r="AS80" s="492" t="str">
        <f t="shared" si="151"/>
        <v/>
      </c>
      <c r="AT80" s="492" t="str">
        <f t="shared" si="152"/>
        <v/>
      </c>
      <c r="AU80" s="492" t="str">
        <f t="shared" si="153"/>
        <v/>
      </c>
      <c r="AV80" s="492" t="str">
        <f t="shared" si="154"/>
        <v/>
      </c>
      <c r="AW80" s="492" t="str">
        <f t="shared" si="155"/>
        <v/>
      </c>
      <c r="AX80" s="492" t="str">
        <f t="shared" si="156"/>
        <v/>
      </c>
      <c r="AY80" s="492" t="str">
        <f t="shared" si="157"/>
        <v/>
      </c>
      <c r="AZ80" s="492" t="str">
        <f t="shared" si="158"/>
        <v/>
      </c>
      <c r="BA80" s="492" t="str">
        <f t="shared" si="159"/>
        <v/>
      </c>
      <c r="BB80" s="492" t="str">
        <f t="shared" si="160"/>
        <v/>
      </c>
      <c r="BC80" s="492" t="str">
        <f t="shared" si="161"/>
        <v/>
      </c>
      <c r="BD80" s="492" t="str">
        <f t="shared" si="162"/>
        <v/>
      </c>
      <c r="BE80" s="492" t="str">
        <f t="shared" si="163"/>
        <v/>
      </c>
      <c r="BF80" s="492" t="str">
        <f t="shared" si="164"/>
        <v/>
      </c>
      <c r="BG80" s="492" t="str">
        <f t="shared" si="165"/>
        <v/>
      </c>
      <c r="BH80" s="492" t="str">
        <f t="shared" si="166"/>
        <v/>
      </c>
      <c r="BI80" s="492" t="str">
        <f t="shared" si="167"/>
        <v/>
      </c>
      <c r="BJ80" s="492" t="str">
        <f t="shared" si="168"/>
        <v/>
      </c>
      <c r="BK80" s="492" t="str">
        <f t="shared" si="169"/>
        <v/>
      </c>
      <c r="BL80" s="492" t="str">
        <f t="shared" si="170"/>
        <v/>
      </c>
      <c r="BM80" s="492" t="str">
        <f t="shared" si="171"/>
        <v/>
      </c>
      <c r="BN80" s="492" t="str">
        <f t="shared" si="172"/>
        <v/>
      </c>
      <c r="BO80" s="492" t="str">
        <f t="shared" si="173"/>
        <v/>
      </c>
      <c r="BP80" s="492" t="str">
        <f t="shared" si="174"/>
        <v/>
      </c>
      <c r="BQ80" s="492" t="str">
        <f t="shared" si="175"/>
        <v/>
      </c>
      <c r="BR80" s="492" t="str">
        <f t="shared" si="176"/>
        <v/>
      </c>
      <c r="BS80" s="492" t="str">
        <f t="shared" si="177"/>
        <v/>
      </c>
      <c r="BT80" s="492" t="str">
        <f t="shared" si="178"/>
        <v/>
      </c>
      <c r="BU80" s="492" t="str">
        <f t="shared" si="179"/>
        <v/>
      </c>
      <c r="BV80" s="492" t="str">
        <f t="shared" si="180"/>
        <v/>
      </c>
      <c r="BW80" s="492" t="str">
        <f t="shared" si="181"/>
        <v/>
      </c>
      <c r="BX80" s="492" t="str">
        <f t="shared" si="182"/>
        <v/>
      </c>
      <c r="BY80" s="492" t="str">
        <f t="shared" si="183"/>
        <v/>
      </c>
      <c r="BZ80" s="492" t="str">
        <f t="shared" si="184"/>
        <v/>
      </c>
      <c r="CA80" s="492" t="str">
        <f t="shared" si="185"/>
        <v/>
      </c>
      <c r="CB80" s="492" t="str">
        <f t="shared" si="186"/>
        <v/>
      </c>
      <c r="CC80" s="492" t="str">
        <f t="shared" si="187"/>
        <v/>
      </c>
      <c r="CD80" s="492" t="str">
        <f t="shared" si="188"/>
        <v/>
      </c>
      <c r="CE80" s="492" t="str">
        <f t="shared" si="189"/>
        <v/>
      </c>
      <c r="CF80" s="492" t="str">
        <f t="shared" si="190"/>
        <v/>
      </c>
      <c r="CG80" s="492" t="str">
        <f t="shared" si="191"/>
        <v/>
      </c>
      <c r="CH80" s="492" t="str">
        <f t="shared" si="192"/>
        <v/>
      </c>
      <c r="CI80" s="492" t="str">
        <f t="shared" si="193"/>
        <v/>
      </c>
      <c r="CJ80" s="492" t="str">
        <f t="shared" si="194"/>
        <v/>
      </c>
      <c r="CK80" s="492" t="str">
        <f t="shared" si="195"/>
        <v/>
      </c>
      <c r="CL80" s="492" t="str">
        <f t="shared" si="196"/>
        <v/>
      </c>
      <c r="CM80" s="492" t="str">
        <f t="shared" si="197"/>
        <v/>
      </c>
      <c r="CN80" s="492" t="str">
        <f t="shared" si="198"/>
        <v/>
      </c>
      <c r="CO80" s="492" t="str">
        <f t="shared" si="199"/>
        <v/>
      </c>
      <c r="CP80" s="492" t="str">
        <f t="shared" si="200"/>
        <v/>
      </c>
      <c r="CQ80" s="492" t="str">
        <f t="shared" si="201"/>
        <v/>
      </c>
      <c r="CR80" s="492" t="str">
        <f t="shared" si="202"/>
        <v/>
      </c>
      <c r="CS80" s="492" t="str">
        <f t="shared" si="203"/>
        <v/>
      </c>
      <c r="CT80" s="492" t="str">
        <f t="shared" si="204"/>
        <v/>
      </c>
      <c r="CU80" s="492" t="str">
        <f t="shared" si="205"/>
        <v/>
      </c>
      <c r="CV80" s="492" t="str">
        <f t="shared" si="206"/>
        <v/>
      </c>
      <c r="CW80" s="495">
        <v>1</v>
      </c>
      <c r="CX80" s="496"/>
      <c r="CY80" s="496"/>
      <c r="CZ80" s="496"/>
      <c r="DA80" s="496"/>
      <c r="DB80" s="496"/>
    </row>
    <row r="81" spans="1:106" ht="13.5" customHeight="1">
      <c r="A81" s="1232">
        <v>71</v>
      </c>
      <c r="B81" s="1233"/>
      <c r="C81" s="1230"/>
      <c r="D81" s="1234"/>
      <c r="E81" s="1231"/>
      <c r="F81" s="1230"/>
      <c r="G81" s="1234"/>
      <c r="H81" s="1231"/>
      <c r="I81" s="1230"/>
      <c r="J81" s="1231"/>
      <c r="K81" s="1290"/>
      <c r="L81" s="1291"/>
      <c r="M81" s="1290"/>
      <c r="N81" s="1291"/>
      <c r="O81" s="1290"/>
      <c r="P81" s="1291"/>
      <c r="Q81" s="1230"/>
      <c r="R81" s="1231"/>
      <c r="S81" s="1230"/>
      <c r="T81" s="1231"/>
      <c r="U81" s="1228"/>
      <c r="V81" s="1229"/>
      <c r="W81" s="1230"/>
      <c r="X81" s="1231"/>
      <c r="Y81" s="1226"/>
      <c r="Z81" s="1227"/>
      <c r="AA81" s="1275"/>
      <c r="AB81" s="1275"/>
      <c r="AC81" s="1212" t="str">
        <f t="shared" si="138"/>
        <v/>
      </c>
      <c r="AD81" s="1213"/>
      <c r="AE81" s="1213"/>
      <c r="AF81" s="1213"/>
      <c r="AG81" s="492" t="str">
        <f t="shared" si="139"/>
        <v/>
      </c>
      <c r="AH81" s="466" t="str">
        <f t="shared" si="140"/>
        <v/>
      </c>
      <c r="AI81" s="466" t="str">
        <f t="shared" si="141"/>
        <v/>
      </c>
      <c r="AJ81" s="466" t="str">
        <f t="shared" si="142"/>
        <v/>
      </c>
      <c r="AK81" s="492" t="str">
        <f t="shared" si="143"/>
        <v>○</v>
      </c>
      <c r="AL81" s="492" t="str">
        <f t="shared" si="144"/>
        <v/>
      </c>
      <c r="AM81" s="492" t="str">
        <f t="shared" si="145"/>
        <v/>
      </c>
      <c r="AN81" s="492" t="str">
        <f t="shared" si="146"/>
        <v/>
      </c>
      <c r="AO81" s="492" t="str">
        <f t="shared" si="147"/>
        <v/>
      </c>
      <c r="AP81" s="492" t="str">
        <f t="shared" si="148"/>
        <v/>
      </c>
      <c r="AQ81" s="492" t="str">
        <f t="shared" si="149"/>
        <v/>
      </c>
      <c r="AR81" s="492" t="str">
        <f t="shared" si="150"/>
        <v/>
      </c>
      <c r="AS81" s="492" t="str">
        <f t="shared" si="151"/>
        <v/>
      </c>
      <c r="AT81" s="492" t="str">
        <f t="shared" si="152"/>
        <v/>
      </c>
      <c r="AU81" s="492" t="str">
        <f t="shared" si="153"/>
        <v/>
      </c>
      <c r="AV81" s="492" t="str">
        <f t="shared" si="154"/>
        <v/>
      </c>
      <c r="AW81" s="492" t="str">
        <f t="shared" si="155"/>
        <v/>
      </c>
      <c r="AX81" s="492" t="str">
        <f t="shared" si="156"/>
        <v/>
      </c>
      <c r="AY81" s="492" t="str">
        <f t="shared" si="157"/>
        <v/>
      </c>
      <c r="AZ81" s="492" t="str">
        <f t="shared" si="158"/>
        <v/>
      </c>
      <c r="BA81" s="492" t="str">
        <f t="shared" si="159"/>
        <v/>
      </c>
      <c r="BB81" s="492" t="str">
        <f t="shared" si="160"/>
        <v/>
      </c>
      <c r="BC81" s="492" t="str">
        <f t="shared" si="161"/>
        <v/>
      </c>
      <c r="BD81" s="492" t="str">
        <f t="shared" si="162"/>
        <v/>
      </c>
      <c r="BE81" s="492" t="str">
        <f t="shared" si="163"/>
        <v/>
      </c>
      <c r="BF81" s="492" t="str">
        <f t="shared" si="164"/>
        <v/>
      </c>
      <c r="BG81" s="492" t="str">
        <f t="shared" si="165"/>
        <v/>
      </c>
      <c r="BH81" s="492" t="str">
        <f t="shared" si="166"/>
        <v/>
      </c>
      <c r="BI81" s="492" t="str">
        <f t="shared" si="167"/>
        <v/>
      </c>
      <c r="BJ81" s="492" t="str">
        <f t="shared" si="168"/>
        <v/>
      </c>
      <c r="BK81" s="492" t="str">
        <f t="shared" si="169"/>
        <v/>
      </c>
      <c r="BL81" s="492" t="str">
        <f t="shared" si="170"/>
        <v/>
      </c>
      <c r="BM81" s="492" t="str">
        <f t="shared" si="171"/>
        <v/>
      </c>
      <c r="BN81" s="492" t="str">
        <f t="shared" si="172"/>
        <v/>
      </c>
      <c r="BO81" s="492" t="str">
        <f t="shared" si="173"/>
        <v/>
      </c>
      <c r="BP81" s="492" t="str">
        <f t="shared" si="174"/>
        <v/>
      </c>
      <c r="BQ81" s="492" t="str">
        <f t="shared" si="175"/>
        <v/>
      </c>
      <c r="BR81" s="492" t="str">
        <f t="shared" si="176"/>
        <v/>
      </c>
      <c r="BS81" s="492" t="str">
        <f t="shared" si="177"/>
        <v/>
      </c>
      <c r="BT81" s="492" t="str">
        <f t="shared" si="178"/>
        <v/>
      </c>
      <c r="BU81" s="492" t="str">
        <f t="shared" si="179"/>
        <v/>
      </c>
      <c r="BV81" s="492" t="str">
        <f t="shared" si="180"/>
        <v/>
      </c>
      <c r="BW81" s="492" t="str">
        <f t="shared" si="181"/>
        <v/>
      </c>
      <c r="BX81" s="492" t="str">
        <f t="shared" si="182"/>
        <v/>
      </c>
      <c r="BY81" s="492" t="str">
        <f t="shared" si="183"/>
        <v/>
      </c>
      <c r="BZ81" s="492" t="str">
        <f t="shared" si="184"/>
        <v/>
      </c>
      <c r="CA81" s="492" t="str">
        <f t="shared" si="185"/>
        <v/>
      </c>
      <c r="CB81" s="492" t="str">
        <f t="shared" si="186"/>
        <v/>
      </c>
      <c r="CC81" s="492" t="str">
        <f t="shared" si="187"/>
        <v/>
      </c>
      <c r="CD81" s="492" t="str">
        <f t="shared" si="188"/>
        <v/>
      </c>
      <c r="CE81" s="492" t="str">
        <f t="shared" si="189"/>
        <v/>
      </c>
      <c r="CF81" s="492" t="str">
        <f t="shared" si="190"/>
        <v/>
      </c>
      <c r="CG81" s="492" t="str">
        <f t="shared" si="191"/>
        <v/>
      </c>
      <c r="CH81" s="492" t="str">
        <f t="shared" si="192"/>
        <v/>
      </c>
      <c r="CI81" s="492" t="str">
        <f t="shared" si="193"/>
        <v/>
      </c>
      <c r="CJ81" s="492" t="str">
        <f t="shared" si="194"/>
        <v/>
      </c>
      <c r="CK81" s="492" t="str">
        <f t="shared" si="195"/>
        <v/>
      </c>
      <c r="CL81" s="492" t="str">
        <f t="shared" si="196"/>
        <v/>
      </c>
      <c r="CM81" s="492" t="str">
        <f t="shared" si="197"/>
        <v/>
      </c>
      <c r="CN81" s="492" t="str">
        <f t="shared" si="198"/>
        <v/>
      </c>
      <c r="CO81" s="492" t="str">
        <f t="shared" si="199"/>
        <v/>
      </c>
      <c r="CP81" s="492" t="str">
        <f t="shared" si="200"/>
        <v/>
      </c>
      <c r="CQ81" s="492" t="str">
        <f t="shared" si="201"/>
        <v/>
      </c>
      <c r="CR81" s="492" t="str">
        <f t="shared" si="202"/>
        <v/>
      </c>
      <c r="CS81" s="492" t="str">
        <f t="shared" si="203"/>
        <v/>
      </c>
      <c r="CT81" s="492" t="str">
        <f t="shared" si="204"/>
        <v/>
      </c>
      <c r="CU81" s="492" t="str">
        <f t="shared" si="205"/>
        <v/>
      </c>
      <c r="CV81" s="492" t="str">
        <f t="shared" si="206"/>
        <v/>
      </c>
      <c r="CW81" s="495">
        <v>1</v>
      </c>
      <c r="CX81" s="496"/>
      <c r="CY81" s="496"/>
      <c r="CZ81" s="496"/>
      <c r="DA81" s="496"/>
      <c r="DB81" s="496"/>
    </row>
    <row r="82" spans="1:106" ht="13.5" customHeight="1">
      <c r="A82" s="1232">
        <v>72</v>
      </c>
      <c r="B82" s="1233"/>
      <c r="C82" s="1230"/>
      <c r="D82" s="1234"/>
      <c r="E82" s="1231"/>
      <c r="F82" s="1230"/>
      <c r="G82" s="1234"/>
      <c r="H82" s="1231"/>
      <c r="I82" s="1230"/>
      <c r="J82" s="1231"/>
      <c r="K82" s="1290"/>
      <c r="L82" s="1291"/>
      <c r="M82" s="1290"/>
      <c r="N82" s="1291"/>
      <c r="O82" s="1290"/>
      <c r="P82" s="1291"/>
      <c r="Q82" s="1230"/>
      <c r="R82" s="1231"/>
      <c r="S82" s="1230"/>
      <c r="T82" s="1231"/>
      <c r="U82" s="1228"/>
      <c r="V82" s="1229"/>
      <c r="W82" s="1230"/>
      <c r="X82" s="1231"/>
      <c r="Y82" s="1226"/>
      <c r="Z82" s="1227"/>
      <c r="AA82" s="1275"/>
      <c r="AB82" s="1275"/>
      <c r="AC82" s="1212" t="str">
        <f t="shared" si="138"/>
        <v/>
      </c>
      <c r="AD82" s="1213"/>
      <c r="AE82" s="1213"/>
      <c r="AF82" s="1213"/>
      <c r="AG82" s="492" t="str">
        <f t="shared" si="139"/>
        <v/>
      </c>
      <c r="AH82" s="466" t="str">
        <f t="shared" si="140"/>
        <v/>
      </c>
      <c r="AI82" s="466" t="str">
        <f t="shared" si="141"/>
        <v/>
      </c>
      <c r="AJ82" s="466" t="str">
        <f t="shared" si="142"/>
        <v/>
      </c>
      <c r="AK82" s="492" t="str">
        <f t="shared" si="143"/>
        <v>○</v>
      </c>
      <c r="AL82" s="492" t="str">
        <f t="shared" si="144"/>
        <v/>
      </c>
      <c r="AM82" s="492" t="str">
        <f t="shared" si="145"/>
        <v/>
      </c>
      <c r="AN82" s="492" t="str">
        <f t="shared" si="146"/>
        <v/>
      </c>
      <c r="AO82" s="492" t="str">
        <f t="shared" si="147"/>
        <v/>
      </c>
      <c r="AP82" s="492" t="str">
        <f t="shared" si="148"/>
        <v/>
      </c>
      <c r="AQ82" s="492" t="str">
        <f t="shared" si="149"/>
        <v/>
      </c>
      <c r="AR82" s="492" t="str">
        <f t="shared" si="150"/>
        <v/>
      </c>
      <c r="AS82" s="492" t="str">
        <f t="shared" si="151"/>
        <v/>
      </c>
      <c r="AT82" s="492" t="str">
        <f t="shared" si="152"/>
        <v/>
      </c>
      <c r="AU82" s="492" t="str">
        <f t="shared" si="153"/>
        <v/>
      </c>
      <c r="AV82" s="492" t="str">
        <f t="shared" si="154"/>
        <v/>
      </c>
      <c r="AW82" s="492" t="str">
        <f t="shared" si="155"/>
        <v/>
      </c>
      <c r="AX82" s="492" t="str">
        <f t="shared" si="156"/>
        <v/>
      </c>
      <c r="AY82" s="492" t="str">
        <f t="shared" si="157"/>
        <v/>
      </c>
      <c r="AZ82" s="492" t="str">
        <f t="shared" si="158"/>
        <v/>
      </c>
      <c r="BA82" s="492" t="str">
        <f t="shared" si="159"/>
        <v/>
      </c>
      <c r="BB82" s="492" t="str">
        <f t="shared" si="160"/>
        <v/>
      </c>
      <c r="BC82" s="492" t="str">
        <f t="shared" si="161"/>
        <v/>
      </c>
      <c r="BD82" s="492" t="str">
        <f t="shared" si="162"/>
        <v/>
      </c>
      <c r="BE82" s="492" t="str">
        <f t="shared" si="163"/>
        <v/>
      </c>
      <c r="BF82" s="492" t="str">
        <f t="shared" si="164"/>
        <v/>
      </c>
      <c r="BG82" s="492" t="str">
        <f t="shared" si="165"/>
        <v/>
      </c>
      <c r="BH82" s="492" t="str">
        <f t="shared" si="166"/>
        <v/>
      </c>
      <c r="BI82" s="492" t="str">
        <f t="shared" si="167"/>
        <v/>
      </c>
      <c r="BJ82" s="492" t="str">
        <f t="shared" si="168"/>
        <v/>
      </c>
      <c r="BK82" s="492" t="str">
        <f t="shared" si="169"/>
        <v/>
      </c>
      <c r="BL82" s="492" t="str">
        <f t="shared" si="170"/>
        <v/>
      </c>
      <c r="BM82" s="492" t="str">
        <f t="shared" si="171"/>
        <v/>
      </c>
      <c r="BN82" s="492" t="str">
        <f t="shared" si="172"/>
        <v/>
      </c>
      <c r="BO82" s="492" t="str">
        <f t="shared" si="173"/>
        <v/>
      </c>
      <c r="BP82" s="492" t="str">
        <f t="shared" si="174"/>
        <v/>
      </c>
      <c r="BQ82" s="492" t="str">
        <f t="shared" si="175"/>
        <v/>
      </c>
      <c r="BR82" s="492" t="str">
        <f t="shared" si="176"/>
        <v/>
      </c>
      <c r="BS82" s="492" t="str">
        <f t="shared" si="177"/>
        <v/>
      </c>
      <c r="BT82" s="492" t="str">
        <f t="shared" si="178"/>
        <v/>
      </c>
      <c r="BU82" s="492" t="str">
        <f t="shared" si="179"/>
        <v/>
      </c>
      <c r="BV82" s="492" t="str">
        <f t="shared" si="180"/>
        <v/>
      </c>
      <c r="BW82" s="492" t="str">
        <f t="shared" si="181"/>
        <v/>
      </c>
      <c r="BX82" s="492" t="str">
        <f t="shared" si="182"/>
        <v/>
      </c>
      <c r="BY82" s="492" t="str">
        <f t="shared" si="183"/>
        <v/>
      </c>
      <c r="BZ82" s="492" t="str">
        <f t="shared" si="184"/>
        <v/>
      </c>
      <c r="CA82" s="492" t="str">
        <f t="shared" si="185"/>
        <v/>
      </c>
      <c r="CB82" s="492" t="str">
        <f t="shared" si="186"/>
        <v/>
      </c>
      <c r="CC82" s="492" t="str">
        <f t="shared" si="187"/>
        <v/>
      </c>
      <c r="CD82" s="492" t="str">
        <f t="shared" si="188"/>
        <v/>
      </c>
      <c r="CE82" s="492" t="str">
        <f t="shared" si="189"/>
        <v/>
      </c>
      <c r="CF82" s="492" t="str">
        <f t="shared" si="190"/>
        <v/>
      </c>
      <c r="CG82" s="492" t="str">
        <f t="shared" si="191"/>
        <v/>
      </c>
      <c r="CH82" s="492" t="str">
        <f t="shared" si="192"/>
        <v/>
      </c>
      <c r="CI82" s="492" t="str">
        <f t="shared" si="193"/>
        <v/>
      </c>
      <c r="CJ82" s="492" t="str">
        <f t="shared" si="194"/>
        <v/>
      </c>
      <c r="CK82" s="492" t="str">
        <f t="shared" si="195"/>
        <v/>
      </c>
      <c r="CL82" s="492" t="str">
        <f t="shared" si="196"/>
        <v/>
      </c>
      <c r="CM82" s="492" t="str">
        <f t="shared" si="197"/>
        <v/>
      </c>
      <c r="CN82" s="492" t="str">
        <f t="shared" si="198"/>
        <v/>
      </c>
      <c r="CO82" s="492" t="str">
        <f t="shared" si="199"/>
        <v/>
      </c>
      <c r="CP82" s="492" t="str">
        <f t="shared" si="200"/>
        <v/>
      </c>
      <c r="CQ82" s="492" t="str">
        <f t="shared" si="201"/>
        <v/>
      </c>
      <c r="CR82" s="492" t="str">
        <f t="shared" si="202"/>
        <v/>
      </c>
      <c r="CS82" s="492" t="str">
        <f t="shared" si="203"/>
        <v/>
      </c>
      <c r="CT82" s="492" t="str">
        <f t="shared" si="204"/>
        <v/>
      </c>
      <c r="CU82" s="492" t="str">
        <f t="shared" si="205"/>
        <v/>
      </c>
      <c r="CV82" s="492" t="str">
        <f t="shared" si="206"/>
        <v/>
      </c>
      <c r="CW82" s="495">
        <v>1</v>
      </c>
      <c r="CX82" s="496"/>
      <c r="CY82" s="496"/>
      <c r="CZ82" s="496"/>
      <c r="DA82" s="496"/>
      <c r="DB82" s="496"/>
    </row>
    <row r="83" spans="1:106" ht="13.5" customHeight="1">
      <c r="A83" s="1232">
        <v>73</v>
      </c>
      <c r="B83" s="1233"/>
      <c r="C83" s="1230"/>
      <c r="D83" s="1234"/>
      <c r="E83" s="1231"/>
      <c r="F83" s="1230"/>
      <c r="G83" s="1234"/>
      <c r="H83" s="1231"/>
      <c r="I83" s="1230"/>
      <c r="J83" s="1231"/>
      <c r="K83" s="1290"/>
      <c r="L83" s="1291"/>
      <c r="M83" s="1290"/>
      <c r="N83" s="1291"/>
      <c r="O83" s="1290"/>
      <c r="P83" s="1291"/>
      <c r="Q83" s="1230"/>
      <c r="R83" s="1231"/>
      <c r="S83" s="1230"/>
      <c r="T83" s="1231"/>
      <c r="U83" s="1228"/>
      <c r="V83" s="1229"/>
      <c r="W83" s="1230"/>
      <c r="X83" s="1231"/>
      <c r="Y83" s="1226"/>
      <c r="Z83" s="1227"/>
      <c r="AA83" s="1275"/>
      <c r="AB83" s="1275"/>
      <c r="AC83" s="1212" t="str">
        <f t="shared" si="138"/>
        <v/>
      </c>
      <c r="AD83" s="1213"/>
      <c r="AE83" s="1213"/>
      <c r="AF83" s="1213"/>
      <c r="AG83" s="492" t="str">
        <f t="shared" si="139"/>
        <v/>
      </c>
      <c r="AH83" s="466" t="str">
        <f t="shared" si="140"/>
        <v/>
      </c>
      <c r="AI83" s="466" t="str">
        <f t="shared" si="141"/>
        <v/>
      </c>
      <c r="AJ83" s="466" t="str">
        <f t="shared" si="142"/>
        <v/>
      </c>
      <c r="AK83" s="492" t="str">
        <f t="shared" si="143"/>
        <v>○</v>
      </c>
      <c r="AL83" s="492" t="str">
        <f t="shared" si="144"/>
        <v/>
      </c>
      <c r="AM83" s="492" t="str">
        <f t="shared" si="145"/>
        <v/>
      </c>
      <c r="AN83" s="492" t="str">
        <f t="shared" si="146"/>
        <v/>
      </c>
      <c r="AO83" s="492" t="str">
        <f t="shared" si="147"/>
        <v/>
      </c>
      <c r="AP83" s="492" t="str">
        <f t="shared" si="148"/>
        <v/>
      </c>
      <c r="AQ83" s="492" t="str">
        <f t="shared" si="149"/>
        <v/>
      </c>
      <c r="AR83" s="492" t="str">
        <f t="shared" si="150"/>
        <v/>
      </c>
      <c r="AS83" s="492" t="str">
        <f t="shared" si="151"/>
        <v/>
      </c>
      <c r="AT83" s="492" t="str">
        <f t="shared" si="152"/>
        <v/>
      </c>
      <c r="AU83" s="492" t="str">
        <f t="shared" si="153"/>
        <v/>
      </c>
      <c r="AV83" s="492" t="str">
        <f t="shared" si="154"/>
        <v/>
      </c>
      <c r="AW83" s="492" t="str">
        <f t="shared" si="155"/>
        <v/>
      </c>
      <c r="AX83" s="492" t="str">
        <f t="shared" si="156"/>
        <v/>
      </c>
      <c r="AY83" s="492" t="str">
        <f t="shared" si="157"/>
        <v/>
      </c>
      <c r="AZ83" s="492" t="str">
        <f t="shared" si="158"/>
        <v/>
      </c>
      <c r="BA83" s="492" t="str">
        <f t="shared" si="159"/>
        <v/>
      </c>
      <c r="BB83" s="492" t="str">
        <f t="shared" si="160"/>
        <v/>
      </c>
      <c r="BC83" s="492" t="str">
        <f t="shared" si="161"/>
        <v/>
      </c>
      <c r="BD83" s="492" t="str">
        <f t="shared" si="162"/>
        <v/>
      </c>
      <c r="BE83" s="492" t="str">
        <f t="shared" si="163"/>
        <v/>
      </c>
      <c r="BF83" s="492" t="str">
        <f t="shared" si="164"/>
        <v/>
      </c>
      <c r="BG83" s="492" t="str">
        <f t="shared" si="165"/>
        <v/>
      </c>
      <c r="BH83" s="492" t="str">
        <f t="shared" si="166"/>
        <v/>
      </c>
      <c r="BI83" s="492" t="str">
        <f t="shared" si="167"/>
        <v/>
      </c>
      <c r="BJ83" s="492" t="str">
        <f t="shared" si="168"/>
        <v/>
      </c>
      <c r="BK83" s="492" t="str">
        <f t="shared" si="169"/>
        <v/>
      </c>
      <c r="BL83" s="492" t="str">
        <f t="shared" si="170"/>
        <v/>
      </c>
      <c r="BM83" s="492" t="str">
        <f t="shared" si="171"/>
        <v/>
      </c>
      <c r="BN83" s="492" t="str">
        <f t="shared" si="172"/>
        <v/>
      </c>
      <c r="BO83" s="492" t="str">
        <f t="shared" si="173"/>
        <v/>
      </c>
      <c r="BP83" s="492" t="str">
        <f t="shared" si="174"/>
        <v/>
      </c>
      <c r="BQ83" s="492" t="str">
        <f t="shared" si="175"/>
        <v/>
      </c>
      <c r="BR83" s="492" t="str">
        <f t="shared" si="176"/>
        <v/>
      </c>
      <c r="BS83" s="492" t="str">
        <f t="shared" si="177"/>
        <v/>
      </c>
      <c r="BT83" s="492" t="str">
        <f t="shared" si="178"/>
        <v/>
      </c>
      <c r="BU83" s="492" t="str">
        <f t="shared" si="179"/>
        <v/>
      </c>
      <c r="BV83" s="492" t="str">
        <f t="shared" si="180"/>
        <v/>
      </c>
      <c r="BW83" s="492" t="str">
        <f t="shared" si="181"/>
        <v/>
      </c>
      <c r="BX83" s="492" t="str">
        <f t="shared" si="182"/>
        <v/>
      </c>
      <c r="BY83" s="492" t="str">
        <f t="shared" si="183"/>
        <v/>
      </c>
      <c r="BZ83" s="492" t="str">
        <f t="shared" si="184"/>
        <v/>
      </c>
      <c r="CA83" s="492" t="str">
        <f t="shared" si="185"/>
        <v/>
      </c>
      <c r="CB83" s="492" t="str">
        <f t="shared" si="186"/>
        <v/>
      </c>
      <c r="CC83" s="492" t="str">
        <f t="shared" si="187"/>
        <v/>
      </c>
      <c r="CD83" s="492" t="str">
        <f t="shared" si="188"/>
        <v/>
      </c>
      <c r="CE83" s="492" t="str">
        <f t="shared" si="189"/>
        <v/>
      </c>
      <c r="CF83" s="492" t="str">
        <f t="shared" si="190"/>
        <v/>
      </c>
      <c r="CG83" s="492" t="str">
        <f t="shared" si="191"/>
        <v/>
      </c>
      <c r="CH83" s="492" t="str">
        <f t="shared" si="192"/>
        <v/>
      </c>
      <c r="CI83" s="492" t="str">
        <f t="shared" si="193"/>
        <v/>
      </c>
      <c r="CJ83" s="492" t="str">
        <f t="shared" si="194"/>
        <v/>
      </c>
      <c r="CK83" s="492" t="str">
        <f t="shared" si="195"/>
        <v/>
      </c>
      <c r="CL83" s="492" t="str">
        <f t="shared" si="196"/>
        <v/>
      </c>
      <c r="CM83" s="492" t="str">
        <f t="shared" si="197"/>
        <v/>
      </c>
      <c r="CN83" s="492" t="str">
        <f t="shared" si="198"/>
        <v/>
      </c>
      <c r="CO83" s="492" t="str">
        <f t="shared" si="199"/>
        <v/>
      </c>
      <c r="CP83" s="492" t="str">
        <f t="shared" si="200"/>
        <v/>
      </c>
      <c r="CQ83" s="492" t="str">
        <f t="shared" si="201"/>
        <v/>
      </c>
      <c r="CR83" s="492" t="str">
        <f t="shared" si="202"/>
        <v/>
      </c>
      <c r="CS83" s="492" t="str">
        <f t="shared" si="203"/>
        <v/>
      </c>
      <c r="CT83" s="492" t="str">
        <f t="shared" si="204"/>
        <v/>
      </c>
      <c r="CU83" s="492" t="str">
        <f t="shared" si="205"/>
        <v/>
      </c>
      <c r="CV83" s="492" t="str">
        <f t="shared" si="206"/>
        <v/>
      </c>
      <c r="CW83" s="495">
        <v>1</v>
      </c>
      <c r="CX83" s="496"/>
      <c r="CY83" s="496"/>
      <c r="CZ83" s="496"/>
      <c r="DA83" s="496"/>
      <c r="DB83" s="496"/>
    </row>
    <row r="84" spans="1:106" ht="13.5" customHeight="1">
      <c r="A84" s="1232">
        <v>74</v>
      </c>
      <c r="B84" s="1233"/>
      <c r="C84" s="1230"/>
      <c r="D84" s="1234"/>
      <c r="E84" s="1231"/>
      <c r="F84" s="1230"/>
      <c r="G84" s="1234"/>
      <c r="H84" s="1231"/>
      <c r="I84" s="1230"/>
      <c r="J84" s="1231"/>
      <c r="K84" s="1290"/>
      <c r="L84" s="1291"/>
      <c r="M84" s="1290"/>
      <c r="N84" s="1291"/>
      <c r="O84" s="1290"/>
      <c r="P84" s="1291"/>
      <c r="Q84" s="1230"/>
      <c r="R84" s="1231"/>
      <c r="S84" s="1230"/>
      <c r="T84" s="1231"/>
      <c r="U84" s="1228"/>
      <c r="V84" s="1229"/>
      <c r="W84" s="1230"/>
      <c r="X84" s="1231"/>
      <c r="Y84" s="1226"/>
      <c r="Z84" s="1227"/>
      <c r="AA84" s="1275"/>
      <c r="AB84" s="1275"/>
      <c r="AC84" s="1212" t="str">
        <f t="shared" si="138"/>
        <v/>
      </c>
      <c r="AD84" s="1213"/>
      <c r="AE84" s="1213"/>
      <c r="AF84" s="1213"/>
      <c r="AG84" s="492" t="str">
        <f t="shared" si="139"/>
        <v/>
      </c>
      <c r="AH84" s="466" t="str">
        <f t="shared" si="140"/>
        <v/>
      </c>
      <c r="AI84" s="466" t="str">
        <f t="shared" si="141"/>
        <v/>
      </c>
      <c r="AJ84" s="466" t="str">
        <f t="shared" si="142"/>
        <v/>
      </c>
      <c r="AK84" s="492" t="str">
        <f t="shared" si="143"/>
        <v>○</v>
      </c>
      <c r="AL84" s="492" t="str">
        <f t="shared" si="144"/>
        <v/>
      </c>
      <c r="AM84" s="492" t="str">
        <f t="shared" si="145"/>
        <v/>
      </c>
      <c r="AN84" s="492" t="str">
        <f t="shared" si="146"/>
        <v/>
      </c>
      <c r="AO84" s="492" t="str">
        <f t="shared" si="147"/>
        <v/>
      </c>
      <c r="AP84" s="492" t="str">
        <f t="shared" si="148"/>
        <v/>
      </c>
      <c r="AQ84" s="492" t="str">
        <f t="shared" si="149"/>
        <v/>
      </c>
      <c r="AR84" s="492" t="str">
        <f t="shared" si="150"/>
        <v/>
      </c>
      <c r="AS84" s="492" t="str">
        <f t="shared" si="151"/>
        <v/>
      </c>
      <c r="AT84" s="492" t="str">
        <f t="shared" si="152"/>
        <v/>
      </c>
      <c r="AU84" s="492" t="str">
        <f t="shared" si="153"/>
        <v/>
      </c>
      <c r="AV84" s="492" t="str">
        <f t="shared" si="154"/>
        <v/>
      </c>
      <c r="AW84" s="492" t="str">
        <f t="shared" si="155"/>
        <v/>
      </c>
      <c r="AX84" s="492" t="str">
        <f t="shared" si="156"/>
        <v/>
      </c>
      <c r="AY84" s="492" t="str">
        <f t="shared" si="157"/>
        <v/>
      </c>
      <c r="AZ84" s="492" t="str">
        <f t="shared" si="158"/>
        <v/>
      </c>
      <c r="BA84" s="492" t="str">
        <f t="shared" si="159"/>
        <v/>
      </c>
      <c r="BB84" s="492" t="str">
        <f t="shared" si="160"/>
        <v/>
      </c>
      <c r="BC84" s="492" t="str">
        <f t="shared" si="161"/>
        <v/>
      </c>
      <c r="BD84" s="492" t="str">
        <f t="shared" si="162"/>
        <v/>
      </c>
      <c r="BE84" s="492" t="str">
        <f t="shared" si="163"/>
        <v/>
      </c>
      <c r="BF84" s="492" t="str">
        <f t="shared" si="164"/>
        <v/>
      </c>
      <c r="BG84" s="492" t="str">
        <f t="shared" si="165"/>
        <v/>
      </c>
      <c r="BH84" s="492" t="str">
        <f t="shared" si="166"/>
        <v/>
      </c>
      <c r="BI84" s="492" t="str">
        <f t="shared" si="167"/>
        <v/>
      </c>
      <c r="BJ84" s="492" t="str">
        <f t="shared" si="168"/>
        <v/>
      </c>
      <c r="BK84" s="492" t="str">
        <f t="shared" si="169"/>
        <v/>
      </c>
      <c r="BL84" s="492" t="str">
        <f t="shared" si="170"/>
        <v/>
      </c>
      <c r="BM84" s="492" t="str">
        <f t="shared" si="171"/>
        <v/>
      </c>
      <c r="BN84" s="492" t="str">
        <f t="shared" si="172"/>
        <v/>
      </c>
      <c r="BO84" s="492" t="str">
        <f t="shared" si="173"/>
        <v/>
      </c>
      <c r="BP84" s="492" t="str">
        <f t="shared" si="174"/>
        <v/>
      </c>
      <c r="BQ84" s="492" t="str">
        <f t="shared" si="175"/>
        <v/>
      </c>
      <c r="BR84" s="492" t="str">
        <f t="shared" si="176"/>
        <v/>
      </c>
      <c r="BS84" s="492" t="str">
        <f t="shared" si="177"/>
        <v/>
      </c>
      <c r="BT84" s="492" t="str">
        <f t="shared" si="178"/>
        <v/>
      </c>
      <c r="BU84" s="492" t="str">
        <f t="shared" si="179"/>
        <v/>
      </c>
      <c r="BV84" s="492" t="str">
        <f t="shared" si="180"/>
        <v/>
      </c>
      <c r="BW84" s="492" t="str">
        <f t="shared" si="181"/>
        <v/>
      </c>
      <c r="BX84" s="492" t="str">
        <f t="shared" si="182"/>
        <v/>
      </c>
      <c r="BY84" s="492" t="str">
        <f t="shared" si="183"/>
        <v/>
      </c>
      <c r="BZ84" s="492" t="str">
        <f t="shared" si="184"/>
        <v/>
      </c>
      <c r="CA84" s="492" t="str">
        <f t="shared" si="185"/>
        <v/>
      </c>
      <c r="CB84" s="492" t="str">
        <f t="shared" si="186"/>
        <v/>
      </c>
      <c r="CC84" s="492" t="str">
        <f t="shared" si="187"/>
        <v/>
      </c>
      <c r="CD84" s="492" t="str">
        <f t="shared" si="188"/>
        <v/>
      </c>
      <c r="CE84" s="492" t="str">
        <f t="shared" si="189"/>
        <v/>
      </c>
      <c r="CF84" s="492" t="str">
        <f t="shared" si="190"/>
        <v/>
      </c>
      <c r="CG84" s="492" t="str">
        <f t="shared" si="191"/>
        <v/>
      </c>
      <c r="CH84" s="492" t="str">
        <f t="shared" si="192"/>
        <v/>
      </c>
      <c r="CI84" s="492" t="str">
        <f t="shared" si="193"/>
        <v/>
      </c>
      <c r="CJ84" s="492" t="str">
        <f t="shared" si="194"/>
        <v/>
      </c>
      <c r="CK84" s="492" t="str">
        <f t="shared" si="195"/>
        <v/>
      </c>
      <c r="CL84" s="492" t="str">
        <f t="shared" si="196"/>
        <v/>
      </c>
      <c r="CM84" s="492" t="str">
        <f t="shared" si="197"/>
        <v/>
      </c>
      <c r="CN84" s="492" t="str">
        <f t="shared" si="198"/>
        <v/>
      </c>
      <c r="CO84" s="492" t="str">
        <f t="shared" si="199"/>
        <v/>
      </c>
      <c r="CP84" s="492" t="str">
        <f t="shared" si="200"/>
        <v/>
      </c>
      <c r="CQ84" s="492" t="str">
        <f t="shared" si="201"/>
        <v/>
      </c>
      <c r="CR84" s="492" t="str">
        <f t="shared" si="202"/>
        <v/>
      </c>
      <c r="CS84" s="492" t="str">
        <f t="shared" si="203"/>
        <v/>
      </c>
      <c r="CT84" s="492" t="str">
        <f t="shared" si="204"/>
        <v/>
      </c>
      <c r="CU84" s="492" t="str">
        <f t="shared" si="205"/>
        <v/>
      </c>
      <c r="CV84" s="492" t="str">
        <f t="shared" si="206"/>
        <v/>
      </c>
      <c r="CW84" s="495">
        <v>1</v>
      </c>
      <c r="CX84" s="496"/>
      <c r="CY84" s="496"/>
      <c r="CZ84" s="496"/>
      <c r="DA84" s="496"/>
      <c r="DB84" s="496"/>
    </row>
    <row r="85" spans="1:106" ht="13.5" customHeight="1">
      <c r="A85" s="1232">
        <v>75</v>
      </c>
      <c r="B85" s="1233"/>
      <c r="C85" s="1230"/>
      <c r="D85" s="1234"/>
      <c r="E85" s="1231"/>
      <c r="F85" s="1230"/>
      <c r="G85" s="1234"/>
      <c r="H85" s="1231"/>
      <c r="I85" s="1230"/>
      <c r="J85" s="1231"/>
      <c r="K85" s="1290"/>
      <c r="L85" s="1291"/>
      <c r="M85" s="1290"/>
      <c r="N85" s="1291"/>
      <c r="O85" s="1290"/>
      <c r="P85" s="1291"/>
      <c r="Q85" s="1230"/>
      <c r="R85" s="1231"/>
      <c r="S85" s="1230"/>
      <c r="T85" s="1231"/>
      <c r="U85" s="1228"/>
      <c r="V85" s="1229"/>
      <c r="W85" s="1230"/>
      <c r="X85" s="1231"/>
      <c r="Y85" s="1226"/>
      <c r="Z85" s="1227"/>
      <c r="AA85" s="1275"/>
      <c r="AB85" s="1275"/>
      <c r="AC85" s="1212" t="str">
        <f t="shared" si="138"/>
        <v/>
      </c>
      <c r="AD85" s="1213"/>
      <c r="AE85" s="1213"/>
      <c r="AF85" s="1213"/>
      <c r="AG85" s="492" t="str">
        <f t="shared" si="139"/>
        <v/>
      </c>
      <c r="AH85" s="466" t="str">
        <f t="shared" si="140"/>
        <v/>
      </c>
      <c r="AI85" s="466" t="str">
        <f t="shared" si="141"/>
        <v/>
      </c>
      <c r="AJ85" s="466" t="str">
        <f t="shared" si="142"/>
        <v/>
      </c>
      <c r="AK85" s="492" t="str">
        <f t="shared" si="143"/>
        <v>○</v>
      </c>
      <c r="AL85" s="492" t="str">
        <f t="shared" si="144"/>
        <v/>
      </c>
      <c r="AM85" s="492" t="str">
        <f t="shared" si="145"/>
        <v/>
      </c>
      <c r="AN85" s="492" t="str">
        <f t="shared" si="146"/>
        <v/>
      </c>
      <c r="AO85" s="492" t="str">
        <f t="shared" si="147"/>
        <v/>
      </c>
      <c r="AP85" s="492" t="str">
        <f t="shared" si="148"/>
        <v/>
      </c>
      <c r="AQ85" s="492" t="str">
        <f t="shared" si="149"/>
        <v/>
      </c>
      <c r="AR85" s="492" t="str">
        <f t="shared" si="150"/>
        <v/>
      </c>
      <c r="AS85" s="492" t="str">
        <f t="shared" si="151"/>
        <v/>
      </c>
      <c r="AT85" s="492" t="str">
        <f t="shared" si="152"/>
        <v/>
      </c>
      <c r="AU85" s="492" t="str">
        <f t="shared" si="153"/>
        <v/>
      </c>
      <c r="AV85" s="492" t="str">
        <f t="shared" si="154"/>
        <v/>
      </c>
      <c r="AW85" s="492" t="str">
        <f t="shared" si="155"/>
        <v/>
      </c>
      <c r="AX85" s="492" t="str">
        <f t="shared" si="156"/>
        <v/>
      </c>
      <c r="AY85" s="492" t="str">
        <f t="shared" si="157"/>
        <v/>
      </c>
      <c r="AZ85" s="492" t="str">
        <f t="shared" si="158"/>
        <v/>
      </c>
      <c r="BA85" s="492" t="str">
        <f t="shared" si="159"/>
        <v/>
      </c>
      <c r="BB85" s="492" t="str">
        <f t="shared" si="160"/>
        <v/>
      </c>
      <c r="BC85" s="492" t="str">
        <f t="shared" si="161"/>
        <v/>
      </c>
      <c r="BD85" s="492" t="str">
        <f t="shared" si="162"/>
        <v/>
      </c>
      <c r="BE85" s="492" t="str">
        <f t="shared" si="163"/>
        <v/>
      </c>
      <c r="BF85" s="492" t="str">
        <f t="shared" si="164"/>
        <v/>
      </c>
      <c r="BG85" s="492" t="str">
        <f t="shared" si="165"/>
        <v/>
      </c>
      <c r="BH85" s="492" t="str">
        <f t="shared" si="166"/>
        <v/>
      </c>
      <c r="BI85" s="492" t="str">
        <f t="shared" si="167"/>
        <v/>
      </c>
      <c r="BJ85" s="492" t="str">
        <f t="shared" si="168"/>
        <v/>
      </c>
      <c r="BK85" s="492" t="str">
        <f t="shared" si="169"/>
        <v/>
      </c>
      <c r="BL85" s="492" t="str">
        <f t="shared" si="170"/>
        <v/>
      </c>
      <c r="BM85" s="492" t="str">
        <f t="shared" si="171"/>
        <v/>
      </c>
      <c r="BN85" s="492" t="str">
        <f t="shared" si="172"/>
        <v/>
      </c>
      <c r="BO85" s="492" t="str">
        <f t="shared" si="173"/>
        <v/>
      </c>
      <c r="BP85" s="492" t="str">
        <f t="shared" si="174"/>
        <v/>
      </c>
      <c r="BQ85" s="492" t="str">
        <f t="shared" si="175"/>
        <v/>
      </c>
      <c r="BR85" s="492" t="str">
        <f t="shared" si="176"/>
        <v/>
      </c>
      <c r="BS85" s="492" t="str">
        <f t="shared" si="177"/>
        <v/>
      </c>
      <c r="BT85" s="492" t="str">
        <f t="shared" si="178"/>
        <v/>
      </c>
      <c r="BU85" s="492" t="str">
        <f t="shared" si="179"/>
        <v/>
      </c>
      <c r="BV85" s="492" t="str">
        <f t="shared" si="180"/>
        <v/>
      </c>
      <c r="BW85" s="492" t="str">
        <f t="shared" si="181"/>
        <v/>
      </c>
      <c r="BX85" s="492" t="str">
        <f t="shared" si="182"/>
        <v/>
      </c>
      <c r="BY85" s="492" t="str">
        <f t="shared" si="183"/>
        <v/>
      </c>
      <c r="BZ85" s="492" t="str">
        <f t="shared" si="184"/>
        <v/>
      </c>
      <c r="CA85" s="492" t="str">
        <f t="shared" si="185"/>
        <v/>
      </c>
      <c r="CB85" s="492" t="str">
        <f t="shared" si="186"/>
        <v/>
      </c>
      <c r="CC85" s="492" t="str">
        <f t="shared" si="187"/>
        <v/>
      </c>
      <c r="CD85" s="492" t="str">
        <f t="shared" si="188"/>
        <v/>
      </c>
      <c r="CE85" s="492" t="str">
        <f t="shared" si="189"/>
        <v/>
      </c>
      <c r="CF85" s="492" t="str">
        <f t="shared" si="190"/>
        <v/>
      </c>
      <c r="CG85" s="492" t="str">
        <f t="shared" si="191"/>
        <v/>
      </c>
      <c r="CH85" s="492" t="str">
        <f t="shared" si="192"/>
        <v/>
      </c>
      <c r="CI85" s="492" t="str">
        <f t="shared" si="193"/>
        <v/>
      </c>
      <c r="CJ85" s="492" t="str">
        <f t="shared" si="194"/>
        <v/>
      </c>
      <c r="CK85" s="492" t="str">
        <f t="shared" si="195"/>
        <v/>
      </c>
      <c r="CL85" s="492" t="str">
        <f t="shared" si="196"/>
        <v/>
      </c>
      <c r="CM85" s="492" t="str">
        <f t="shared" si="197"/>
        <v/>
      </c>
      <c r="CN85" s="492" t="str">
        <f t="shared" si="198"/>
        <v/>
      </c>
      <c r="CO85" s="492" t="str">
        <f t="shared" si="199"/>
        <v/>
      </c>
      <c r="CP85" s="492" t="str">
        <f t="shared" si="200"/>
        <v/>
      </c>
      <c r="CQ85" s="492" t="str">
        <f t="shared" si="201"/>
        <v/>
      </c>
      <c r="CR85" s="492" t="str">
        <f t="shared" si="202"/>
        <v/>
      </c>
      <c r="CS85" s="492" t="str">
        <f t="shared" si="203"/>
        <v/>
      </c>
      <c r="CT85" s="492" t="str">
        <f t="shared" si="204"/>
        <v/>
      </c>
      <c r="CU85" s="492" t="str">
        <f t="shared" si="205"/>
        <v/>
      </c>
      <c r="CV85" s="492" t="str">
        <f t="shared" si="206"/>
        <v/>
      </c>
      <c r="CW85" s="495">
        <v>1</v>
      </c>
      <c r="CX85" s="496"/>
      <c r="CY85" s="496"/>
      <c r="CZ85" s="496"/>
      <c r="DA85" s="496"/>
      <c r="DB85" s="496"/>
    </row>
    <row r="86" spans="1:106" ht="13.5" customHeight="1">
      <c r="A86" s="1232">
        <v>76</v>
      </c>
      <c r="B86" s="1233"/>
      <c r="C86" s="1230"/>
      <c r="D86" s="1234"/>
      <c r="E86" s="1231"/>
      <c r="F86" s="1230"/>
      <c r="G86" s="1234"/>
      <c r="H86" s="1231"/>
      <c r="I86" s="1230"/>
      <c r="J86" s="1231"/>
      <c r="K86" s="1290"/>
      <c r="L86" s="1291"/>
      <c r="M86" s="1290"/>
      <c r="N86" s="1291"/>
      <c r="O86" s="1290"/>
      <c r="P86" s="1291"/>
      <c r="Q86" s="1230"/>
      <c r="R86" s="1231"/>
      <c r="S86" s="1230"/>
      <c r="T86" s="1231"/>
      <c r="U86" s="1228"/>
      <c r="V86" s="1229"/>
      <c r="W86" s="1230"/>
      <c r="X86" s="1231"/>
      <c r="Y86" s="1226"/>
      <c r="Z86" s="1227"/>
      <c r="AA86" s="1275"/>
      <c r="AB86" s="1275"/>
      <c r="AC86" s="1212" t="str">
        <f t="shared" si="138"/>
        <v/>
      </c>
      <c r="AD86" s="1213"/>
      <c r="AE86" s="1213"/>
      <c r="AF86" s="1213"/>
      <c r="AG86" s="492" t="str">
        <f t="shared" si="139"/>
        <v/>
      </c>
      <c r="AH86" s="466" t="str">
        <f t="shared" si="140"/>
        <v/>
      </c>
      <c r="AI86" s="466" t="str">
        <f t="shared" si="141"/>
        <v/>
      </c>
      <c r="AJ86" s="466" t="str">
        <f t="shared" si="142"/>
        <v/>
      </c>
      <c r="AK86" s="492" t="str">
        <f t="shared" si="143"/>
        <v>○</v>
      </c>
      <c r="AL86" s="492" t="str">
        <f t="shared" si="144"/>
        <v/>
      </c>
      <c r="AM86" s="492" t="str">
        <f t="shared" si="145"/>
        <v/>
      </c>
      <c r="AN86" s="492" t="str">
        <f t="shared" si="146"/>
        <v/>
      </c>
      <c r="AO86" s="492" t="str">
        <f t="shared" si="147"/>
        <v/>
      </c>
      <c r="AP86" s="492" t="str">
        <f t="shared" si="148"/>
        <v/>
      </c>
      <c r="AQ86" s="492" t="str">
        <f t="shared" si="149"/>
        <v/>
      </c>
      <c r="AR86" s="492" t="str">
        <f t="shared" si="150"/>
        <v/>
      </c>
      <c r="AS86" s="492" t="str">
        <f t="shared" si="151"/>
        <v/>
      </c>
      <c r="AT86" s="492" t="str">
        <f t="shared" si="152"/>
        <v/>
      </c>
      <c r="AU86" s="492" t="str">
        <f t="shared" si="153"/>
        <v/>
      </c>
      <c r="AV86" s="492" t="str">
        <f t="shared" si="154"/>
        <v/>
      </c>
      <c r="AW86" s="492" t="str">
        <f t="shared" si="155"/>
        <v/>
      </c>
      <c r="AX86" s="492" t="str">
        <f t="shared" si="156"/>
        <v/>
      </c>
      <c r="AY86" s="492" t="str">
        <f t="shared" si="157"/>
        <v/>
      </c>
      <c r="AZ86" s="492" t="str">
        <f t="shared" si="158"/>
        <v/>
      </c>
      <c r="BA86" s="492" t="str">
        <f t="shared" si="159"/>
        <v/>
      </c>
      <c r="BB86" s="492" t="str">
        <f t="shared" si="160"/>
        <v/>
      </c>
      <c r="BC86" s="492" t="str">
        <f t="shared" si="161"/>
        <v/>
      </c>
      <c r="BD86" s="492" t="str">
        <f t="shared" si="162"/>
        <v/>
      </c>
      <c r="BE86" s="492" t="str">
        <f t="shared" si="163"/>
        <v/>
      </c>
      <c r="BF86" s="492" t="str">
        <f t="shared" si="164"/>
        <v/>
      </c>
      <c r="BG86" s="492" t="str">
        <f t="shared" si="165"/>
        <v/>
      </c>
      <c r="BH86" s="492" t="str">
        <f t="shared" si="166"/>
        <v/>
      </c>
      <c r="BI86" s="492" t="str">
        <f t="shared" si="167"/>
        <v/>
      </c>
      <c r="BJ86" s="492" t="str">
        <f t="shared" si="168"/>
        <v/>
      </c>
      <c r="BK86" s="492" t="str">
        <f t="shared" si="169"/>
        <v/>
      </c>
      <c r="BL86" s="492" t="str">
        <f t="shared" si="170"/>
        <v/>
      </c>
      <c r="BM86" s="492" t="str">
        <f t="shared" si="171"/>
        <v/>
      </c>
      <c r="BN86" s="492" t="str">
        <f t="shared" si="172"/>
        <v/>
      </c>
      <c r="BO86" s="492" t="str">
        <f t="shared" si="173"/>
        <v/>
      </c>
      <c r="BP86" s="492" t="str">
        <f t="shared" si="174"/>
        <v/>
      </c>
      <c r="BQ86" s="492" t="str">
        <f t="shared" si="175"/>
        <v/>
      </c>
      <c r="BR86" s="492" t="str">
        <f t="shared" si="176"/>
        <v/>
      </c>
      <c r="BS86" s="492" t="str">
        <f t="shared" si="177"/>
        <v/>
      </c>
      <c r="BT86" s="492" t="str">
        <f t="shared" si="178"/>
        <v/>
      </c>
      <c r="BU86" s="492" t="str">
        <f t="shared" si="179"/>
        <v/>
      </c>
      <c r="BV86" s="492" t="str">
        <f t="shared" si="180"/>
        <v/>
      </c>
      <c r="BW86" s="492" t="str">
        <f t="shared" si="181"/>
        <v/>
      </c>
      <c r="BX86" s="492" t="str">
        <f t="shared" si="182"/>
        <v/>
      </c>
      <c r="BY86" s="492" t="str">
        <f t="shared" si="183"/>
        <v/>
      </c>
      <c r="BZ86" s="492" t="str">
        <f t="shared" si="184"/>
        <v/>
      </c>
      <c r="CA86" s="492" t="str">
        <f t="shared" si="185"/>
        <v/>
      </c>
      <c r="CB86" s="492" t="str">
        <f t="shared" si="186"/>
        <v/>
      </c>
      <c r="CC86" s="492" t="str">
        <f t="shared" si="187"/>
        <v/>
      </c>
      <c r="CD86" s="492" t="str">
        <f t="shared" si="188"/>
        <v/>
      </c>
      <c r="CE86" s="492" t="str">
        <f t="shared" si="189"/>
        <v/>
      </c>
      <c r="CF86" s="492" t="str">
        <f t="shared" si="190"/>
        <v/>
      </c>
      <c r="CG86" s="492" t="str">
        <f t="shared" si="191"/>
        <v/>
      </c>
      <c r="CH86" s="492" t="str">
        <f t="shared" si="192"/>
        <v/>
      </c>
      <c r="CI86" s="492" t="str">
        <f t="shared" si="193"/>
        <v/>
      </c>
      <c r="CJ86" s="492" t="str">
        <f t="shared" si="194"/>
        <v/>
      </c>
      <c r="CK86" s="492" t="str">
        <f t="shared" si="195"/>
        <v/>
      </c>
      <c r="CL86" s="492" t="str">
        <f t="shared" si="196"/>
        <v/>
      </c>
      <c r="CM86" s="492" t="str">
        <f t="shared" si="197"/>
        <v/>
      </c>
      <c r="CN86" s="492" t="str">
        <f t="shared" si="198"/>
        <v/>
      </c>
      <c r="CO86" s="492" t="str">
        <f t="shared" si="199"/>
        <v/>
      </c>
      <c r="CP86" s="492" t="str">
        <f t="shared" si="200"/>
        <v/>
      </c>
      <c r="CQ86" s="492" t="str">
        <f t="shared" si="201"/>
        <v/>
      </c>
      <c r="CR86" s="492" t="str">
        <f t="shared" si="202"/>
        <v/>
      </c>
      <c r="CS86" s="492" t="str">
        <f t="shared" si="203"/>
        <v/>
      </c>
      <c r="CT86" s="492" t="str">
        <f t="shared" si="204"/>
        <v/>
      </c>
      <c r="CU86" s="492" t="str">
        <f t="shared" si="205"/>
        <v/>
      </c>
      <c r="CV86" s="492" t="str">
        <f t="shared" si="206"/>
        <v/>
      </c>
      <c r="CW86" s="495">
        <v>1</v>
      </c>
      <c r="CX86" s="496"/>
      <c r="CY86" s="496"/>
      <c r="CZ86" s="496"/>
      <c r="DA86" s="496"/>
      <c r="DB86" s="496"/>
    </row>
    <row r="87" spans="1:106" ht="13.5" customHeight="1">
      <c r="A87" s="1232">
        <v>77</v>
      </c>
      <c r="B87" s="1233"/>
      <c r="C87" s="1230"/>
      <c r="D87" s="1234"/>
      <c r="E87" s="1231"/>
      <c r="F87" s="1230"/>
      <c r="G87" s="1234"/>
      <c r="H87" s="1231"/>
      <c r="I87" s="1230"/>
      <c r="J87" s="1231"/>
      <c r="K87" s="1290"/>
      <c r="L87" s="1291"/>
      <c r="M87" s="1290"/>
      <c r="N87" s="1291"/>
      <c r="O87" s="1290"/>
      <c r="P87" s="1291"/>
      <c r="Q87" s="1230"/>
      <c r="R87" s="1231"/>
      <c r="S87" s="1230"/>
      <c r="T87" s="1231"/>
      <c r="U87" s="1228"/>
      <c r="V87" s="1229"/>
      <c r="W87" s="1230"/>
      <c r="X87" s="1231"/>
      <c r="Y87" s="1226"/>
      <c r="Z87" s="1227"/>
      <c r="AA87" s="1275"/>
      <c r="AB87" s="1275"/>
      <c r="AC87" s="1212" t="str">
        <f t="shared" si="138"/>
        <v/>
      </c>
      <c r="AD87" s="1213"/>
      <c r="AE87" s="1213"/>
      <c r="AF87" s="1213"/>
      <c r="AG87" s="492" t="str">
        <f t="shared" si="139"/>
        <v/>
      </c>
      <c r="AH87" s="466" t="str">
        <f t="shared" si="140"/>
        <v/>
      </c>
      <c r="AI87" s="466" t="str">
        <f t="shared" si="141"/>
        <v/>
      </c>
      <c r="AJ87" s="466" t="str">
        <f t="shared" si="142"/>
        <v/>
      </c>
      <c r="AK87" s="492" t="str">
        <f t="shared" si="143"/>
        <v>○</v>
      </c>
      <c r="AL87" s="492" t="str">
        <f t="shared" si="144"/>
        <v/>
      </c>
      <c r="AM87" s="492" t="str">
        <f t="shared" si="145"/>
        <v/>
      </c>
      <c r="AN87" s="492" t="str">
        <f t="shared" si="146"/>
        <v/>
      </c>
      <c r="AO87" s="492" t="str">
        <f t="shared" si="147"/>
        <v/>
      </c>
      <c r="AP87" s="492" t="str">
        <f t="shared" si="148"/>
        <v/>
      </c>
      <c r="AQ87" s="492" t="str">
        <f t="shared" si="149"/>
        <v/>
      </c>
      <c r="AR87" s="492" t="str">
        <f t="shared" si="150"/>
        <v/>
      </c>
      <c r="AS87" s="492" t="str">
        <f t="shared" si="151"/>
        <v/>
      </c>
      <c r="AT87" s="492" t="str">
        <f t="shared" si="152"/>
        <v/>
      </c>
      <c r="AU87" s="492" t="str">
        <f t="shared" si="153"/>
        <v/>
      </c>
      <c r="AV87" s="492" t="str">
        <f t="shared" si="154"/>
        <v/>
      </c>
      <c r="AW87" s="492" t="str">
        <f t="shared" si="155"/>
        <v/>
      </c>
      <c r="AX87" s="492" t="str">
        <f t="shared" si="156"/>
        <v/>
      </c>
      <c r="AY87" s="492" t="str">
        <f t="shared" si="157"/>
        <v/>
      </c>
      <c r="AZ87" s="492" t="str">
        <f t="shared" si="158"/>
        <v/>
      </c>
      <c r="BA87" s="492" t="str">
        <f t="shared" si="159"/>
        <v/>
      </c>
      <c r="BB87" s="492" t="str">
        <f t="shared" si="160"/>
        <v/>
      </c>
      <c r="BC87" s="492" t="str">
        <f t="shared" si="161"/>
        <v/>
      </c>
      <c r="BD87" s="492" t="str">
        <f t="shared" si="162"/>
        <v/>
      </c>
      <c r="BE87" s="492" t="str">
        <f t="shared" si="163"/>
        <v/>
      </c>
      <c r="BF87" s="492" t="str">
        <f t="shared" si="164"/>
        <v/>
      </c>
      <c r="BG87" s="492" t="str">
        <f t="shared" si="165"/>
        <v/>
      </c>
      <c r="BH87" s="492" t="str">
        <f t="shared" si="166"/>
        <v/>
      </c>
      <c r="BI87" s="492" t="str">
        <f t="shared" si="167"/>
        <v/>
      </c>
      <c r="BJ87" s="492" t="str">
        <f t="shared" si="168"/>
        <v/>
      </c>
      <c r="BK87" s="492" t="str">
        <f t="shared" si="169"/>
        <v/>
      </c>
      <c r="BL87" s="492" t="str">
        <f t="shared" si="170"/>
        <v/>
      </c>
      <c r="BM87" s="492" t="str">
        <f t="shared" si="171"/>
        <v/>
      </c>
      <c r="BN87" s="492" t="str">
        <f t="shared" si="172"/>
        <v/>
      </c>
      <c r="BO87" s="492" t="str">
        <f t="shared" si="173"/>
        <v/>
      </c>
      <c r="BP87" s="492" t="str">
        <f t="shared" si="174"/>
        <v/>
      </c>
      <c r="BQ87" s="492" t="str">
        <f t="shared" si="175"/>
        <v/>
      </c>
      <c r="BR87" s="492" t="str">
        <f t="shared" si="176"/>
        <v/>
      </c>
      <c r="BS87" s="492" t="str">
        <f t="shared" si="177"/>
        <v/>
      </c>
      <c r="BT87" s="492" t="str">
        <f t="shared" si="178"/>
        <v/>
      </c>
      <c r="BU87" s="492" t="str">
        <f t="shared" si="179"/>
        <v/>
      </c>
      <c r="BV87" s="492" t="str">
        <f t="shared" si="180"/>
        <v/>
      </c>
      <c r="BW87" s="492" t="str">
        <f t="shared" si="181"/>
        <v/>
      </c>
      <c r="BX87" s="492" t="str">
        <f t="shared" si="182"/>
        <v/>
      </c>
      <c r="BY87" s="492" t="str">
        <f t="shared" si="183"/>
        <v/>
      </c>
      <c r="BZ87" s="492" t="str">
        <f t="shared" si="184"/>
        <v/>
      </c>
      <c r="CA87" s="492" t="str">
        <f t="shared" si="185"/>
        <v/>
      </c>
      <c r="CB87" s="492" t="str">
        <f t="shared" si="186"/>
        <v/>
      </c>
      <c r="CC87" s="492" t="str">
        <f t="shared" si="187"/>
        <v/>
      </c>
      <c r="CD87" s="492" t="str">
        <f t="shared" si="188"/>
        <v/>
      </c>
      <c r="CE87" s="492" t="str">
        <f t="shared" si="189"/>
        <v/>
      </c>
      <c r="CF87" s="492" t="str">
        <f t="shared" si="190"/>
        <v/>
      </c>
      <c r="CG87" s="492" t="str">
        <f t="shared" si="191"/>
        <v/>
      </c>
      <c r="CH87" s="492" t="str">
        <f t="shared" si="192"/>
        <v/>
      </c>
      <c r="CI87" s="492" t="str">
        <f t="shared" si="193"/>
        <v/>
      </c>
      <c r="CJ87" s="492" t="str">
        <f t="shared" si="194"/>
        <v/>
      </c>
      <c r="CK87" s="492" t="str">
        <f t="shared" si="195"/>
        <v/>
      </c>
      <c r="CL87" s="492" t="str">
        <f t="shared" si="196"/>
        <v/>
      </c>
      <c r="CM87" s="492" t="str">
        <f t="shared" si="197"/>
        <v/>
      </c>
      <c r="CN87" s="492" t="str">
        <f t="shared" si="198"/>
        <v/>
      </c>
      <c r="CO87" s="492" t="str">
        <f t="shared" si="199"/>
        <v/>
      </c>
      <c r="CP87" s="492" t="str">
        <f t="shared" si="200"/>
        <v/>
      </c>
      <c r="CQ87" s="492" t="str">
        <f t="shared" si="201"/>
        <v/>
      </c>
      <c r="CR87" s="492" t="str">
        <f t="shared" si="202"/>
        <v/>
      </c>
      <c r="CS87" s="492" t="str">
        <f t="shared" si="203"/>
        <v/>
      </c>
      <c r="CT87" s="492" t="str">
        <f t="shared" si="204"/>
        <v/>
      </c>
      <c r="CU87" s="492" t="str">
        <f t="shared" si="205"/>
        <v/>
      </c>
      <c r="CV87" s="492" t="str">
        <f t="shared" si="206"/>
        <v/>
      </c>
      <c r="CW87" s="495">
        <v>1</v>
      </c>
      <c r="CX87" s="496"/>
      <c r="CY87" s="496"/>
      <c r="CZ87" s="496"/>
      <c r="DA87" s="496"/>
      <c r="DB87" s="496"/>
    </row>
    <row r="88" spans="1:106" ht="13.5" customHeight="1">
      <c r="A88" s="1232">
        <v>78</v>
      </c>
      <c r="B88" s="1233"/>
      <c r="C88" s="1230"/>
      <c r="D88" s="1234"/>
      <c r="E88" s="1231"/>
      <c r="F88" s="1230"/>
      <c r="G88" s="1234"/>
      <c r="H88" s="1231"/>
      <c r="I88" s="1230"/>
      <c r="J88" s="1231"/>
      <c r="K88" s="1290"/>
      <c r="L88" s="1291"/>
      <c r="M88" s="1290"/>
      <c r="N88" s="1291"/>
      <c r="O88" s="1290"/>
      <c r="P88" s="1291"/>
      <c r="Q88" s="1230"/>
      <c r="R88" s="1231"/>
      <c r="S88" s="1230"/>
      <c r="T88" s="1231"/>
      <c r="U88" s="1228"/>
      <c r="V88" s="1229"/>
      <c r="W88" s="1230"/>
      <c r="X88" s="1231"/>
      <c r="Y88" s="1226"/>
      <c r="Z88" s="1227"/>
      <c r="AA88" s="1275"/>
      <c r="AB88" s="1275"/>
      <c r="AC88" s="1212" t="str">
        <f t="shared" si="138"/>
        <v/>
      </c>
      <c r="AD88" s="1213"/>
      <c r="AE88" s="1213"/>
      <c r="AF88" s="1213"/>
      <c r="AG88" s="492" t="str">
        <f t="shared" si="139"/>
        <v/>
      </c>
      <c r="AH88" s="466" t="str">
        <f t="shared" si="140"/>
        <v/>
      </c>
      <c r="AI88" s="466" t="str">
        <f t="shared" si="141"/>
        <v/>
      </c>
      <c r="AJ88" s="466" t="str">
        <f t="shared" si="142"/>
        <v/>
      </c>
      <c r="AK88" s="492" t="str">
        <f t="shared" si="143"/>
        <v>○</v>
      </c>
      <c r="AL88" s="492" t="str">
        <f t="shared" si="144"/>
        <v/>
      </c>
      <c r="AM88" s="492" t="str">
        <f t="shared" si="145"/>
        <v/>
      </c>
      <c r="AN88" s="492" t="str">
        <f t="shared" si="146"/>
        <v/>
      </c>
      <c r="AO88" s="492" t="str">
        <f t="shared" si="147"/>
        <v/>
      </c>
      <c r="AP88" s="492" t="str">
        <f t="shared" si="148"/>
        <v/>
      </c>
      <c r="AQ88" s="492" t="str">
        <f t="shared" si="149"/>
        <v/>
      </c>
      <c r="AR88" s="492" t="str">
        <f t="shared" si="150"/>
        <v/>
      </c>
      <c r="AS88" s="492" t="str">
        <f t="shared" si="151"/>
        <v/>
      </c>
      <c r="AT88" s="492" t="str">
        <f t="shared" si="152"/>
        <v/>
      </c>
      <c r="AU88" s="492" t="str">
        <f t="shared" si="153"/>
        <v/>
      </c>
      <c r="AV88" s="492" t="str">
        <f t="shared" si="154"/>
        <v/>
      </c>
      <c r="AW88" s="492" t="str">
        <f t="shared" si="155"/>
        <v/>
      </c>
      <c r="AX88" s="492" t="str">
        <f t="shared" si="156"/>
        <v/>
      </c>
      <c r="AY88" s="492" t="str">
        <f t="shared" si="157"/>
        <v/>
      </c>
      <c r="AZ88" s="492" t="str">
        <f t="shared" si="158"/>
        <v/>
      </c>
      <c r="BA88" s="492" t="str">
        <f t="shared" si="159"/>
        <v/>
      </c>
      <c r="BB88" s="492" t="str">
        <f t="shared" si="160"/>
        <v/>
      </c>
      <c r="BC88" s="492" t="str">
        <f t="shared" si="161"/>
        <v/>
      </c>
      <c r="BD88" s="492" t="str">
        <f t="shared" si="162"/>
        <v/>
      </c>
      <c r="BE88" s="492" t="str">
        <f t="shared" si="163"/>
        <v/>
      </c>
      <c r="BF88" s="492" t="str">
        <f t="shared" si="164"/>
        <v/>
      </c>
      <c r="BG88" s="492" t="str">
        <f t="shared" si="165"/>
        <v/>
      </c>
      <c r="BH88" s="492" t="str">
        <f t="shared" si="166"/>
        <v/>
      </c>
      <c r="BI88" s="492" t="str">
        <f t="shared" si="167"/>
        <v/>
      </c>
      <c r="BJ88" s="492" t="str">
        <f t="shared" si="168"/>
        <v/>
      </c>
      <c r="BK88" s="492" t="str">
        <f t="shared" si="169"/>
        <v/>
      </c>
      <c r="BL88" s="492" t="str">
        <f t="shared" si="170"/>
        <v/>
      </c>
      <c r="BM88" s="492" t="str">
        <f t="shared" si="171"/>
        <v/>
      </c>
      <c r="BN88" s="492" t="str">
        <f t="shared" si="172"/>
        <v/>
      </c>
      <c r="BO88" s="492" t="str">
        <f t="shared" si="173"/>
        <v/>
      </c>
      <c r="BP88" s="492" t="str">
        <f t="shared" si="174"/>
        <v/>
      </c>
      <c r="BQ88" s="492" t="str">
        <f t="shared" si="175"/>
        <v/>
      </c>
      <c r="BR88" s="492" t="str">
        <f t="shared" si="176"/>
        <v/>
      </c>
      <c r="BS88" s="492" t="str">
        <f t="shared" si="177"/>
        <v/>
      </c>
      <c r="BT88" s="492" t="str">
        <f t="shared" si="178"/>
        <v/>
      </c>
      <c r="BU88" s="492" t="str">
        <f t="shared" si="179"/>
        <v/>
      </c>
      <c r="BV88" s="492" t="str">
        <f t="shared" si="180"/>
        <v/>
      </c>
      <c r="BW88" s="492" t="str">
        <f t="shared" si="181"/>
        <v/>
      </c>
      <c r="BX88" s="492" t="str">
        <f t="shared" si="182"/>
        <v/>
      </c>
      <c r="BY88" s="492" t="str">
        <f t="shared" si="183"/>
        <v/>
      </c>
      <c r="BZ88" s="492" t="str">
        <f t="shared" si="184"/>
        <v/>
      </c>
      <c r="CA88" s="492" t="str">
        <f t="shared" si="185"/>
        <v/>
      </c>
      <c r="CB88" s="492" t="str">
        <f t="shared" si="186"/>
        <v/>
      </c>
      <c r="CC88" s="492" t="str">
        <f t="shared" si="187"/>
        <v/>
      </c>
      <c r="CD88" s="492" t="str">
        <f t="shared" si="188"/>
        <v/>
      </c>
      <c r="CE88" s="492" t="str">
        <f t="shared" si="189"/>
        <v/>
      </c>
      <c r="CF88" s="492" t="str">
        <f t="shared" si="190"/>
        <v/>
      </c>
      <c r="CG88" s="492" t="str">
        <f t="shared" si="191"/>
        <v/>
      </c>
      <c r="CH88" s="492" t="str">
        <f t="shared" si="192"/>
        <v/>
      </c>
      <c r="CI88" s="492" t="str">
        <f t="shared" si="193"/>
        <v/>
      </c>
      <c r="CJ88" s="492" t="str">
        <f t="shared" si="194"/>
        <v/>
      </c>
      <c r="CK88" s="492" t="str">
        <f t="shared" si="195"/>
        <v/>
      </c>
      <c r="CL88" s="492" t="str">
        <f t="shared" si="196"/>
        <v/>
      </c>
      <c r="CM88" s="492" t="str">
        <f t="shared" si="197"/>
        <v/>
      </c>
      <c r="CN88" s="492" t="str">
        <f t="shared" si="198"/>
        <v/>
      </c>
      <c r="CO88" s="492" t="str">
        <f t="shared" si="199"/>
        <v/>
      </c>
      <c r="CP88" s="492" t="str">
        <f t="shared" si="200"/>
        <v/>
      </c>
      <c r="CQ88" s="492" t="str">
        <f t="shared" si="201"/>
        <v/>
      </c>
      <c r="CR88" s="492" t="str">
        <f t="shared" si="202"/>
        <v/>
      </c>
      <c r="CS88" s="492" t="str">
        <f t="shared" si="203"/>
        <v/>
      </c>
      <c r="CT88" s="492" t="str">
        <f t="shared" si="204"/>
        <v/>
      </c>
      <c r="CU88" s="492" t="str">
        <f t="shared" si="205"/>
        <v/>
      </c>
      <c r="CV88" s="492" t="str">
        <f t="shared" si="206"/>
        <v/>
      </c>
      <c r="CW88" s="495">
        <v>1</v>
      </c>
      <c r="CX88" s="496"/>
      <c r="CY88" s="496"/>
      <c r="CZ88" s="496"/>
      <c r="DA88" s="496"/>
      <c r="DB88" s="496"/>
    </row>
    <row r="89" spans="1:106" ht="13.5" customHeight="1">
      <c r="A89" s="1232">
        <v>79</v>
      </c>
      <c r="B89" s="1233"/>
      <c r="C89" s="1230"/>
      <c r="D89" s="1234"/>
      <c r="E89" s="1231"/>
      <c r="F89" s="1230"/>
      <c r="G89" s="1234"/>
      <c r="H89" s="1231"/>
      <c r="I89" s="1230"/>
      <c r="J89" s="1231"/>
      <c r="K89" s="1290"/>
      <c r="L89" s="1291"/>
      <c r="M89" s="1290"/>
      <c r="N89" s="1291"/>
      <c r="O89" s="1290"/>
      <c r="P89" s="1291"/>
      <c r="Q89" s="1230"/>
      <c r="R89" s="1231"/>
      <c r="S89" s="1230"/>
      <c r="T89" s="1231"/>
      <c r="U89" s="1228"/>
      <c r="V89" s="1229"/>
      <c r="W89" s="1230"/>
      <c r="X89" s="1231"/>
      <c r="Y89" s="1226"/>
      <c r="Z89" s="1227"/>
      <c r="AA89" s="1275"/>
      <c r="AB89" s="1275"/>
      <c r="AC89" s="1212" t="str">
        <f t="shared" si="138"/>
        <v/>
      </c>
      <c r="AD89" s="1213"/>
      <c r="AE89" s="1213"/>
      <c r="AF89" s="1213"/>
      <c r="AG89" s="492" t="str">
        <f t="shared" si="139"/>
        <v/>
      </c>
      <c r="AH89" s="466" t="str">
        <f t="shared" si="140"/>
        <v/>
      </c>
      <c r="AI89" s="466" t="str">
        <f t="shared" si="141"/>
        <v/>
      </c>
      <c r="AJ89" s="466" t="str">
        <f t="shared" si="142"/>
        <v/>
      </c>
      <c r="AK89" s="492" t="str">
        <f t="shared" si="143"/>
        <v>○</v>
      </c>
      <c r="AL89" s="492" t="str">
        <f t="shared" si="144"/>
        <v/>
      </c>
      <c r="AM89" s="492" t="str">
        <f t="shared" si="145"/>
        <v/>
      </c>
      <c r="AN89" s="492" t="str">
        <f t="shared" si="146"/>
        <v/>
      </c>
      <c r="AO89" s="492" t="str">
        <f t="shared" si="147"/>
        <v/>
      </c>
      <c r="AP89" s="492" t="str">
        <f t="shared" si="148"/>
        <v/>
      </c>
      <c r="AQ89" s="492" t="str">
        <f t="shared" si="149"/>
        <v/>
      </c>
      <c r="AR89" s="492" t="str">
        <f t="shared" si="150"/>
        <v/>
      </c>
      <c r="AS89" s="492" t="str">
        <f t="shared" si="151"/>
        <v/>
      </c>
      <c r="AT89" s="492" t="str">
        <f t="shared" si="152"/>
        <v/>
      </c>
      <c r="AU89" s="492" t="str">
        <f t="shared" si="153"/>
        <v/>
      </c>
      <c r="AV89" s="492" t="str">
        <f t="shared" si="154"/>
        <v/>
      </c>
      <c r="AW89" s="492" t="str">
        <f t="shared" si="155"/>
        <v/>
      </c>
      <c r="AX89" s="492" t="str">
        <f t="shared" si="156"/>
        <v/>
      </c>
      <c r="AY89" s="492" t="str">
        <f t="shared" si="157"/>
        <v/>
      </c>
      <c r="AZ89" s="492" t="str">
        <f t="shared" si="158"/>
        <v/>
      </c>
      <c r="BA89" s="492" t="str">
        <f t="shared" si="159"/>
        <v/>
      </c>
      <c r="BB89" s="492" t="str">
        <f t="shared" si="160"/>
        <v/>
      </c>
      <c r="BC89" s="492" t="str">
        <f t="shared" si="161"/>
        <v/>
      </c>
      <c r="BD89" s="492" t="str">
        <f t="shared" si="162"/>
        <v/>
      </c>
      <c r="BE89" s="492" t="str">
        <f t="shared" si="163"/>
        <v/>
      </c>
      <c r="BF89" s="492" t="str">
        <f t="shared" si="164"/>
        <v/>
      </c>
      <c r="BG89" s="492" t="str">
        <f t="shared" si="165"/>
        <v/>
      </c>
      <c r="BH89" s="492" t="str">
        <f t="shared" si="166"/>
        <v/>
      </c>
      <c r="BI89" s="492" t="str">
        <f t="shared" si="167"/>
        <v/>
      </c>
      <c r="BJ89" s="492" t="str">
        <f t="shared" si="168"/>
        <v/>
      </c>
      <c r="BK89" s="492" t="str">
        <f t="shared" si="169"/>
        <v/>
      </c>
      <c r="BL89" s="492" t="str">
        <f t="shared" si="170"/>
        <v/>
      </c>
      <c r="BM89" s="492" t="str">
        <f t="shared" si="171"/>
        <v/>
      </c>
      <c r="BN89" s="492" t="str">
        <f t="shared" si="172"/>
        <v/>
      </c>
      <c r="BO89" s="492" t="str">
        <f t="shared" si="173"/>
        <v/>
      </c>
      <c r="BP89" s="492" t="str">
        <f t="shared" si="174"/>
        <v/>
      </c>
      <c r="BQ89" s="492" t="str">
        <f t="shared" si="175"/>
        <v/>
      </c>
      <c r="BR89" s="492" t="str">
        <f t="shared" si="176"/>
        <v/>
      </c>
      <c r="BS89" s="492" t="str">
        <f t="shared" si="177"/>
        <v/>
      </c>
      <c r="BT89" s="492" t="str">
        <f t="shared" si="178"/>
        <v/>
      </c>
      <c r="BU89" s="492" t="str">
        <f t="shared" si="179"/>
        <v/>
      </c>
      <c r="BV89" s="492" t="str">
        <f t="shared" si="180"/>
        <v/>
      </c>
      <c r="BW89" s="492" t="str">
        <f t="shared" si="181"/>
        <v/>
      </c>
      <c r="BX89" s="492" t="str">
        <f t="shared" si="182"/>
        <v/>
      </c>
      <c r="BY89" s="492" t="str">
        <f t="shared" si="183"/>
        <v/>
      </c>
      <c r="BZ89" s="492" t="str">
        <f t="shared" si="184"/>
        <v/>
      </c>
      <c r="CA89" s="492" t="str">
        <f t="shared" si="185"/>
        <v/>
      </c>
      <c r="CB89" s="492" t="str">
        <f t="shared" si="186"/>
        <v/>
      </c>
      <c r="CC89" s="492" t="str">
        <f t="shared" si="187"/>
        <v/>
      </c>
      <c r="CD89" s="492" t="str">
        <f t="shared" si="188"/>
        <v/>
      </c>
      <c r="CE89" s="492" t="str">
        <f t="shared" si="189"/>
        <v/>
      </c>
      <c r="CF89" s="492" t="str">
        <f t="shared" si="190"/>
        <v/>
      </c>
      <c r="CG89" s="492" t="str">
        <f t="shared" si="191"/>
        <v/>
      </c>
      <c r="CH89" s="492" t="str">
        <f t="shared" si="192"/>
        <v/>
      </c>
      <c r="CI89" s="492" t="str">
        <f t="shared" si="193"/>
        <v/>
      </c>
      <c r="CJ89" s="492" t="str">
        <f t="shared" si="194"/>
        <v/>
      </c>
      <c r="CK89" s="492" t="str">
        <f t="shared" si="195"/>
        <v/>
      </c>
      <c r="CL89" s="492" t="str">
        <f t="shared" si="196"/>
        <v/>
      </c>
      <c r="CM89" s="492" t="str">
        <f t="shared" si="197"/>
        <v/>
      </c>
      <c r="CN89" s="492" t="str">
        <f t="shared" si="198"/>
        <v/>
      </c>
      <c r="CO89" s="492" t="str">
        <f t="shared" si="199"/>
        <v/>
      </c>
      <c r="CP89" s="492" t="str">
        <f t="shared" si="200"/>
        <v/>
      </c>
      <c r="CQ89" s="492" t="str">
        <f t="shared" si="201"/>
        <v/>
      </c>
      <c r="CR89" s="492" t="str">
        <f t="shared" si="202"/>
        <v/>
      </c>
      <c r="CS89" s="492" t="str">
        <f t="shared" si="203"/>
        <v/>
      </c>
      <c r="CT89" s="492" t="str">
        <f t="shared" si="204"/>
        <v/>
      </c>
      <c r="CU89" s="492" t="str">
        <f t="shared" si="205"/>
        <v/>
      </c>
      <c r="CV89" s="492" t="str">
        <f t="shared" si="206"/>
        <v/>
      </c>
      <c r="CW89" s="495">
        <v>1</v>
      </c>
      <c r="CX89" s="496"/>
      <c r="CY89" s="496"/>
      <c r="CZ89" s="496"/>
      <c r="DA89" s="496"/>
      <c r="DB89" s="496"/>
    </row>
    <row r="90" spans="1:106" ht="13.5" customHeight="1">
      <c r="A90" s="1232">
        <v>80</v>
      </c>
      <c r="B90" s="1233"/>
      <c r="C90" s="1230"/>
      <c r="D90" s="1234"/>
      <c r="E90" s="1231"/>
      <c r="F90" s="1230"/>
      <c r="G90" s="1234"/>
      <c r="H90" s="1231"/>
      <c r="I90" s="1230"/>
      <c r="J90" s="1231"/>
      <c r="K90" s="1290"/>
      <c r="L90" s="1291"/>
      <c r="M90" s="1290"/>
      <c r="N90" s="1291"/>
      <c r="O90" s="1290"/>
      <c r="P90" s="1291"/>
      <c r="Q90" s="1230"/>
      <c r="R90" s="1231"/>
      <c r="S90" s="1230"/>
      <c r="T90" s="1231"/>
      <c r="U90" s="1228"/>
      <c r="V90" s="1229"/>
      <c r="W90" s="1230"/>
      <c r="X90" s="1231"/>
      <c r="Y90" s="1226"/>
      <c r="Z90" s="1227"/>
      <c r="AA90" s="1275"/>
      <c r="AB90" s="1275"/>
      <c r="AC90" s="1212" t="str">
        <f t="shared" si="138"/>
        <v/>
      </c>
      <c r="AD90" s="1213"/>
      <c r="AE90" s="1213"/>
      <c r="AF90" s="1213"/>
      <c r="AG90" s="492" t="str">
        <f t="shared" si="139"/>
        <v/>
      </c>
      <c r="AH90" s="466" t="str">
        <f t="shared" si="140"/>
        <v/>
      </c>
      <c r="AI90" s="466" t="str">
        <f t="shared" si="141"/>
        <v/>
      </c>
      <c r="AJ90" s="466" t="str">
        <f t="shared" si="142"/>
        <v/>
      </c>
      <c r="AK90" s="492" t="str">
        <f t="shared" si="143"/>
        <v>○</v>
      </c>
      <c r="AL90" s="492" t="str">
        <f t="shared" si="144"/>
        <v/>
      </c>
      <c r="AM90" s="492" t="str">
        <f t="shared" si="145"/>
        <v/>
      </c>
      <c r="AN90" s="492" t="str">
        <f t="shared" si="146"/>
        <v/>
      </c>
      <c r="AO90" s="492" t="str">
        <f t="shared" si="147"/>
        <v/>
      </c>
      <c r="AP90" s="492" t="str">
        <f t="shared" si="148"/>
        <v/>
      </c>
      <c r="AQ90" s="492" t="str">
        <f t="shared" si="149"/>
        <v/>
      </c>
      <c r="AR90" s="492" t="str">
        <f t="shared" si="150"/>
        <v/>
      </c>
      <c r="AS90" s="492" t="str">
        <f t="shared" si="151"/>
        <v/>
      </c>
      <c r="AT90" s="492" t="str">
        <f t="shared" si="152"/>
        <v/>
      </c>
      <c r="AU90" s="492" t="str">
        <f t="shared" si="153"/>
        <v/>
      </c>
      <c r="AV90" s="492" t="str">
        <f t="shared" si="154"/>
        <v/>
      </c>
      <c r="AW90" s="492" t="str">
        <f t="shared" si="155"/>
        <v/>
      </c>
      <c r="AX90" s="492" t="str">
        <f t="shared" si="156"/>
        <v/>
      </c>
      <c r="AY90" s="492" t="str">
        <f t="shared" si="157"/>
        <v/>
      </c>
      <c r="AZ90" s="492" t="str">
        <f t="shared" si="158"/>
        <v/>
      </c>
      <c r="BA90" s="492" t="str">
        <f t="shared" si="159"/>
        <v/>
      </c>
      <c r="BB90" s="492" t="str">
        <f t="shared" si="160"/>
        <v/>
      </c>
      <c r="BC90" s="492" t="str">
        <f t="shared" si="161"/>
        <v/>
      </c>
      <c r="BD90" s="492" t="str">
        <f t="shared" si="162"/>
        <v/>
      </c>
      <c r="BE90" s="492" t="str">
        <f t="shared" si="163"/>
        <v/>
      </c>
      <c r="BF90" s="492" t="str">
        <f t="shared" si="164"/>
        <v/>
      </c>
      <c r="BG90" s="492" t="str">
        <f t="shared" si="165"/>
        <v/>
      </c>
      <c r="BH90" s="492" t="str">
        <f t="shared" si="166"/>
        <v/>
      </c>
      <c r="BI90" s="492" t="str">
        <f t="shared" si="167"/>
        <v/>
      </c>
      <c r="BJ90" s="492" t="str">
        <f t="shared" si="168"/>
        <v/>
      </c>
      <c r="BK90" s="492" t="str">
        <f t="shared" si="169"/>
        <v/>
      </c>
      <c r="BL90" s="492" t="str">
        <f t="shared" si="170"/>
        <v/>
      </c>
      <c r="BM90" s="492" t="str">
        <f t="shared" si="171"/>
        <v/>
      </c>
      <c r="BN90" s="492" t="str">
        <f t="shared" si="172"/>
        <v/>
      </c>
      <c r="BO90" s="492" t="str">
        <f t="shared" si="173"/>
        <v/>
      </c>
      <c r="BP90" s="492" t="str">
        <f t="shared" si="174"/>
        <v/>
      </c>
      <c r="BQ90" s="492" t="str">
        <f t="shared" si="175"/>
        <v/>
      </c>
      <c r="BR90" s="492" t="str">
        <f t="shared" si="176"/>
        <v/>
      </c>
      <c r="BS90" s="492" t="str">
        <f t="shared" si="177"/>
        <v/>
      </c>
      <c r="BT90" s="492" t="str">
        <f t="shared" si="178"/>
        <v/>
      </c>
      <c r="BU90" s="492" t="str">
        <f t="shared" si="179"/>
        <v/>
      </c>
      <c r="BV90" s="492" t="str">
        <f t="shared" si="180"/>
        <v/>
      </c>
      <c r="BW90" s="492" t="str">
        <f t="shared" si="181"/>
        <v/>
      </c>
      <c r="BX90" s="492" t="str">
        <f t="shared" si="182"/>
        <v/>
      </c>
      <c r="BY90" s="492" t="str">
        <f t="shared" si="183"/>
        <v/>
      </c>
      <c r="BZ90" s="492" t="str">
        <f t="shared" si="184"/>
        <v/>
      </c>
      <c r="CA90" s="492" t="str">
        <f t="shared" si="185"/>
        <v/>
      </c>
      <c r="CB90" s="492" t="str">
        <f t="shared" si="186"/>
        <v/>
      </c>
      <c r="CC90" s="492" t="str">
        <f t="shared" si="187"/>
        <v/>
      </c>
      <c r="CD90" s="492" t="str">
        <f t="shared" si="188"/>
        <v/>
      </c>
      <c r="CE90" s="492" t="str">
        <f t="shared" si="189"/>
        <v/>
      </c>
      <c r="CF90" s="492" t="str">
        <f t="shared" si="190"/>
        <v/>
      </c>
      <c r="CG90" s="492" t="str">
        <f t="shared" si="191"/>
        <v/>
      </c>
      <c r="CH90" s="492" t="str">
        <f t="shared" si="192"/>
        <v/>
      </c>
      <c r="CI90" s="492" t="str">
        <f t="shared" si="193"/>
        <v/>
      </c>
      <c r="CJ90" s="492" t="str">
        <f t="shared" si="194"/>
        <v/>
      </c>
      <c r="CK90" s="492" t="str">
        <f t="shared" si="195"/>
        <v/>
      </c>
      <c r="CL90" s="492" t="str">
        <f t="shared" si="196"/>
        <v/>
      </c>
      <c r="CM90" s="492" t="str">
        <f t="shared" si="197"/>
        <v/>
      </c>
      <c r="CN90" s="492" t="str">
        <f t="shared" si="198"/>
        <v/>
      </c>
      <c r="CO90" s="492" t="str">
        <f t="shared" si="199"/>
        <v/>
      </c>
      <c r="CP90" s="492" t="str">
        <f t="shared" si="200"/>
        <v/>
      </c>
      <c r="CQ90" s="492" t="str">
        <f t="shared" si="201"/>
        <v/>
      </c>
      <c r="CR90" s="492" t="str">
        <f t="shared" si="202"/>
        <v/>
      </c>
      <c r="CS90" s="492" t="str">
        <f t="shared" si="203"/>
        <v/>
      </c>
      <c r="CT90" s="492" t="str">
        <f t="shared" si="204"/>
        <v/>
      </c>
      <c r="CU90" s="492" t="str">
        <f t="shared" si="205"/>
        <v/>
      </c>
      <c r="CV90" s="492" t="str">
        <f t="shared" si="206"/>
        <v/>
      </c>
      <c r="CW90" s="495">
        <v>1</v>
      </c>
      <c r="CX90" s="496"/>
      <c r="CY90" s="496"/>
      <c r="CZ90" s="496"/>
      <c r="DA90" s="496"/>
      <c r="DB90" s="496"/>
    </row>
    <row r="91" spans="1:106" ht="13.5" customHeight="1">
      <c r="A91" s="1232">
        <v>81</v>
      </c>
      <c r="B91" s="1233"/>
      <c r="C91" s="1230"/>
      <c r="D91" s="1234"/>
      <c r="E91" s="1231"/>
      <c r="F91" s="1230"/>
      <c r="G91" s="1234"/>
      <c r="H91" s="1231"/>
      <c r="I91" s="1230"/>
      <c r="J91" s="1231"/>
      <c r="K91" s="1290"/>
      <c r="L91" s="1291"/>
      <c r="M91" s="1290"/>
      <c r="N91" s="1291"/>
      <c r="O91" s="1290"/>
      <c r="P91" s="1291"/>
      <c r="Q91" s="1230"/>
      <c r="R91" s="1231"/>
      <c r="S91" s="1230"/>
      <c r="T91" s="1231"/>
      <c r="U91" s="1228"/>
      <c r="V91" s="1229"/>
      <c r="W91" s="1230"/>
      <c r="X91" s="1231"/>
      <c r="Y91" s="1226"/>
      <c r="Z91" s="1227"/>
      <c r="AA91" s="1275"/>
      <c r="AB91" s="1275"/>
      <c r="AC91" s="1212" t="str">
        <f t="shared" si="138"/>
        <v/>
      </c>
      <c r="AD91" s="1213"/>
      <c r="AE91" s="1213"/>
      <c r="AF91" s="1213"/>
      <c r="AG91" s="492" t="str">
        <f t="shared" si="139"/>
        <v/>
      </c>
      <c r="AH91" s="466" t="str">
        <f t="shared" si="140"/>
        <v/>
      </c>
      <c r="AI91" s="466" t="str">
        <f t="shared" si="141"/>
        <v/>
      </c>
      <c r="AJ91" s="466" t="str">
        <f t="shared" si="142"/>
        <v/>
      </c>
      <c r="AK91" s="492" t="str">
        <f t="shared" si="143"/>
        <v>○</v>
      </c>
      <c r="AL91" s="492" t="str">
        <f t="shared" si="144"/>
        <v/>
      </c>
      <c r="AM91" s="492" t="str">
        <f t="shared" si="145"/>
        <v/>
      </c>
      <c r="AN91" s="492" t="str">
        <f t="shared" si="146"/>
        <v/>
      </c>
      <c r="AO91" s="492" t="str">
        <f t="shared" si="147"/>
        <v/>
      </c>
      <c r="AP91" s="492" t="str">
        <f t="shared" si="148"/>
        <v/>
      </c>
      <c r="AQ91" s="492" t="str">
        <f t="shared" si="149"/>
        <v/>
      </c>
      <c r="AR91" s="492" t="str">
        <f t="shared" si="150"/>
        <v/>
      </c>
      <c r="AS91" s="492" t="str">
        <f t="shared" si="151"/>
        <v/>
      </c>
      <c r="AT91" s="492" t="str">
        <f t="shared" si="152"/>
        <v/>
      </c>
      <c r="AU91" s="492" t="str">
        <f t="shared" si="153"/>
        <v/>
      </c>
      <c r="AV91" s="492" t="str">
        <f t="shared" si="154"/>
        <v/>
      </c>
      <c r="AW91" s="492" t="str">
        <f t="shared" si="155"/>
        <v/>
      </c>
      <c r="AX91" s="492" t="str">
        <f t="shared" si="156"/>
        <v/>
      </c>
      <c r="AY91" s="492" t="str">
        <f t="shared" si="157"/>
        <v/>
      </c>
      <c r="AZ91" s="492" t="str">
        <f t="shared" si="158"/>
        <v/>
      </c>
      <c r="BA91" s="492" t="str">
        <f t="shared" si="159"/>
        <v/>
      </c>
      <c r="BB91" s="492" t="str">
        <f t="shared" si="160"/>
        <v/>
      </c>
      <c r="BC91" s="492" t="str">
        <f t="shared" si="161"/>
        <v/>
      </c>
      <c r="BD91" s="492" t="str">
        <f t="shared" si="162"/>
        <v/>
      </c>
      <c r="BE91" s="492" t="str">
        <f t="shared" si="163"/>
        <v/>
      </c>
      <c r="BF91" s="492" t="str">
        <f t="shared" si="164"/>
        <v/>
      </c>
      <c r="BG91" s="492" t="str">
        <f t="shared" si="165"/>
        <v/>
      </c>
      <c r="BH91" s="492" t="str">
        <f t="shared" si="166"/>
        <v/>
      </c>
      <c r="BI91" s="492" t="str">
        <f t="shared" si="167"/>
        <v/>
      </c>
      <c r="BJ91" s="492" t="str">
        <f t="shared" si="168"/>
        <v/>
      </c>
      <c r="BK91" s="492" t="str">
        <f t="shared" si="169"/>
        <v/>
      </c>
      <c r="BL91" s="492" t="str">
        <f t="shared" si="170"/>
        <v/>
      </c>
      <c r="BM91" s="492" t="str">
        <f t="shared" si="171"/>
        <v/>
      </c>
      <c r="BN91" s="492" t="str">
        <f t="shared" si="172"/>
        <v/>
      </c>
      <c r="BO91" s="492" t="str">
        <f t="shared" si="173"/>
        <v/>
      </c>
      <c r="BP91" s="492" t="str">
        <f t="shared" si="174"/>
        <v/>
      </c>
      <c r="BQ91" s="492" t="str">
        <f t="shared" si="175"/>
        <v/>
      </c>
      <c r="BR91" s="492" t="str">
        <f t="shared" si="176"/>
        <v/>
      </c>
      <c r="BS91" s="492" t="str">
        <f t="shared" si="177"/>
        <v/>
      </c>
      <c r="BT91" s="492" t="str">
        <f t="shared" si="178"/>
        <v/>
      </c>
      <c r="BU91" s="492" t="str">
        <f t="shared" si="179"/>
        <v/>
      </c>
      <c r="BV91" s="492" t="str">
        <f t="shared" si="180"/>
        <v/>
      </c>
      <c r="BW91" s="492" t="str">
        <f t="shared" si="181"/>
        <v/>
      </c>
      <c r="BX91" s="492" t="str">
        <f t="shared" si="182"/>
        <v/>
      </c>
      <c r="BY91" s="492" t="str">
        <f t="shared" si="183"/>
        <v/>
      </c>
      <c r="BZ91" s="492" t="str">
        <f t="shared" si="184"/>
        <v/>
      </c>
      <c r="CA91" s="492" t="str">
        <f t="shared" si="185"/>
        <v/>
      </c>
      <c r="CB91" s="492" t="str">
        <f t="shared" si="186"/>
        <v/>
      </c>
      <c r="CC91" s="492" t="str">
        <f t="shared" si="187"/>
        <v/>
      </c>
      <c r="CD91" s="492" t="str">
        <f t="shared" si="188"/>
        <v/>
      </c>
      <c r="CE91" s="492" t="str">
        <f t="shared" si="189"/>
        <v/>
      </c>
      <c r="CF91" s="492" t="str">
        <f t="shared" si="190"/>
        <v/>
      </c>
      <c r="CG91" s="492" t="str">
        <f t="shared" si="191"/>
        <v/>
      </c>
      <c r="CH91" s="492" t="str">
        <f t="shared" si="192"/>
        <v/>
      </c>
      <c r="CI91" s="492" t="str">
        <f t="shared" si="193"/>
        <v/>
      </c>
      <c r="CJ91" s="492" t="str">
        <f t="shared" si="194"/>
        <v/>
      </c>
      <c r="CK91" s="492" t="str">
        <f t="shared" si="195"/>
        <v/>
      </c>
      <c r="CL91" s="492" t="str">
        <f t="shared" si="196"/>
        <v/>
      </c>
      <c r="CM91" s="492" t="str">
        <f t="shared" si="197"/>
        <v/>
      </c>
      <c r="CN91" s="492" t="str">
        <f t="shared" si="198"/>
        <v/>
      </c>
      <c r="CO91" s="492" t="str">
        <f t="shared" si="199"/>
        <v/>
      </c>
      <c r="CP91" s="492" t="str">
        <f t="shared" si="200"/>
        <v/>
      </c>
      <c r="CQ91" s="492" t="str">
        <f t="shared" si="201"/>
        <v/>
      </c>
      <c r="CR91" s="492" t="str">
        <f t="shared" si="202"/>
        <v/>
      </c>
      <c r="CS91" s="492" t="str">
        <f t="shared" si="203"/>
        <v/>
      </c>
      <c r="CT91" s="492" t="str">
        <f t="shared" si="204"/>
        <v/>
      </c>
      <c r="CU91" s="492" t="str">
        <f t="shared" si="205"/>
        <v/>
      </c>
      <c r="CV91" s="492" t="str">
        <f t="shared" si="206"/>
        <v/>
      </c>
      <c r="CW91" s="495">
        <v>1</v>
      </c>
      <c r="CX91" s="496"/>
      <c r="CY91" s="496"/>
      <c r="CZ91" s="496"/>
      <c r="DA91" s="496"/>
      <c r="DB91" s="496"/>
    </row>
    <row r="92" spans="1:106" ht="13.5" customHeight="1">
      <c r="A92" s="1232">
        <v>82</v>
      </c>
      <c r="B92" s="1233"/>
      <c r="C92" s="1230"/>
      <c r="D92" s="1234"/>
      <c r="E92" s="1231"/>
      <c r="F92" s="1230"/>
      <c r="G92" s="1234"/>
      <c r="H92" s="1231"/>
      <c r="I92" s="1230"/>
      <c r="J92" s="1231"/>
      <c r="K92" s="1290"/>
      <c r="L92" s="1291"/>
      <c r="M92" s="1290"/>
      <c r="N92" s="1291"/>
      <c r="O92" s="1290"/>
      <c r="P92" s="1291"/>
      <c r="Q92" s="1230"/>
      <c r="R92" s="1231"/>
      <c r="S92" s="1230"/>
      <c r="T92" s="1231"/>
      <c r="U92" s="1228"/>
      <c r="V92" s="1229"/>
      <c r="W92" s="1230"/>
      <c r="X92" s="1231"/>
      <c r="Y92" s="1226"/>
      <c r="Z92" s="1227"/>
      <c r="AA92" s="1275"/>
      <c r="AB92" s="1275"/>
      <c r="AC92" s="1212" t="str">
        <f t="shared" si="138"/>
        <v/>
      </c>
      <c r="AD92" s="1213"/>
      <c r="AE92" s="1213"/>
      <c r="AF92" s="1213"/>
      <c r="AG92" s="492" t="str">
        <f t="shared" si="139"/>
        <v/>
      </c>
      <c r="AH92" s="466" t="str">
        <f t="shared" si="140"/>
        <v/>
      </c>
      <c r="AI92" s="466" t="str">
        <f t="shared" si="141"/>
        <v/>
      </c>
      <c r="AJ92" s="466" t="str">
        <f t="shared" si="142"/>
        <v/>
      </c>
      <c r="AK92" s="492" t="str">
        <f t="shared" si="143"/>
        <v>○</v>
      </c>
      <c r="AL92" s="492" t="str">
        <f t="shared" si="144"/>
        <v/>
      </c>
      <c r="AM92" s="492" t="str">
        <f t="shared" si="145"/>
        <v/>
      </c>
      <c r="AN92" s="492" t="str">
        <f t="shared" si="146"/>
        <v/>
      </c>
      <c r="AO92" s="492" t="str">
        <f t="shared" si="147"/>
        <v/>
      </c>
      <c r="AP92" s="492" t="str">
        <f t="shared" si="148"/>
        <v/>
      </c>
      <c r="AQ92" s="492" t="str">
        <f t="shared" si="149"/>
        <v/>
      </c>
      <c r="AR92" s="492" t="str">
        <f t="shared" si="150"/>
        <v/>
      </c>
      <c r="AS92" s="492" t="str">
        <f t="shared" si="151"/>
        <v/>
      </c>
      <c r="AT92" s="492" t="str">
        <f t="shared" si="152"/>
        <v/>
      </c>
      <c r="AU92" s="492" t="str">
        <f t="shared" si="153"/>
        <v/>
      </c>
      <c r="AV92" s="492" t="str">
        <f t="shared" si="154"/>
        <v/>
      </c>
      <c r="AW92" s="492" t="str">
        <f t="shared" si="155"/>
        <v/>
      </c>
      <c r="AX92" s="492" t="str">
        <f t="shared" si="156"/>
        <v/>
      </c>
      <c r="AY92" s="492" t="str">
        <f t="shared" si="157"/>
        <v/>
      </c>
      <c r="AZ92" s="492" t="str">
        <f t="shared" si="158"/>
        <v/>
      </c>
      <c r="BA92" s="492" t="str">
        <f t="shared" si="159"/>
        <v/>
      </c>
      <c r="BB92" s="492" t="str">
        <f t="shared" si="160"/>
        <v/>
      </c>
      <c r="BC92" s="492" t="str">
        <f t="shared" si="161"/>
        <v/>
      </c>
      <c r="BD92" s="492" t="str">
        <f t="shared" si="162"/>
        <v/>
      </c>
      <c r="BE92" s="492" t="str">
        <f t="shared" si="163"/>
        <v/>
      </c>
      <c r="BF92" s="492" t="str">
        <f t="shared" si="164"/>
        <v/>
      </c>
      <c r="BG92" s="492" t="str">
        <f t="shared" si="165"/>
        <v/>
      </c>
      <c r="BH92" s="492" t="str">
        <f t="shared" si="166"/>
        <v/>
      </c>
      <c r="BI92" s="492" t="str">
        <f t="shared" si="167"/>
        <v/>
      </c>
      <c r="BJ92" s="492" t="str">
        <f t="shared" si="168"/>
        <v/>
      </c>
      <c r="BK92" s="492" t="str">
        <f t="shared" si="169"/>
        <v/>
      </c>
      <c r="BL92" s="492" t="str">
        <f t="shared" si="170"/>
        <v/>
      </c>
      <c r="BM92" s="492" t="str">
        <f t="shared" si="171"/>
        <v/>
      </c>
      <c r="BN92" s="492" t="str">
        <f t="shared" si="172"/>
        <v/>
      </c>
      <c r="BO92" s="492" t="str">
        <f t="shared" si="173"/>
        <v/>
      </c>
      <c r="BP92" s="492" t="str">
        <f t="shared" si="174"/>
        <v/>
      </c>
      <c r="BQ92" s="492" t="str">
        <f t="shared" si="175"/>
        <v/>
      </c>
      <c r="BR92" s="492" t="str">
        <f t="shared" si="176"/>
        <v/>
      </c>
      <c r="BS92" s="492" t="str">
        <f t="shared" si="177"/>
        <v/>
      </c>
      <c r="BT92" s="492" t="str">
        <f t="shared" si="178"/>
        <v/>
      </c>
      <c r="BU92" s="492" t="str">
        <f t="shared" si="179"/>
        <v/>
      </c>
      <c r="BV92" s="492" t="str">
        <f t="shared" si="180"/>
        <v/>
      </c>
      <c r="BW92" s="492" t="str">
        <f t="shared" si="181"/>
        <v/>
      </c>
      <c r="BX92" s="492" t="str">
        <f t="shared" si="182"/>
        <v/>
      </c>
      <c r="BY92" s="492" t="str">
        <f t="shared" si="183"/>
        <v/>
      </c>
      <c r="BZ92" s="492" t="str">
        <f t="shared" si="184"/>
        <v/>
      </c>
      <c r="CA92" s="492" t="str">
        <f t="shared" si="185"/>
        <v/>
      </c>
      <c r="CB92" s="492" t="str">
        <f t="shared" si="186"/>
        <v/>
      </c>
      <c r="CC92" s="492" t="str">
        <f t="shared" si="187"/>
        <v/>
      </c>
      <c r="CD92" s="492" t="str">
        <f t="shared" si="188"/>
        <v/>
      </c>
      <c r="CE92" s="492" t="str">
        <f t="shared" si="189"/>
        <v/>
      </c>
      <c r="CF92" s="492" t="str">
        <f t="shared" si="190"/>
        <v/>
      </c>
      <c r="CG92" s="492" t="str">
        <f t="shared" si="191"/>
        <v/>
      </c>
      <c r="CH92" s="492" t="str">
        <f t="shared" si="192"/>
        <v/>
      </c>
      <c r="CI92" s="492" t="str">
        <f t="shared" si="193"/>
        <v/>
      </c>
      <c r="CJ92" s="492" t="str">
        <f t="shared" si="194"/>
        <v/>
      </c>
      <c r="CK92" s="492" t="str">
        <f t="shared" si="195"/>
        <v/>
      </c>
      <c r="CL92" s="492" t="str">
        <f t="shared" si="196"/>
        <v/>
      </c>
      <c r="CM92" s="492" t="str">
        <f t="shared" si="197"/>
        <v/>
      </c>
      <c r="CN92" s="492" t="str">
        <f t="shared" si="198"/>
        <v/>
      </c>
      <c r="CO92" s="492" t="str">
        <f t="shared" si="199"/>
        <v/>
      </c>
      <c r="CP92" s="492" t="str">
        <f t="shared" si="200"/>
        <v/>
      </c>
      <c r="CQ92" s="492" t="str">
        <f t="shared" si="201"/>
        <v/>
      </c>
      <c r="CR92" s="492" t="str">
        <f t="shared" si="202"/>
        <v/>
      </c>
      <c r="CS92" s="492" t="str">
        <f t="shared" si="203"/>
        <v/>
      </c>
      <c r="CT92" s="492" t="str">
        <f t="shared" si="204"/>
        <v/>
      </c>
      <c r="CU92" s="492" t="str">
        <f t="shared" si="205"/>
        <v/>
      </c>
      <c r="CV92" s="492" t="str">
        <f t="shared" si="206"/>
        <v/>
      </c>
      <c r="CW92" s="495">
        <v>1</v>
      </c>
      <c r="CX92" s="496"/>
      <c r="CY92" s="496"/>
      <c r="CZ92" s="496"/>
      <c r="DA92" s="496"/>
      <c r="DB92" s="496"/>
    </row>
    <row r="93" spans="1:106" ht="13.5" customHeight="1">
      <c r="A93" s="1232">
        <v>83</v>
      </c>
      <c r="B93" s="1233"/>
      <c r="C93" s="1230"/>
      <c r="D93" s="1234"/>
      <c r="E93" s="1231"/>
      <c r="F93" s="1230"/>
      <c r="G93" s="1234"/>
      <c r="H93" s="1231"/>
      <c r="I93" s="1230"/>
      <c r="J93" s="1231"/>
      <c r="K93" s="1290"/>
      <c r="L93" s="1291"/>
      <c r="M93" s="1290"/>
      <c r="N93" s="1291"/>
      <c r="O93" s="1290"/>
      <c r="P93" s="1291"/>
      <c r="Q93" s="1230"/>
      <c r="R93" s="1231"/>
      <c r="S93" s="1230"/>
      <c r="T93" s="1231"/>
      <c r="U93" s="1228"/>
      <c r="V93" s="1229"/>
      <c r="W93" s="1230"/>
      <c r="X93" s="1231"/>
      <c r="Y93" s="1226"/>
      <c r="Z93" s="1227"/>
      <c r="AA93" s="1275"/>
      <c r="AB93" s="1275"/>
      <c r="AC93" s="1212" t="str">
        <f t="shared" si="138"/>
        <v/>
      </c>
      <c r="AD93" s="1213"/>
      <c r="AE93" s="1213"/>
      <c r="AF93" s="1213"/>
      <c r="AG93" s="492" t="str">
        <f t="shared" si="139"/>
        <v/>
      </c>
      <c r="AH93" s="466" t="str">
        <f t="shared" si="140"/>
        <v/>
      </c>
      <c r="AI93" s="466" t="str">
        <f t="shared" si="141"/>
        <v/>
      </c>
      <c r="AJ93" s="466" t="str">
        <f t="shared" si="142"/>
        <v/>
      </c>
      <c r="AK93" s="492" t="str">
        <f t="shared" si="143"/>
        <v>○</v>
      </c>
      <c r="AL93" s="492" t="str">
        <f t="shared" si="144"/>
        <v/>
      </c>
      <c r="AM93" s="492" t="str">
        <f t="shared" si="145"/>
        <v/>
      </c>
      <c r="AN93" s="492" t="str">
        <f t="shared" si="146"/>
        <v/>
      </c>
      <c r="AO93" s="492" t="str">
        <f t="shared" si="147"/>
        <v/>
      </c>
      <c r="AP93" s="492" t="str">
        <f t="shared" si="148"/>
        <v/>
      </c>
      <c r="AQ93" s="492" t="str">
        <f t="shared" si="149"/>
        <v/>
      </c>
      <c r="AR93" s="492" t="str">
        <f t="shared" si="150"/>
        <v/>
      </c>
      <c r="AS93" s="492" t="str">
        <f t="shared" si="151"/>
        <v/>
      </c>
      <c r="AT93" s="492" t="str">
        <f t="shared" si="152"/>
        <v/>
      </c>
      <c r="AU93" s="492" t="str">
        <f t="shared" si="153"/>
        <v/>
      </c>
      <c r="AV93" s="492" t="str">
        <f t="shared" si="154"/>
        <v/>
      </c>
      <c r="AW93" s="492" t="str">
        <f t="shared" si="155"/>
        <v/>
      </c>
      <c r="AX93" s="492" t="str">
        <f t="shared" si="156"/>
        <v/>
      </c>
      <c r="AY93" s="492" t="str">
        <f t="shared" si="157"/>
        <v/>
      </c>
      <c r="AZ93" s="492" t="str">
        <f t="shared" si="158"/>
        <v/>
      </c>
      <c r="BA93" s="492" t="str">
        <f t="shared" si="159"/>
        <v/>
      </c>
      <c r="BB93" s="492" t="str">
        <f t="shared" si="160"/>
        <v/>
      </c>
      <c r="BC93" s="492" t="str">
        <f t="shared" si="161"/>
        <v/>
      </c>
      <c r="BD93" s="492" t="str">
        <f t="shared" si="162"/>
        <v/>
      </c>
      <c r="BE93" s="492" t="str">
        <f t="shared" si="163"/>
        <v/>
      </c>
      <c r="BF93" s="492" t="str">
        <f t="shared" si="164"/>
        <v/>
      </c>
      <c r="BG93" s="492" t="str">
        <f t="shared" si="165"/>
        <v/>
      </c>
      <c r="BH93" s="492" t="str">
        <f t="shared" si="166"/>
        <v/>
      </c>
      <c r="BI93" s="492" t="str">
        <f t="shared" si="167"/>
        <v/>
      </c>
      <c r="BJ93" s="492" t="str">
        <f t="shared" si="168"/>
        <v/>
      </c>
      <c r="BK93" s="492" t="str">
        <f t="shared" si="169"/>
        <v/>
      </c>
      <c r="BL93" s="492" t="str">
        <f t="shared" si="170"/>
        <v/>
      </c>
      <c r="BM93" s="492" t="str">
        <f t="shared" si="171"/>
        <v/>
      </c>
      <c r="BN93" s="492" t="str">
        <f t="shared" si="172"/>
        <v/>
      </c>
      <c r="BO93" s="492" t="str">
        <f t="shared" si="173"/>
        <v/>
      </c>
      <c r="BP93" s="492" t="str">
        <f t="shared" si="174"/>
        <v/>
      </c>
      <c r="BQ93" s="492" t="str">
        <f t="shared" si="175"/>
        <v/>
      </c>
      <c r="BR93" s="492" t="str">
        <f t="shared" si="176"/>
        <v/>
      </c>
      <c r="BS93" s="492" t="str">
        <f t="shared" si="177"/>
        <v/>
      </c>
      <c r="BT93" s="492" t="str">
        <f t="shared" si="178"/>
        <v/>
      </c>
      <c r="BU93" s="492" t="str">
        <f t="shared" si="179"/>
        <v/>
      </c>
      <c r="BV93" s="492" t="str">
        <f t="shared" si="180"/>
        <v/>
      </c>
      <c r="BW93" s="492" t="str">
        <f t="shared" si="181"/>
        <v/>
      </c>
      <c r="BX93" s="492" t="str">
        <f t="shared" si="182"/>
        <v/>
      </c>
      <c r="BY93" s="492" t="str">
        <f t="shared" si="183"/>
        <v/>
      </c>
      <c r="BZ93" s="492" t="str">
        <f t="shared" si="184"/>
        <v/>
      </c>
      <c r="CA93" s="492" t="str">
        <f t="shared" si="185"/>
        <v/>
      </c>
      <c r="CB93" s="492" t="str">
        <f t="shared" si="186"/>
        <v/>
      </c>
      <c r="CC93" s="492" t="str">
        <f t="shared" si="187"/>
        <v/>
      </c>
      <c r="CD93" s="492" t="str">
        <f t="shared" si="188"/>
        <v/>
      </c>
      <c r="CE93" s="492" t="str">
        <f t="shared" si="189"/>
        <v/>
      </c>
      <c r="CF93" s="492" t="str">
        <f t="shared" si="190"/>
        <v/>
      </c>
      <c r="CG93" s="492" t="str">
        <f t="shared" si="191"/>
        <v/>
      </c>
      <c r="CH93" s="492" t="str">
        <f t="shared" si="192"/>
        <v/>
      </c>
      <c r="CI93" s="492" t="str">
        <f t="shared" si="193"/>
        <v/>
      </c>
      <c r="CJ93" s="492" t="str">
        <f t="shared" si="194"/>
        <v/>
      </c>
      <c r="CK93" s="492" t="str">
        <f t="shared" si="195"/>
        <v/>
      </c>
      <c r="CL93" s="492" t="str">
        <f t="shared" si="196"/>
        <v/>
      </c>
      <c r="CM93" s="492" t="str">
        <f t="shared" si="197"/>
        <v/>
      </c>
      <c r="CN93" s="492" t="str">
        <f t="shared" si="198"/>
        <v/>
      </c>
      <c r="CO93" s="492" t="str">
        <f t="shared" si="199"/>
        <v/>
      </c>
      <c r="CP93" s="492" t="str">
        <f t="shared" si="200"/>
        <v/>
      </c>
      <c r="CQ93" s="492" t="str">
        <f t="shared" si="201"/>
        <v/>
      </c>
      <c r="CR93" s="492" t="str">
        <f t="shared" si="202"/>
        <v/>
      </c>
      <c r="CS93" s="492" t="str">
        <f t="shared" si="203"/>
        <v/>
      </c>
      <c r="CT93" s="492" t="str">
        <f t="shared" si="204"/>
        <v/>
      </c>
      <c r="CU93" s="492" t="str">
        <f t="shared" si="205"/>
        <v/>
      </c>
      <c r="CV93" s="492" t="str">
        <f t="shared" si="206"/>
        <v/>
      </c>
      <c r="CW93" s="495">
        <v>1</v>
      </c>
      <c r="CX93" s="496"/>
      <c r="CY93" s="496"/>
      <c r="CZ93" s="496"/>
      <c r="DA93" s="496"/>
      <c r="DB93" s="496"/>
    </row>
    <row r="94" spans="1:106" ht="13.5" customHeight="1">
      <c r="A94" s="1232">
        <v>84</v>
      </c>
      <c r="B94" s="1233"/>
      <c r="C94" s="1230"/>
      <c r="D94" s="1234"/>
      <c r="E94" s="1231"/>
      <c r="F94" s="1230"/>
      <c r="G94" s="1234"/>
      <c r="H94" s="1231"/>
      <c r="I94" s="1230"/>
      <c r="J94" s="1231"/>
      <c r="K94" s="1290"/>
      <c r="L94" s="1291"/>
      <c r="M94" s="1290"/>
      <c r="N94" s="1291"/>
      <c r="O94" s="1290"/>
      <c r="P94" s="1291"/>
      <c r="Q94" s="1230"/>
      <c r="R94" s="1231"/>
      <c r="S94" s="1230"/>
      <c r="T94" s="1231"/>
      <c r="U94" s="1228"/>
      <c r="V94" s="1229"/>
      <c r="W94" s="1230"/>
      <c r="X94" s="1231"/>
      <c r="Y94" s="1226"/>
      <c r="Z94" s="1227"/>
      <c r="AA94" s="1275"/>
      <c r="AB94" s="1275"/>
      <c r="AC94" s="1212" t="str">
        <f t="shared" si="138"/>
        <v/>
      </c>
      <c r="AD94" s="1213"/>
      <c r="AE94" s="1213"/>
      <c r="AF94" s="1213"/>
      <c r="AG94" s="492" t="str">
        <f t="shared" si="139"/>
        <v/>
      </c>
      <c r="AH94" s="466" t="str">
        <f t="shared" si="140"/>
        <v/>
      </c>
      <c r="AI94" s="466" t="str">
        <f t="shared" si="141"/>
        <v/>
      </c>
      <c r="AJ94" s="466" t="str">
        <f t="shared" si="142"/>
        <v/>
      </c>
      <c r="AK94" s="492" t="str">
        <f t="shared" si="143"/>
        <v>○</v>
      </c>
      <c r="AL94" s="492" t="str">
        <f t="shared" si="144"/>
        <v/>
      </c>
      <c r="AM94" s="492" t="str">
        <f t="shared" si="145"/>
        <v/>
      </c>
      <c r="AN94" s="492" t="str">
        <f t="shared" si="146"/>
        <v/>
      </c>
      <c r="AO94" s="492" t="str">
        <f t="shared" si="147"/>
        <v/>
      </c>
      <c r="AP94" s="492" t="str">
        <f t="shared" si="148"/>
        <v/>
      </c>
      <c r="AQ94" s="492" t="str">
        <f t="shared" si="149"/>
        <v/>
      </c>
      <c r="AR94" s="492" t="str">
        <f t="shared" si="150"/>
        <v/>
      </c>
      <c r="AS94" s="492" t="str">
        <f t="shared" si="151"/>
        <v/>
      </c>
      <c r="AT94" s="492" t="str">
        <f t="shared" si="152"/>
        <v/>
      </c>
      <c r="AU94" s="492" t="str">
        <f t="shared" si="153"/>
        <v/>
      </c>
      <c r="AV94" s="492" t="str">
        <f t="shared" si="154"/>
        <v/>
      </c>
      <c r="AW94" s="492" t="str">
        <f t="shared" si="155"/>
        <v/>
      </c>
      <c r="AX94" s="492" t="str">
        <f t="shared" si="156"/>
        <v/>
      </c>
      <c r="AY94" s="492" t="str">
        <f t="shared" si="157"/>
        <v/>
      </c>
      <c r="AZ94" s="492" t="str">
        <f t="shared" si="158"/>
        <v/>
      </c>
      <c r="BA94" s="492" t="str">
        <f t="shared" si="159"/>
        <v/>
      </c>
      <c r="BB94" s="492" t="str">
        <f t="shared" si="160"/>
        <v/>
      </c>
      <c r="BC94" s="492" t="str">
        <f t="shared" si="161"/>
        <v/>
      </c>
      <c r="BD94" s="492" t="str">
        <f t="shared" si="162"/>
        <v/>
      </c>
      <c r="BE94" s="492" t="str">
        <f t="shared" si="163"/>
        <v/>
      </c>
      <c r="BF94" s="492" t="str">
        <f t="shared" si="164"/>
        <v/>
      </c>
      <c r="BG94" s="492" t="str">
        <f t="shared" si="165"/>
        <v/>
      </c>
      <c r="BH94" s="492" t="str">
        <f t="shared" si="166"/>
        <v/>
      </c>
      <c r="BI94" s="492" t="str">
        <f t="shared" si="167"/>
        <v/>
      </c>
      <c r="BJ94" s="492" t="str">
        <f t="shared" si="168"/>
        <v/>
      </c>
      <c r="BK94" s="492" t="str">
        <f t="shared" si="169"/>
        <v/>
      </c>
      <c r="BL94" s="492" t="str">
        <f t="shared" si="170"/>
        <v/>
      </c>
      <c r="BM94" s="492" t="str">
        <f t="shared" si="171"/>
        <v/>
      </c>
      <c r="BN94" s="492" t="str">
        <f t="shared" si="172"/>
        <v/>
      </c>
      <c r="BO94" s="492" t="str">
        <f t="shared" si="173"/>
        <v/>
      </c>
      <c r="BP94" s="492" t="str">
        <f t="shared" si="174"/>
        <v/>
      </c>
      <c r="BQ94" s="492" t="str">
        <f t="shared" si="175"/>
        <v/>
      </c>
      <c r="BR94" s="492" t="str">
        <f t="shared" si="176"/>
        <v/>
      </c>
      <c r="BS94" s="492" t="str">
        <f t="shared" si="177"/>
        <v/>
      </c>
      <c r="BT94" s="492" t="str">
        <f t="shared" si="178"/>
        <v/>
      </c>
      <c r="BU94" s="492" t="str">
        <f t="shared" si="179"/>
        <v/>
      </c>
      <c r="BV94" s="492" t="str">
        <f t="shared" si="180"/>
        <v/>
      </c>
      <c r="BW94" s="492" t="str">
        <f t="shared" si="181"/>
        <v/>
      </c>
      <c r="BX94" s="492" t="str">
        <f t="shared" si="182"/>
        <v/>
      </c>
      <c r="BY94" s="492" t="str">
        <f t="shared" si="183"/>
        <v/>
      </c>
      <c r="BZ94" s="492" t="str">
        <f t="shared" si="184"/>
        <v/>
      </c>
      <c r="CA94" s="492" t="str">
        <f t="shared" si="185"/>
        <v/>
      </c>
      <c r="CB94" s="492" t="str">
        <f t="shared" si="186"/>
        <v/>
      </c>
      <c r="CC94" s="492" t="str">
        <f t="shared" si="187"/>
        <v/>
      </c>
      <c r="CD94" s="492" t="str">
        <f t="shared" si="188"/>
        <v/>
      </c>
      <c r="CE94" s="492" t="str">
        <f t="shared" si="189"/>
        <v/>
      </c>
      <c r="CF94" s="492" t="str">
        <f t="shared" si="190"/>
        <v/>
      </c>
      <c r="CG94" s="492" t="str">
        <f t="shared" si="191"/>
        <v/>
      </c>
      <c r="CH94" s="492" t="str">
        <f t="shared" si="192"/>
        <v/>
      </c>
      <c r="CI94" s="492" t="str">
        <f t="shared" si="193"/>
        <v/>
      </c>
      <c r="CJ94" s="492" t="str">
        <f t="shared" si="194"/>
        <v/>
      </c>
      <c r="CK94" s="492" t="str">
        <f t="shared" si="195"/>
        <v/>
      </c>
      <c r="CL94" s="492" t="str">
        <f t="shared" si="196"/>
        <v/>
      </c>
      <c r="CM94" s="492" t="str">
        <f t="shared" si="197"/>
        <v/>
      </c>
      <c r="CN94" s="492" t="str">
        <f t="shared" si="198"/>
        <v/>
      </c>
      <c r="CO94" s="492" t="str">
        <f t="shared" si="199"/>
        <v/>
      </c>
      <c r="CP94" s="492" t="str">
        <f t="shared" si="200"/>
        <v/>
      </c>
      <c r="CQ94" s="492" t="str">
        <f t="shared" si="201"/>
        <v/>
      </c>
      <c r="CR94" s="492" t="str">
        <f t="shared" si="202"/>
        <v/>
      </c>
      <c r="CS94" s="492" t="str">
        <f t="shared" si="203"/>
        <v/>
      </c>
      <c r="CT94" s="492" t="str">
        <f t="shared" si="204"/>
        <v/>
      </c>
      <c r="CU94" s="492" t="str">
        <f t="shared" si="205"/>
        <v/>
      </c>
      <c r="CV94" s="492" t="str">
        <f t="shared" si="206"/>
        <v/>
      </c>
      <c r="CW94" s="495">
        <v>1</v>
      </c>
      <c r="CX94" s="496"/>
      <c r="CY94" s="496"/>
      <c r="CZ94" s="496"/>
      <c r="DA94" s="496"/>
      <c r="DB94" s="496"/>
    </row>
    <row r="95" spans="1:106" ht="13.5" customHeight="1">
      <c r="A95" s="1232">
        <v>85</v>
      </c>
      <c r="B95" s="1233"/>
      <c r="C95" s="1230"/>
      <c r="D95" s="1234"/>
      <c r="E95" s="1231"/>
      <c r="F95" s="1230"/>
      <c r="G95" s="1234"/>
      <c r="H95" s="1231"/>
      <c r="I95" s="1230"/>
      <c r="J95" s="1231"/>
      <c r="K95" s="1290"/>
      <c r="L95" s="1291"/>
      <c r="M95" s="1290"/>
      <c r="N95" s="1291"/>
      <c r="O95" s="1290"/>
      <c r="P95" s="1291"/>
      <c r="Q95" s="1230"/>
      <c r="R95" s="1231"/>
      <c r="S95" s="1230"/>
      <c r="T95" s="1231"/>
      <c r="U95" s="1228"/>
      <c r="V95" s="1229"/>
      <c r="W95" s="1230"/>
      <c r="X95" s="1231"/>
      <c r="Y95" s="1226"/>
      <c r="Z95" s="1227"/>
      <c r="AA95" s="1275"/>
      <c r="AB95" s="1275"/>
      <c r="AC95" s="1212" t="str">
        <f t="shared" si="138"/>
        <v/>
      </c>
      <c r="AD95" s="1213"/>
      <c r="AE95" s="1213"/>
      <c r="AF95" s="1213"/>
      <c r="AG95" s="492" t="str">
        <f t="shared" si="139"/>
        <v/>
      </c>
      <c r="AH95" s="466" t="str">
        <f t="shared" si="140"/>
        <v/>
      </c>
      <c r="AI95" s="466" t="str">
        <f t="shared" si="141"/>
        <v/>
      </c>
      <c r="AJ95" s="466" t="str">
        <f t="shared" si="142"/>
        <v/>
      </c>
      <c r="AK95" s="492" t="str">
        <f t="shared" si="143"/>
        <v>○</v>
      </c>
      <c r="AL95" s="492" t="str">
        <f t="shared" si="144"/>
        <v/>
      </c>
      <c r="AM95" s="492" t="str">
        <f t="shared" si="145"/>
        <v/>
      </c>
      <c r="AN95" s="492" t="str">
        <f t="shared" si="146"/>
        <v/>
      </c>
      <c r="AO95" s="492" t="str">
        <f t="shared" si="147"/>
        <v/>
      </c>
      <c r="AP95" s="492" t="str">
        <f t="shared" si="148"/>
        <v/>
      </c>
      <c r="AQ95" s="492" t="str">
        <f t="shared" si="149"/>
        <v/>
      </c>
      <c r="AR95" s="492" t="str">
        <f t="shared" si="150"/>
        <v/>
      </c>
      <c r="AS95" s="492" t="str">
        <f t="shared" si="151"/>
        <v/>
      </c>
      <c r="AT95" s="492" t="str">
        <f t="shared" si="152"/>
        <v/>
      </c>
      <c r="AU95" s="492" t="str">
        <f t="shared" si="153"/>
        <v/>
      </c>
      <c r="AV95" s="492" t="str">
        <f t="shared" si="154"/>
        <v/>
      </c>
      <c r="AW95" s="492" t="str">
        <f t="shared" si="155"/>
        <v/>
      </c>
      <c r="AX95" s="492" t="str">
        <f t="shared" si="156"/>
        <v/>
      </c>
      <c r="AY95" s="492" t="str">
        <f t="shared" si="157"/>
        <v/>
      </c>
      <c r="AZ95" s="492" t="str">
        <f t="shared" si="158"/>
        <v/>
      </c>
      <c r="BA95" s="492" t="str">
        <f t="shared" si="159"/>
        <v/>
      </c>
      <c r="BB95" s="492" t="str">
        <f t="shared" si="160"/>
        <v/>
      </c>
      <c r="BC95" s="492" t="str">
        <f t="shared" si="161"/>
        <v/>
      </c>
      <c r="BD95" s="492" t="str">
        <f t="shared" si="162"/>
        <v/>
      </c>
      <c r="BE95" s="492" t="str">
        <f t="shared" si="163"/>
        <v/>
      </c>
      <c r="BF95" s="492" t="str">
        <f t="shared" si="164"/>
        <v/>
      </c>
      <c r="BG95" s="492" t="str">
        <f t="shared" si="165"/>
        <v/>
      </c>
      <c r="BH95" s="492" t="str">
        <f t="shared" si="166"/>
        <v/>
      </c>
      <c r="BI95" s="492" t="str">
        <f t="shared" si="167"/>
        <v/>
      </c>
      <c r="BJ95" s="492" t="str">
        <f t="shared" si="168"/>
        <v/>
      </c>
      <c r="BK95" s="492" t="str">
        <f t="shared" si="169"/>
        <v/>
      </c>
      <c r="BL95" s="492" t="str">
        <f t="shared" si="170"/>
        <v/>
      </c>
      <c r="BM95" s="492" t="str">
        <f t="shared" si="171"/>
        <v/>
      </c>
      <c r="BN95" s="492" t="str">
        <f t="shared" si="172"/>
        <v/>
      </c>
      <c r="BO95" s="492" t="str">
        <f t="shared" si="173"/>
        <v/>
      </c>
      <c r="BP95" s="492" t="str">
        <f t="shared" si="174"/>
        <v/>
      </c>
      <c r="BQ95" s="492" t="str">
        <f t="shared" si="175"/>
        <v/>
      </c>
      <c r="BR95" s="492" t="str">
        <f t="shared" si="176"/>
        <v/>
      </c>
      <c r="BS95" s="492" t="str">
        <f t="shared" si="177"/>
        <v/>
      </c>
      <c r="BT95" s="492" t="str">
        <f t="shared" si="178"/>
        <v/>
      </c>
      <c r="BU95" s="492" t="str">
        <f t="shared" si="179"/>
        <v/>
      </c>
      <c r="BV95" s="492" t="str">
        <f t="shared" si="180"/>
        <v/>
      </c>
      <c r="BW95" s="492" t="str">
        <f t="shared" si="181"/>
        <v/>
      </c>
      <c r="BX95" s="492" t="str">
        <f t="shared" si="182"/>
        <v/>
      </c>
      <c r="BY95" s="492" t="str">
        <f t="shared" si="183"/>
        <v/>
      </c>
      <c r="BZ95" s="492" t="str">
        <f t="shared" si="184"/>
        <v/>
      </c>
      <c r="CA95" s="492" t="str">
        <f t="shared" si="185"/>
        <v/>
      </c>
      <c r="CB95" s="492" t="str">
        <f t="shared" si="186"/>
        <v/>
      </c>
      <c r="CC95" s="492" t="str">
        <f t="shared" si="187"/>
        <v/>
      </c>
      <c r="CD95" s="492" t="str">
        <f t="shared" si="188"/>
        <v/>
      </c>
      <c r="CE95" s="492" t="str">
        <f t="shared" si="189"/>
        <v/>
      </c>
      <c r="CF95" s="492" t="str">
        <f t="shared" si="190"/>
        <v/>
      </c>
      <c r="CG95" s="492" t="str">
        <f t="shared" si="191"/>
        <v/>
      </c>
      <c r="CH95" s="492" t="str">
        <f t="shared" si="192"/>
        <v/>
      </c>
      <c r="CI95" s="492" t="str">
        <f t="shared" si="193"/>
        <v/>
      </c>
      <c r="CJ95" s="492" t="str">
        <f t="shared" si="194"/>
        <v/>
      </c>
      <c r="CK95" s="492" t="str">
        <f t="shared" si="195"/>
        <v/>
      </c>
      <c r="CL95" s="492" t="str">
        <f t="shared" si="196"/>
        <v/>
      </c>
      <c r="CM95" s="492" t="str">
        <f t="shared" si="197"/>
        <v/>
      </c>
      <c r="CN95" s="492" t="str">
        <f t="shared" si="198"/>
        <v/>
      </c>
      <c r="CO95" s="492" t="str">
        <f t="shared" si="199"/>
        <v/>
      </c>
      <c r="CP95" s="492" t="str">
        <f t="shared" si="200"/>
        <v/>
      </c>
      <c r="CQ95" s="492" t="str">
        <f t="shared" si="201"/>
        <v/>
      </c>
      <c r="CR95" s="492" t="str">
        <f t="shared" si="202"/>
        <v/>
      </c>
      <c r="CS95" s="492" t="str">
        <f t="shared" si="203"/>
        <v/>
      </c>
      <c r="CT95" s="492" t="str">
        <f t="shared" si="204"/>
        <v/>
      </c>
      <c r="CU95" s="492" t="str">
        <f t="shared" si="205"/>
        <v/>
      </c>
      <c r="CV95" s="492" t="str">
        <f t="shared" si="206"/>
        <v/>
      </c>
      <c r="CW95" s="495">
        <v>1</v>
      </c>
      <c r="CX95" s="496"/>
      <c r="CY95" s="496"/>
      <c r="CZ95" s="496"/>
      <c r="DA95" s="496"/>
      <c r="DB95" s="496"/>
    </row>
    <row r="96" spans="1:106" ht="13.5" customHeight="1">
      <c r="A96" s="1232">
        <v>86</v>
      </c>
      <c r="B96" s="1233"/>
      <c r="C96" s="1230"/>
      <c r="D96" s="1234"/>
      <c r="E96" s="1231"/>
      <c r="F96" s="1230"/>
      <c r="G96" s="1234"/>
      <c r="H96" s="1231"/>
      <c r="I96" s="1230"/>
      <c r="J96" s="1231"/>
      <c r="K96" s="1290"/>
      <c r="L96" s="1291"/>
      <c r="M96" s="1290"/>
      <c r="N96" s="1291"/>
      <c r="O96" s="1290"/>
      <c r="P96" s="1291"/>
      <c r="Q96" s="1230"/>
      <c r="R96" s="1231"/>
      <c r="S96" s="1230"/>
      <c r="T96" s="1231"/>
      <c r="U96" s="1228"/>
      <c r="V96" s="1229"/>
      <c r="W96" s="1230"/>
      <c r="X96" s="1231"/>
      <c r="Y96" s="1226"/>
      <c r="Z96" s="1227"/>
      <c r="AA96" s="1275"/>
      <c r="AB96" s="1275"/>
      <c r="AC96" s="1212" t="str">
        <f t="shared" si="138"/>
        <v/>
      </c>
      <c r="AD96" s="1213"/>
      <c r="AE96" s="1213"/>
      <c r="AF96" s="1213"/>
      <c r="AG96" s="492" t="str">
        <f t="shared" si="139"/>
        <v/>
      </c>
      <c r="AH96" s="466" t="str">
        <f t="shared" si="140"/>
        <v/>
      </c>
      <c r="AI96" s="466" t="str">
        <f t="shared" si="141"/>
        <v/>
      </c>
      <c r="AJ96" s="466" t="str">
        <f t="shared" si="142"/>
        <v/>
      </c>
      <c r="AK96" s="492" t="str">
        <f t="shared" si="143"/>
        <v>○</v>
      </c>
      <c r="AL96" s="492" t="str">
        <f t="shared" si="144"/>
        <v/>
      </c>
      <c r="AM96" s="492" t="str">
        <f t="shared" si="145"/>
        <v/>
      </c>
      <c r="AN96" s="492" t="str">
        <f t="shared" si="146"/>
        <v/>
      </c>
      <c r="AO96" s="492" t="str">
        <f t="shared" si="147"/>
        <v/>
      </c>
      <c r="AP96" s="492" t="str">
        <f t="shared" si="148"/>
        <v/>
      </c>
      <c r="AQ96" s="492" t="str">
        <f t="shared" si="149"/>
        <v/>
      </c>
      <c r="AR96" s="492" t="str">
        <f t="shared" si="150"/>
        <v/>
      </c>
      <c r="AS96" s="492" t="str">
        <f t="shared" si="151"/>
        <v/>
      </c>
      <c r="AT96" s="492" t="str">
        <f t="shared" si="152"/>
        <v/>
      </c>
      <c r="AU96" s="492" t="str">
        <f t="shared" si="153"/>
        <v/>
      </c>
      <c r="AV96" s="492" t="str">
        <f t="shared" si="154"/>
        <v/>
      </c>
      <c r="AW96" s="492" t="str">
        <f t="shared" si="155"/>
        <v/>
      </c>
      <c r="AX96" s="492" t="str">
        <f t="shared" si="156"/>
        <v/>
      </c>
      <c r="AY96" s="492" t="str">
        <f t="shared" si="157"/>
        <v/>
      </c>
      <c r="AZ96" s="492" t="str">
        <f t="shared" si="158"/>
        <v/>
      </c>
      <c r="BA96" s="492" t="str">
        <f t="shared" si="159"/>
        <v/>
      </c>
      <c r="BB96" s="492" t="str">
        <f t="shared" si="160"/>
        <v/>
      </c>
      <c r="BC96" s="492" t="str">
        <f t="shared" si="161"/>
        <v/>
      </c>
      <c r="BD96" s="492" t="str">
        <f t="shared" si="162"/>
        <v/>
      </c>
      <c r="BE96" s="492" t="str">
        <f t="shared" si="163"/>
        <v/>
      </c>
      <c r="BF96" s="492" t="str">
        <f t="shared" si="164"/>
        <v/>
      </c>
      <c r="BG96" s="492" t="str">
        <f t="shared" si="165"/>
        <v/>
      </c>
      <c r="BH96" s="492" t="str">
        <f t="shared" si="166"/>
        <v/>
      </c>
      <c r="BI96" s="492" t="str">
        <f t="shared" si="167"/>
        <v/>
      </c>
      <c r="BJ96" s="492" t="str">
        <f t="shared" si="168"/>
        <v/>
      </c>
      <c r="BK96" s="492" t="str">
        <f t="shared" si="169"/>
        <v/>
      </c>
      <c r="BL96" s="492" t="str">
        <f t="shared" si="170"/>
        <v/>
      </c>
      <c r="BM96" s="492" t="str">
        <f t="shared" si="171"/>
        <v/>
      </c>
      <c r="BN96" s="492" t="str">
        <f t="shared" si="172"/>
        <v/>
      </c>
      <c r="BO96" s="492" t="str">
        <f t="shared" si="173"/>
        <v/>
      </c>
      <c r="BP96" s="492" t="str">
        <f t="shared" si="174"/>
        <v/>
      </c>
      <c r="BQ96" s="492" t="str">
        <f t="shared" si="175"/>
        <v/>
      </c>
      <c r="BR96" s="492" t="str">
        <f t="shared" si="176"/>
        <v/>
      </c>
      <c r="BS96" s="492" t="str">
        <f t="shared" si="177"/>
        <v/>
      </c>
      <c r="BT96" s="492" t="str">
        <f t="shared" si="178"/>
        <v/>
      </c>
      <c r="BU96" s="492" t="str">
        <f t="shared" si="179"/>
        <v/>
      </c>
      <c r="BV96" s="492" t="str">
        <f t="shared" si="180"/>
        <v/>
      </c>
      <c r="BW96" s="492" t="str">
        <f t="shared" si="181"/>
        <v/>
      </c>
      <c r="BX96" s="492" t="str">
        <f t="shared" si="182"/>
        <v/>
      </c>
      <c r="BY96" s="492" t="str">
        <f t="shared" si="183"/>
        <v/>
      </c>
      <c r="BZ96" s="492" t="str">
        <f t="shared" si="184"/>
        <v/>
      </c>
      <c r="CA96" s="492" t="str">
        <f t="shared" si="185"/>
        <v/>
      </c>
      <c r="CB96" s="492" t="str">
        <f t="shared" si="186"/>
        <v/>
      </c>
      <c r="CC96" s="492" t="str">
        <f t="shared" si="187"/>
        <v/>
      </c>
      <c r="CD96" s="492" t="str">
        <f t="shared" si="188"/>
        <v/>
      </c>
      <c r="CE96" s="492" t="str">
        <f t="shared" si="189"/>
        <v/>
      </c>
      <c r="CF96" s="492" t="str">
        <f t="shared" si="190"/>
        <v/>
      </c>
      <c r="CG96" s="492" t="str">
        <f t="shared" si="191"/>
        <v/>
      </c>
      <c r="CH96" s="492" t="str">
        <f t="shared" si="192"/>
        <v/>
      </c>
      <c r="CI96" s="492" t="str">
        <f t="shared" si="193"/>
        <v/>
      </c>
      <c r="CJ96" s="492" t="str">
        <f t="shared" si="194"/>
        <v/>
      </c>
      <c r="CK96" s="492" t="str">
        <f t="shared" si="195"/>
        <v/>
      </c>
      <c r="CL96" s="492" t="str">
        <f t="shared" si="196"/>
        <v/>
      </c>
      <c r="CM96" s="492" t="str">
        <f t="shared" si="197"/>
        <v/>
      </c>
      <c r="CN96" s="492" t="str">
        <f t="shared" si="198"/>
        <v/>
      </c>
      <c r="CO96" s="492" t="str">
        <f t="shared" si="199"/>
        <v/>
      </c>
      <c r="CP96" s="492" t="str">
        <f t="shared" si="200"/>
        <v/>
      </c>
      <c r="CQ96" s="492" t="str">
        <f t="shared" si="201"/>
        <v/>
      </c>
      <c r="CR96" s="492" t="str">
        <f t="shared" si="202"/>
        <v/>
      </c>
      <c r="CS96" s="492" t="str">
        <f t="shared" si="203"/>
        <v/>
      </c>
      <c r="CT96" s="492" t="str">
        <f t="shared" si="204"/>
        <v/>
      </c>
      <c r="CU96" s="492" t="str">
        <f t="shared" si="205"/>
        <v/>
      </c>
      <c r="CV96" s="492" t="str">
        <f t="shared" si="206"/>
        <v/>
      </c>
      <c r="CW96" s="495">
        <v>1</v>
      </c>
      <c r="CX96" s="496"/>
      <c r="CY96" s="496"/>
      <c r="CZ96" s="496"/>
      <c r="DA96" s="496"/>
      <c r="DB96" s="496"/>
    </row>
    <row r="97" spans="1:106" ht="13.5" customHeight="1">
      <c r="A97" s="1232">
        <v>87</v>
      </c>
      <c r="B97" s="1233"/>
      <c r="C97" s="1230"/>
      <c r="D97" s="1234"/>
      <c r="E97" s="1231"/>
      <c r="F97" s="1230"/>
      <c r="G97" s="1234"/>
      <c r="H97" s="1231"/>
      <c r="I97" s="1230"/>
      <c r="J97" s="1231"/>
      <c r="K97" s="1290"/>
      <c r="L97" s="1291"/>
      <c r="M97" s="1290"/>
      <c r="N97" s="1291"/>
      <c r="O97" s="1290"/>
      <c r="P97" s="1291"/>
      <c r="Q97" s="1230"/>
      <c r="R97" s="1231"/>
      <c r="S97" s="1230"/>
      <c r="T97" s="1231"/>
      <c r="U97" s="1228"/>
      <c r="V97" s="1229"/>
      <c r="W97" s="1230"/>
      <c r="X97" s="1231"/>
      <c r="Y97" s="1226"/>
      <c r="Z97" s="1227"/>
      <c r="AA97" s="1275"/>
      <c r="AB97" s="1275"/>
      <c r="AC97" s="1212" t="str">
        <f t="shared" si="138"/>
        <v/>
      </c>
      <c r="AD97" s="1213"/>
      <c r="AE97" s="1213"/>
      <c r="AF97" s="1213"/>
      <c r="AG97" s="492" t="str">
        <f t="shared" si="139"/>
        <v/>
      </c>
      <c r="AH97" s="466" t="str">
        <f t="shared" si="140"/>
        <v/>
      </c>
      <c r="AI97" s="466" t="str">
        <f t="shared" si="141"/>
        <v/>
      </c>
      <c r="AJ97" s="466" t="str">
        <f t="shared" si="142"/>
        <v/>
      </c>
      <c r="AK97" s="492" t="str">
        <f t="shared" si="143"/>
        <v>○</v>
      </c>
      <c r="AL97" s="492" t="str">
        <f t="shared" si="144"/>
        <v/>
      </c>
      <c r="AM97" s="492" t="str">
        <f t="shared" si="145"/>
        <v/>
      </c>
      <c r="AN97" s="492" t="str">
        <f t="shared" si="146"/>
        <v/>
      </c>
      <c r="AO97" s="492" t="str">
        <f t="shared" si="147"/>
        <v/>
      </c>
      <c r="AP97" s="492" t="str">
        <f t="shared" si="148"/>
        <v/>
      </c>
      <c r="AQ97" s="492" t="str">
        <f t="shared" si="149"/>
        <v/>
      </c>
      <c r="AR97" s="492" t="str">
        <f t="shared" si="150"/>
        <v/>
      </c>
      <c r="AS97" s="492" t="str">
        <f t="shared" si="151"/>
        <v/>
      </c>
      <c r="AT97" s="492" t="str">
        <f t="shared" si="152"/>
        <v/>
      </c>
      <c r="AU97" s="492" t="str">
        <f t="shared" si="153"/>
        <v/>
      </c>
      <c r="AV97" s="492" t="str">
        <f t="shared" si="154"/>
        <v/>
      </c>
      <c r="AW97" s="492" t="str">
        <f t="shared" si="155"/>
        <v/>
      </c>
      <c r="AX97" s="492" t="str">
        <f t="shared" si="156"/>
        <v/>
      </c>
      <c r="AY97" s="492" t="str">
        <f t="shared" si="157"/>
        <v/>
      </c>
      <c r="AZ97" s="492" t="str">
        <f t="shared" si="158"/>
        <v/>
      </c>
      <c r="BA97" s="492" t="str">
        <f t="shared" si="159"/>
        <v/>
      </c>
      <c r="BB97" s="492" t="str">
        <f t="shared" si="160"/>
        <v/>
      </c>
      <c r="BC97" s="492" t="str">
        <f t="shared" si="161"/>
        <v/>
      </c>
      <c r="BD97" s="492" t="str">
        <f t="shared" si="162"/>
        <v/>
      </c>
      <c r="BE97" s="492" t="str">
        <f t="shared" si="163"/>
        <v/>
      </c>
      <c r="BF97" s="492" t="str">
        <f t="shared" si="164"/>
        <v/>
      </c>
      <c r="BG97" s="492" t="str">
        <f t="shared" si="165"/>
        <v/>
      </c>
      <c r="BH97" s="492" t="str">
        <f t="shared" si="166"/>
        <v/>
      </c>
      <c r="BI97" s="492" t="str">
        <f t="shared" si="167"/>
        <v/>
      </c>
      <c r="BJ97" s="492" t="str">
        <f t="shared" si="168"/>
        <v/>
      </c>
      <c r="BK97" s="492" t="str">
        <f t="shared" si="169"/>
        <v/>
      </c>
      <c r="BL97" s="492" t="str">
        <f t="shared" si="170"/>
        <v/>
      </c>
      <c r="BM97" s="492" t="str">
        <f t="shared" si="171"/>
        <v/>
      </c>
      <c r="BN97" s="492" t="str">
        <f t="shared" si="172"/>
        <v/>
      </c>
      <c r="BO97" s="492" t="str">
        <f t="shared" si="173"/>
        <v/>
      </c>
      <c r="BP97" s="492" t="str">
        <f t="shared" si="174"/>
        <v/>
      </c>
      <c r="BQ97" s="492" t="str">
        <f t="shared" si="175"/>
        <v/>
      </c>
      <c r="BR97" s="492" t="str">
        <f t="shared" si="176"/>
        <v/>
      </c>
      <c r="BS97" s="492" t="str">
        <f t="shared" si="177"/>
        <v/>
      </c>
      <c r="BT97" s="492" t="str">
        <f t="shared" si="178"/>
        <v/>
      </c>
      <c r="BU97" s="492" t="str">
        <f t="shared" si="179"/>
        <v/>
      </c>
      <c r="BV97" s="492" t="str">
        <f t="shared" si="180"/>
        <v/>
      </c>
      <c r="BW97" s="492" t="str">
        <f t="shared" si="181"/>
        <v/>
      </c>
      <c r="BX97" s="492" t="str">
        <f t="shared" si="182"/>
        <v/>
      </c>
      <c r="BY97" s="492" t="str">
        <f t="shared" si="183"/>
        <v/>
      </c>
      <c r="BZ97" s="492" t="str">
        <f t="shared" si="184"/>
        <v/>
      </c>
      <c r="CA97" s="492" t="str">
        <f t="shared" si="185"/>
        <v/>
      </c>
      <c r="CB97" s="492" t="str">
        <f t="shared" si="186"/>
        <v/>
      </c>
      <c r="CC97" s="492" t="str">
        <f t="shared" si="187"/>
        <v/>
      </c>
      <c r="CD97" s="492" t="str">
        <f t="shared" si="188"/>
        <v/>
      </c>
      <c r="CE97" s="492" t="str">
        <f t="shared" si="189"/>
        <v/>
      </c>
      <c r="CF97" s="492" t="str">
        <f t="shared" si="190"/>
        <v/>
      </c>
      <c r="CG97" s="492" t="str">
        <f t="shared" si="191"/>
        <v/>
      </c>
      <c r="CH97" s="492" t="str">
        <f t="shared" si="192"/>
        <v/>
      </c>
      <c r="CI97" s="492" t="str">
        <f t="shared" si="193"/>
        <v/>
      </c>
      <c r="CJ97" s="492" t="str">
        <f t="shared" si="194"/>
        <v/>
      </c>
      <c r="CK97" s="492" t="str">
        <f t="shared" si="195"/>
        <v/>
      </c>
      <c r="CL97" s="492" t="str">
        <f t="shared" si="196"/>
        <v/>
      </c>
      <c r="CM97" s="492" t="str">
        <f t="shared" si="197"/>
        <v/>
      </c>
      <c r="CN97" s="492" t="str">
        <f t="shared" si="198"/>
        <v/>
      </c>
      <c r="CO97" s="492" t="str">
        <f t="shared" si="199"/>
        <v/>
      </c>
      <c r="CP97" s="492" t="str">
        <f t="shared" si="200"/>
        <v/>
      </c>
      <c r="CQ97" s="492" t="str">
        <f t="shared" si="201"/>
        <v/>
      </c>
      <c r="CR97" s="492" t="str">
        <f t="shared" si="202"/>
        <v/>
      </c>
      <c r="CS97" s="492" t="str">
        <f t="shared" si="203"/>
        <v/>
      </c>
      <c r="CT97" s="492" t="str">
        <f t="shared" si="204"/>
        <v/>
      </c>
      <c r="CU97" s="492" t="str">
        <f t="shared" si="205"/>
        <v/>
      </c>
      <c r="CV97" s="492" t="str">
        <f t="shared" si="206"/>
        <v/>
      </c>
      <c r="CW97" s="495">
        <v>1</v>
      </c>
      <c r="CX97" s="496"/>
      <c r="CY97" s="496"/>
      <c r="CZ97" s="496"/>
      <c r="DA97" s="496"/>
      <c r="DB97" s="496"/>
    </row>
    <row r="98" spans="1:106" ht="13.5" customHeight="1">
      <c r="A98" s="1232">
        <v>88</v>
      </c>
      <c r="B98" s="1233"/>
      <c r="C98" s="1230"/>
      <c r="D98" s="1234"/>
      <c r="E98" s="1231"/>
      <c r="F98" s="1230"/>
      <c r="G98" s="1234"/>
      <c r="H98" s="1231"/>
      <c r="I98" s="1230"/>
      <c r="J98" s="1231"/>
      <c r="K98" s="1290"/>
      <c r="L98" s="1291"/>
      <c r="M98" s="1290"/>
      <c r="N98" s="1291"/>
      <c r="O98" s="1290"/>
      <c r="P98" s="1291"/>
      <c r="Q98" s="1230"/>
      <c r="R98" s="1231"/>
      <c r="S98" s="1230"/>
      <c r="T98" s="1231"/>
      <c r="U98" s="1228"/>
      <c r="V98" s="1229"/>
      <c r="W98" s="1230"/>
      <c r="X98" s="1231"/>
      <c r="Y98" s="1226"/>
      <c r="Z98" s="1227"/>
      <c r="AA98" s="1275"/>
      <c r="AB98" s="1275"/>
      <c r="AC98" s="1212" t="str">
        <f t="shared" si="138"/>
        <v/>
      </c>
      <c r="AD98" s="1213"/>
      <c r="AE98" s="1213"/>
      <c r="AF98" s="1213"/>
      <c r="AG98" s="492" t="str">
        <f t="shared" si="139"/>
        <v/>
      </c>
      <c r="AH98" s="466" t="str">
        <f t="shared" si="140"/>
        <v/>
      </c>
      <c r="AI98" s="466" t="str">
        <f t="shared" si="141"/>
        <v/>
      </c>
      <c r="AJ98" s="466" t="str">
        <f t="shared" si="142"/>
        <v/>
      </c>
      <c r="AK98" s="492" t="str">
        <f t="shared" si="143"/>
        <v>○</v>
      </c>
      <c r="AL98" s="492" t="str">
        <f t="shared" si="144"/>
        <v/>
      </c>
      <c r="AM98" s="492" t="str">
        <f t="shared" si="145"/>
        <v/>
      </c>
      <c r="AN98" s="492" t="str">
        <f t="shared" si="146"/>
        <v/>
      </c>
      <c r="AO98" s="492" t="str">
        <f t="shared" si="147"/>
        <v/>
      </c>
      <c r="AP98" s="492" t="str">
        <f t="shared" si="148"/>
        <v/>
      </c>
      <c r="AQ98" s="492" t="str">
        <f t="shared" si="149"/>
        <v/>
      </c>
      <c r="AR98" s="492" t="str">
        <f t="shared" si="150"/>
        <v/>
      </c>
      <c r="AS98" s="492" t="str">
        <f t="shared" si="151"/>
        <v/>
      </c>
      <c r="AT98" s="492" t="str">
        <f t="shared" si="152"/>
        <v/>
      </c>
      <c r="AU98" s="492" t="str">
        <f t="shared" si="153"/>
        <v/>
      </c>
      <c r="AV98" s="492" t="str">
        <f t="shared" si="154"/>
        <v/>
      </c>
      <c r="AW98" s="492" t="str">
        <f t="shared" si="155"/>
        <v/>
      </c>
      <c r="AX98" s="492" t="str">
        <f t="shared" si="156"/>
        <v/>
      </c>
      <c r="AY98" s="492" t="str">
        <f t="shared" si="157"/>
        <v/>
      </c>
      <c r="AZ98" s="492" t="str">
        <f t="shared" si="158"/>
        <v/>
      </c>
      <c r="BA98" s="492" t="str">
        <f t="shared" si="159"/>
        <v/>
      </c>
      <c r="BB98" s="492" t="str">
        <f t="shared" si="160"/>
        <v/>
      </c>
      <c r="BC98" s="492" t="str">
        <f t="shared" si="161"/>
        <v/>
      </c>
      <c r="BD98" s="492" t="str">
        <f t="shared" si="162"/>
        <v/>
      </c>
      <c r="BE98" s="492" t="str">
        <f t="shared" si="163"/>
        <v/>
      </c>
      <c r="BF98" s="492" t="str">
        <f t="shared" si="164"/>
        <v/>
      </c>
      <c r="BG98" s="492" t="str">
        <f t="shared" si="165"/>
        <v/>
      </c>
      <c r="BH98" s="492" t="str">
        <f t="shared" si="166"/>
        <v/>
      </c>
      <c r="BI98" s="492" t="str">
        <f t="shared" si="167"/>
        <v/>
      </c>
      <c r="BJ98" s="492" t="str">
        <f t="shared" si="168"/>
        <v/>
      </c>
      <c r="BK98" s="492" t="str">
        <f t="shared" si="169"/>
        <v/>
      </c>
      <c r="BL98" s="492" t="str">
        <f t="shared" si="170"/>
        <v/>
      </c>
      <c r="BM98" s="492" t="str">
        <f t="shared" si="171"/>
        <v/>
      </c>
      <c r="BN98" s="492" t="str">
        <f t="shared" si="172"/>
        <v/>
      </c>
      <c r="BO98" s="492" t="str">
        <f t="shared" si="173"/>
        <v/>
      </c>
      <c r="BP98" s="492" t="str">
        <f t="shared" si="174"/>
        <v/>
      </c>
      <c r="BQ98" s="492" t="str">
        <f t="shared" si="175"/>
        <v/>
      </c>
      <c r="BR98" s="492" t="str">
        <f t="shared" si="176"/>
        <v/>
      </c>
      <c r="BS98" s="492" t="str">
        <f t="shared" si="177"/>
        <v/>
      </c>
      <c r="BT98" s="492" t="str">
        <f t="shared" si="178"/>
        <v/>
      </c>
      <c r="BU98" s="492" t="str">
        <f t="shared" si="179"/>
        <v/>
      </c>
      <c r="BV98" s="492" t="str">
        <f t="shared" si="180"/>
        <v/>
      </c>
      <c r="BW98" s="492" t="str">
        <f t="shared" si="181"/>
        <v/>
      </c>
      <c r="BX98" s="492" t="str">
        <f t="shared" si="182"/>
        <v/>
      </c>
      <c r="BY98" s="492" t="str">
        <f t="shared" si="183"/>
        <v/>
      </c>
      <c r="BZ98" s="492" t="str">
        <f t="shared" si="184"/>
        <v/>
      </c>
      <c r="CA98" s="492" t="str">
        <f t="shared" si="185"/>
        <v/>
      </c>
      <c r="CB98" s="492" t="str">
        <f t="shared" si="186"/>
        <v/>
      </c>
      <c r="CC98" s="492" t="str">
        <f t="shared" si="187"/>
        <v/>
      </c>
      <c r="CD98" s="492" t="str">
        <f t="shared" si="188"/>
        <v/>
      </c>
      <c r="CE98" s="492" t="str">
        <f t="shared" si="189"/>
        <v/>
      </c>
      <c r="CF98" s="492" t="str">
        <f t="shared" si="190"/>
        <v/>
      </c>
      <c r="CG98" s="492" t="str">
        <f t="shared" si="191"/>
        <v/>
      </c>
      <c r="CH98" s="492" t="str">
        <f t="shared" si="192"/>
        <v/>
      </c>
      <c r="CI98" s="492" t="str">
        <f t="shared" si="193"/>
        <v/>
      </c>
      <c r="CJ98" s="492" t="str">
        <f t="shared" si="194"/>
        <v/>
      </c>
      <c r="CK98" s="492" t="str">
        <f t="shared" si="195"/>
        <v/>
      </c>
      <c r="CL98" s="492" t="str">
        <f t="shared" si="196"/>
        <v/>
      </c>
      <c r="CM98" s="492" t="str">
        <f t="shared" si="197"/>
        <v/>
      </c>
      <c r="CN98" s="492" t="str">
        <f t="shared" si="198"/>
        <v/>
      </c>
      <c r="CO98" s="492" t="str">
        <f t="shared" si="199"/>
        <v/>
      </c>
      <c r="CP98" s="492" t="str">
        <f t="shared" si="200"/>
        <v/>
      </c>
      <c r="CQ98" s="492" t="str">
        <f t="shared" si="201"/>
        <v/>
      </c>
      <c r="CR98" s="492" t="str">
        <f t="shared" si="202"/>
        <v/>
      </c>
      <c r="CS98" s="492" t="str">
        <f t="shared" si="203"/>
        <v/>
      </c>
      <c r="CT98" s="492" t="str">
        <f t="shared" si="204"/>
        <v/>
      </c>
      <c r="CU98" s="492" t="str">
        <f t="shared" si="205"/>
        <v/>
      </c>
      <c r="CV98" s="492" t="str">
        <f t="shared" si="206"/>
        <v/>
      </c>
      <c r="CW98" s="495">
        <v>1</v>
      </c>
      <c r="CX98" s="496"/>
      <c r="CY98" s="496"/>
      <c r="CZ98" s="496"/>
      <c r="DA98" s="496"/>
      <c r="DB98" s="496"/>
    </row>
    <row r="99" spans="1:106" ht="13.5" customHeight="1">
      <c r="A99" s="1232">
        <v>89</v>
      </c>
      <c r="B99" s="1233"/>
      <c r="C99" s="1230"/>
      <c r="D99" s="1234"/>
      <c r="E99" s="1231"/>
      <c r="F99" s="1230"/>
      <c r="G99" s="1234"/>
      <c r="H99" s="1231"/>
      <c r="I99" s="1230"/>
      <c r="J99" s="1231"/>
      <c r="K99" s="1290"/>
      <c r="L99" s="1291"/>
      <c r="M99" s="1290"/>
      <c r="N99" s="1291"/>
      <c r="O99" s="1290"/>
      <c r="P99" s="1291"/>
      <c r="Q99" s="1230"/>
      <c r="R99" s="1231"/>
      <c r="S99" s="1230"/>
      <c r="T99" s="1231"/>
      <c r="U99" s="1228"/>
      <c r="V99" s="1229"/>
      <c r="W99" s="1230"/>
      <c r="X99" s="1231"/>
      <c r="Y99" s="1226"/>
      <c r="Z99" s="1227"/>
      <c r="AA99" s="1275"/>
      <c r="AB99" s="1275"/>
      <c r="AC99" s="1212" t="str">
        <f t="shared" si="138"/>
        <v/>
      </c>
      <c r="AD99" s="1213"/>
      <c r="AE99" s="1213"/>
      <c r="AF99" s="1213"/>
      <c r="AG99" s="492" t="str">
        <f t="shared" si="139"/>
        <v/>
      </c>
      <c r="AH99" s="466" t="str">
        <f t="shared" si="140"/>
        <v/>
      </c>
      <c r="AI99" s="466" t="str">
        <f t="shared" si="141"/>
        <v/>
      </c>
      <c r="AJ99" s="466" t="str">
        <f t="shared" si="142"/>
        <v/>
      </c>
      <c r="AK99" s="492" t="str">
        <f t="shared" si="143"/>
        <v>○</v>
      </c>
      <c r="AL99" s="492" t="str">
        <f t="shared" si="144"/>
        <v/>
      </c>
      <c r="AM99" s="492" t="str">
        <f t="shared" si="145"/>
        <v/>
      </c>
      <c r="AN99" s="492" t="str">
        <f t="shared" si="146"/>
        <v/>
      </c>
      <c r="AO99" s="492" t="str">
        <f t="shared" si="147"/>
        <v/>
      </c>
      <c r="AP99" s="492" t="str">
        <f t="shared" si="148"/>
        <v/>
      </c>
      <c r="AQ99" s="492" t="str">
        <f t="shared" si="149"/>
        <v/>
      </c>
      <c r="AR99" s="492" t="str">
        <f t="shared" si="150"/>
        <v/>
      </c>
      <c r="AS99" s="492" t="str">
        <f t="shared" si="151"/>
        <v/>
      </c>
      <c r="AT99" s="492" t="str">
        <f t="shared" si="152"/>
        <v/>
      </c>
      <c r="AU99" s="492" t="str">
        <f t="shared" si="153"/>
        <v/>
      </c>
      <c r="AV99" s="492" t="str">
        <f t="shared" si="154"/>
        <v/>
      </c>
      <c r="AW99" s="492" t="str">
        <f t="shared" si="155"/>
        <v/>
      </c>
      <c r="AX99" s="492" t="str">
        <f t="shared" si="156"/>
        <v/>
      </c>
      <c r="AY99" s="492" t="str">
        <f t="shared" si="157"/>
        <v/>
      </c>
      <c r="AZ99" s="492" t="str">
        <f t="shared" si="158"/>
        <v/>
      </c>
      <c r="BA99" s="492" t="str">
        <f t="shared" si="159"/>
        <v/>
      </c>
      <c r="BB99" s="492" t="str">
        <f t="shared" si="160"/>
        <v/>
      </c>
      <c r="BC99" s="492" t="str">
        <f t="shared" si="161"/>
        <v/>
      </c>
      <c r="BD99" s="492" t="str">
        <f t="shared" si="162"/>
        <v/>
      </c>
      <c r="BE99" s="492" t="str">
        <f t="shared" si="163"/>
        <v/>
      </c>
      <c r="BF99" s="492" t="str">
        <f t="shared" si="164"/>
        <v/>
      </c>
      <c r="BG99" s="492" t="str">
        <f t="shared" si="165"/>
        <v/>
      </c>
      <c r="BH99" s="492" t="str">
        <f t="shared" si="166"/>
        <v/>
      </c>
      <c r="BI99" s="492" t="str">
        <f t="shared" si="167"/>
        <v/>
      </c>
      <c r="BJ99" s="492" t="str">
        <f t="shared" si="168"/>
        <v/>
      </c>
      <c r="BK99" s="492" t="str">
        <f t="shared" si="169"/>
        <v/>
      </c>
      <c r="BL99" s="492" t="str">
        <f t="shared" si="170"/>
        <v/>
      </c>
      <c r="BM99" s="492" t="str">
        <f t="shared" si="171"/>
        <v/>
      </c>
      <c r="BN99" s="492" t="str">
        <f t="shared" si="172"/>
        <v/>
      </c>
      <c r="BO99" s="492" t="str">
        <f t="shared" si="173"/>
        <v/>
      </c>
      <c r="BP99" s="492" t="str">
        <f t="shared" si="174"/>
        <v/>
      </c>
      <c r="BQ99" s="492" t="str">
        <f t="shared" si="175"/>
        <v/>
      </c>
      <c r="BR99" s="492" t="str">
        <f t="shared" si="176"/>
        <v/>
      </c>
      <c r="BS99" s="492" t="str">
        <f t="shared" si="177"/>
        <v/>
      </c>
      <c r="BT99" s="492" t="str">
        <f t="shared" si="178"/>
        <v/>
      </c>
      <c r="BU99" s="492" t="str">
        <f t="shared" si="179"/>
        <v/>
      </c>
      <c r="BV99" s="492" t="str">
        <f t="shared" si="180"/>
        <v/>
      </c>
      <c r="BW99" s="492" t="str">
        <f t="shared" si="181"/>
        <v/>
      </c>
      <c r="BX99" s="492" t="str">
        <f t="shared" si="182"/>
        <v/>
      </c>
      <c r="BY99" s="492" t="str">
        <f t="shared" si="183"/>
        <v/>
      </c>
      <c r="BZ99" s="492" t="str">
        <f t="shared" si="184"/>
        <v/>
      </c>
      <c r="CA99" s="492" t="str">
        <f t="shared" si="185"/>
        <v/>
      </c>
      <c r="CB99" s="492" t="str">
        <f t="shared" si="186"/>
        <v/>
      </c>
      <c r="CC99" s="492" t="str">
        <f t="shared" si="187"/>
        <v/>
      </c>
      <c r="CD99" s="492" t="str">
        <f t="shared" si="188"/>
        <v/>
      </c>
      <c r="CE99" s="492" t="str">
        <f t="shared" si="189"/>
        <v/>
      </c>
      <c r="CF99" s="492" t="str">
        <f t="shared" si="190"/>
        <v/>
      </c>
      <c r="CG99" s="492" t="str">
        <f t="shared" si="191"/>
        <v/>
      </c>
      <c r="CH99" s="492" t="str">
        <f t="shared" si="192"/>
        <v/>
      </c>
      <c r="CI99" s="492" t="str">
        <f t="shared" si="193"/>
        <v/>
      </c>
      <c r="CJ99" s="492" t="str">
        <f t="shared" si="194"/>
        <v/>
      </c>
      <c r="CK99" s="492" t="str">
        <f t="shared" si="195"/>
        <v/>
      </c>
      <c r="CL99" s="492" t="str">
        <f t="shared" si="196"/>
        <v/>
      </c>
      <c r="CM99" s="492" t="str">
        <f t="shared" si="197"/>
        <v/>
      </c>
      <c r="CN99" s="492" t="str">
        <f t="shared" si="198"/>
        <v/>
      </c>
      <c r="CO99" s="492" t="str">
        <f t="shared" si="199"/>
        <v/>
      </c>
      <c r="CP99" s="492" t="str">
        <f t="shared" si="200"/>
        <v/>
      </c>
      <c r="CQ99" s="492" t="str">
        <f t="shared" si="201"/>
        <v/>
      </c>
      <c r="CR99" s="492" t="str">
        <f t="shared" si="202"/>
        <v/>
      </c>
      <c r="CS99" s="492" t="str">
        <f t="shared" si="203"/>
        <v/>
      </c>
      <c r="CT99" s="492" t="str">
        <f t="shared" si="204"/>
        <v/>
      </c>
      <c r="CU99" s="492" t="str">
        <f t="shared" si="205"/>
        <v/>
      </c>
      <c r="CV99" s="492" t="str">
        <f t="shared" si="206"/>
        <v/>
      </c>
      <c r="CW99" s="495">
        <v>1</v>
      </c>
      <c r="CX99" s="496"/>
      <c r="CY99" s="496"/>
      <c r="CZ99" s="496"/>
      <c r="DA99" s="496"/>
      <c r="DB99" s="496"/>
    </row>
    <row r="100" spans="1:106" ht="13.5" customHeight="1">
      <c r="A100" s="1232">
        <v>90</v>
      </c>
      <c r="B100" s="1233"/>
      <c r="C100" s="1230"/>
      <c r="D100" s="1234"/>
      <c r="E100" s="1231"/>
      <c r="F100" s="1230"/>
      <c r="G100" s="1234"/>
      <c r="H100" s="1231"/>
      <c r="I100" s="1230"/>
      <c r="J100" s="1231"/>
      <c r="K100" s="1290"/>
      <c r="L100" s="1291"/>
      <c r="M100" s="1290"/>
      <c r="N100" s="1291"/>
      <c r="O100" s="1290"/>
      <c r="P100" s="1291"/>
      <c r="Q100" s="1230"/>
      <c r="R100" s="1231"/>
      <c r="S100" s="1230"/>
      <c r="T100" s="1231"/>
      <c r="U100" s="1228"/>
      <c r="V100" s="1229"/>
      <c r="W100" s="1230"/>
      <c r="X100" s="1231"/>
      <c r="Y100" s="1226"/>
      <c r="Z100" s="1227"/>
      <c r="AA100" s="1275"/>
      <c r="AB100" s="1275"/>
      <c r="AC100" s="1212" t="str">
        <f t="shared" si="138"/>
        <v/>
      </c>
      <c r="AD100" s="1213"/>
      <c r="AE100" s="1213"/>
      <c r="AF100" s="1213"/>
      <c r="AG100" s="492" t="str">
        <f t="shared" si="139"/>
        <v/>
      </c>
      <c r="AH100" s="466" t="str">
        <f t="shared" si="140"/>
        <v/>
      </c>
      <c r="AI100" s="466" t="str">
        <f t="shared" si="141"/>
        <v/>
      </c>
      <c r="AJ100" s="466" t="str">
        <f t="shared" si="142"/>
        <v/>
      </c>
      <c r="AK100" s="492" t="str">
        <f t="shared" si="143"/>
        <v>○</v>
      </c>
      <c r="AL100" s="492" t="str">
        <f t="shared" si="144"/>
        <v/>
      </c>
      <c r="AM100" s="492" t="str">
        <f t="shared" si="145"/>
        <v/>
      </c>
      <c r="AN100" s="492" t="str">
        <f t="shared" si="146"/>
        <v/>
      </c>
      <c r="AO100" s="492" t="str">
        <f t="shared" si="147"/>
        <v/>
      </c>
      <c r="AP100" s="492" t="str">
        <f t="shared" si="148"/>
        <v/>
      </c>
      <c r="AQ100" s="492" t="str">
        <f t="shared" si="149"/>
        <v/>
      </c>
      <c r="AR100" s="492" t="str">
        <f t="shared" si="150"/>
        <v/>
      </c>
      <c r="AS100" s="492" t="str">
        <f t="shared" si="151"/>
        <v/>
      </c>
      <c r="AT100" s="492" t="str">
        <f t="shared" si="152"/>
        <v/>
      </c>
      <c r="AU100" s="492" t="str">
        <f t="shared" si="153"/>
        <v/>
      </c>
      <c r="AV100" s="492" t="str">
        <f t="shared" si="154"/>
        <v/>
      </c>
      <c r="AW100" s="492" t="str">
        <f t="shared" si="155"/>
        <v/>
      </c>
      <c r="AX100" s="492" t="str">
        <f t="shared" si="156"/>
        <v/>
      </c>
      <c r="AY100" s="492" t="str">
        <f t="shared" si="157"/>
        <v/>
      </c>
      <c r="AZ100" s="492" t="str">
        <f t="shared" si="158"/>
        <v/>
      </c>
      <c r="BA100" s="492" t="str">
        <f t="shared" si="159"/>
        <v/>
      </c>
      <c r="BB100" s="492" t="str">
        <f t="shared" si="160"/>
        <v/>
      </c>
      <c r="BC100" s="492" t="str">
        <f t="shared" si="161"/>
        <v/>
      </c>
      <c r="BD100" s="492" t="str">
        <f t="shared" si="162"/>
        <v/>
      </c>
      <c r="BE100" s="492" t="str">
        <f t="shared" si="163"/>
        <v/>
      </c>
      <c r="BF100" s="492" t="str">
        <f t="shared" si="164"/>
        <v/>
      </c>
      <c r="BG100" s="492" t="str">
        <f t="shared" si="165"/>
        <v/>
      </c>
      <c r="BH100" s="492" t="str">
        <f t="shared" si="166"/>
        <v/>
      </c>
      <c r="BI100" s="492" t="str">
        <f t="shared" si="167"/>
        <v/>
      </c>
      <c r="BJ100" s="492" t="str">
        <f t="shared" si="168"/>
        <v/>
      </c>
      <c r="BK100" s="492" t="str">
        <f t="shared" si="169"/>
        <v/>
      </c>
      <c r="BL100" s="492" t="str">
        <f t="shared" si="170"/>
        <v/>
      </c>
      <c r="BM100" s="492" t="str">
        <f t="shared" si="171"/>
        <v/>
      </c>
      <c r="BN100" s="492" t="str">
        <f t="shared" si="172"/>
        <v/>
      </c>
      <c r="BO100" s="492" t="str">
        <f t="shared" si="173"/>
        <v/>
      </c>
      <c r="BP100" s="492" t="str">
        <f t="shared" si="174"/>
        <v/>
      </c>
      <c r="BQ100" s="492" t="str">
        <f t="shared" si="175"/>
        <v/>
      </c>
      <c r="BR100" s="492" t="str">
        <f t="shared" si="176"/>
        <v/>
      </c>
      <c r="BS100" s="492" t="str">
        <f t="shared" si="177"/>
        <v/>
      </c>
      <c r="BT100" s="492" t="str">
        <f t="shared" si="178"/>
        <v/>
      </c>
      <c r="BU100" s="492" t="str">
        <f t="shared" si="179"/>
        <v/>
      </c>
      <c r="BV100" s="492" t="str">
        <f t="shared" si="180"/>
        <v/>
      </c>
      <c r="BW100" s="492" t="str">
        <f t="shared" si="181"/>
        <v/>
      </c>
      <c r="BX100" s="492" t="str">
        <f t="shared" si="182"/>
        <v/>
      </c>
      <c r="BY100" s="492" t="str">
        <f t="shared" si="183"/>
        <v/>
      </c>
      <c r="BZ100" s="492" t="str">
        <f t="shared" si="184"/>
        <v/>
      </c>
      <c r="CA100" s="492" t="str">
        <f t="shared" si="185"/>
        <v/>
      </c>
      <c r="CB100" s="492" t="str">
        <f t="shared" si="186"/>
        <v/>
      </c>
      <c r="CC100" s="492" t="str">
        <f t="shared" si="187"/>
        <v/>
      </c>
      <c r="CD100" s="492" t="str">
        <f t="shared" si="188"/>
        <v/>
      </c>
      <c r="CE100" s="492" t="str">
        <f t="shared" si="189"/>
        <v/>
      </c>
      <c r="CF100" s="492" t="str">
        <f t="shared" si="190"/>
        <v/>
      </c>
      <c r="CG100" s="492" t="str">
        <f t="shared" si="191"/>
        <v/>
      </c>
      <c r="CH100" s="492" t="str">
        <f t="shared" si="192"/>
        <v/>
      </c>
      <c r="CI100" s="492" t="str">
        <f t="shared" si="193"/>
        <v/>
      </c>
      <c r="CJ100" s="492" t="str">
        <f t="shared" si="194"/>
        <v/>
      </c>
      <c r="CK100" s="492" t="str">
        <f t="shared" si="195"/>
        <v/>
      </c>
      <c r="CL100" s="492" t="str">
        <f t="shared" si="196"/>
        <v/>
      </c>
      <c r="CM100" s="492" t="str">
        <f t="shared" si="197"/>
        <v/>
      </c>
      <c r="CN100" s="492" t="str">
        <f t="shared" si="198"/>
        <v/>
      </c>
      <c r="CO100" s="492" t="str">
        <f t="shared" si="199"/>
        <v/>
      </c>
      <c r="CP100" s="492" t="str">
        <f t="shared" si="200"/>
        <v/>
      </c>
      <c r="CQ100" s="492" t="str">
        <f t="shared" ref="CQ100:CQ160" si="207">IF(AND(I100="５歳",M100="短時間",O100="分園",U100&gt;0),"○","")</f>
        <v/>
      </c>
      <c r="CR100" s="492" t="str">
        <f t="shared" ref="CR100:CR160" si="208">IF(AND(I100="４歳",M100="短時間",O100="分園",U100&gt;0),"○","")</f>
        <v/>
      </c>
      <c r="CS100" s="492" t="str">
        <f t="shared" ref="CS100:CS160" si="209">IF(AND(I100="３歳",M100="短時間",O100="分園",U100&gt;0),"○","")</f>
        <v/>
      </c>
      <c r="CT100" s="492" t="str">
        <f t="shared" ref="CT100:CT160" si="210">IF(AND(I100="２歳",M100="短時間",O100="分園",U100&gt;0),"○","")</f>
        <v/>
      </c>
      <c r="CU100" s="492" t="str">
        <f t="shared" ref="CU100:CU160" si="211">IF(AND(I100="１歳",M100="短時間",O100="分園",U100&gt;0),"○","")</f>
        <v/>
      </c>
      <c r="CV100" s="492" t="str">
        <f t="shared" ref="CV100:CV160" si="212">IF(AND(I100="乳児",M100="短時間",O100="分園",U100&gt;0),"○","")</f>
        <v/>
      </c>
      <c r="CW100" s="495">
        <v>1</v>
      </c>
      <c r="CX100" s="496"/>
      <c r="CY100" s="496"/>
      <c r="CZ100" s="496"/>
      <c r="DA100" s="496"/>
      <c r="DB100" s="496"/>
    </row>
    <row r="101" spans="1:106" ht="13.5" customHeight="1">
      <c r="A101" s="1232">
        <v>91</v>
      </c>
      <c r="B101" s="1233"/>
      <c r="C101" s="1230"/>
      <c r="D101" s="1234"/>
      <c r="E101" s="1231"/>
      <c r="F101" s="1230"/>
      <c r="G101" s="1234"/>
      <c r="H101" s="1231"/>
      <c r="I101" s="1230"/>
      <c r="J101" s="1231"/>
      <c r="K101" s="1290"/>
      <c r="L101" s="1291"/>
      <c r="M101" s="1290"/>
      <c r="N101" s="1291"/>
      <c r="O101" s="1290"/>
      <c r="P101" s="1291"/>
      <c r="Q101" s="1230"/>
      <c r="R101" s="1231"/>
      <c r="S101" s="1230"/>
      <c r="T101" s="1231"/>
      <c r="U101" s="1228"/>
      <c r="V101" s="1229"/>
      <c r="W101" s="1230"/>
      <c r="X101" s="1231"/>
      <c r="Y101" s="1226"/>
      <c r="Z101" s="1227"/>
      <c r="AA101" s="1275"/>
      <c r="AB101" s="1275"/>
      <c r="AC101" s="1212" t="str">
        <f t="shared" si="138"/>
        <v/>
      </c>
      <c r="AD101" s="1213"/>
      <c r="AE101" s="1213"/>
      <c r="AF101" s="1213"/>
      <c r="AG101" s="492" t="str">
        <f t="shared" si="139"/>
        <v/>
      </c>
      <c r="AH101" s="466" t="str">
        <f t="shared" si="140"/>
        <v/>
      </c>
      <c r="AI101" s="466" t="str">
        <f t="shared" si="141"/>
        <v/>
      </c>
      <c r="AJ101" s="466" t="str">
        <f t="shared" si="142"/>
        <v/>
      </c>
      <c r="AK101" s="492" t="str">
        <f t="shared" si="143"/>
        <v>○</v>
      </c>
      <c r="AL101" s="492" t="str">
        <f t="shared" si="144"/>
        <v/>
      </c>
      <c r="AM101" s="492" t="str">
        <f t="shared" si="145"/>
        <v/>
      </c>
      <c r="AN101" s="492" t="str">
        <f t="shared" si="146"/>
        <v/>
      </c>
      <c r="AO101" s="492" t="str">
        <f t="shared" si="147"/>
        <v/>
      </c>
      <c r="AP101" s="492" t="str">
        <f t="shared" si="148"/>
        <v/>
      </c>
      <c r="AQ101" s="492" t="str">
        <f t="shared" si="149"/>
        <v/>
      </c>
      <c r="AR101" s="492" t="str">
        <f t="shared" si="150"/>
        <v/>
      </c>
      <c r="AS101" s="492" t="str">
        <f t="shared" si="151"/>
        <v/>
      </c>
      <c r="AT101" s="492" t="str">
        <f t="shared" si="152"/>
        <v/>
      </c>
      <c r="AU101" s="492" t="str">
        <f t="shared" si="153"/>
        <v/>
      </c>
      <c r="AV101" s="492" t="str">
        <f t="shared" si="154"/>
        <v/>
      </c>
      <c r="AW101" s="492" t="str">
        <f t="shared" si="155"/>
        <v/>
      </c>
      <c r="AX101" s="492" t="str">
        <f t="shared" si="156"/>
        <v/>
      </c>
      <c r="AY101" s="492" t="str">
        <f t="shared" si="157"/>
        <v/>
      </c>
      <c r="AZ101" s="492" t="str">
        <f t="shared" si="158"/>
        <v/>
      </c>
      <c r="BA101" s="492" t="str">
        <f t="shared" si="159"/>
        <v/>
      </c>
      <c r="BB101" s="492" t="str">
        <f t="shared" si="160"/>
        <v/>
      </c>
      <c r="BC101" s="492" t="str">
        <f t="shared" si="161"/>
        <v/>
      </c>
      <c r="BD101" s="492" t="str">
        <f t="shared" si="162"/>
        <v/>
      </c>
      <c r="BE101" s="492" t="str">
        <f t="shared" si="163"/>
        <v/>
      </c>
      <c r="BF101" s="492" t="str">
        <f t="shared" si="164"/>
        <v/>
      </c>
      <c r="BG101" s="492" t="str">
        <f t="shared" si="165"/>
        <v/>
      </c>
      <c r="BH101" s="492" t="str">
        <f t="shared" si="166"/>
        <v/>
      </c>
      <c r="BI101" s="492" t="str">
        <f t="shared" si="167"/>
        <v/>
      </c>
      <c r="BJ101" s="492" t="str">
        <f t="shared" si="168"/>
        <v/>
      </c>
      <c r="BK101" s="492" t="str">
        <f t="shared" si="169"/>
        <v/>
      </c>
      <c r="BL101" s="492" t="str">
        <f t="shared" si="170"/>
        <v/>
      </c>
      <c r="BM101" s="492" t="str">
        <f t="shared" si="171"/>
        <v/>
      </c>
      <c r="BN101" s="492" t="str">
        <f t="shared" si="172"/>
        <v/>
      </c>
      <c r="BO101" s="492" t="str">
        <f t="shared" si="173"/>
        <v/>
      </c>
      <c r="BP101" s="492" t="str">
        <f t="shared" si="174"/>
        <v/>
      </c>
      <c r="BQ101" s="492" t="str">
        <f t="shared" si="175"/>
        <v/>
      </c>
      <c r="BR101" s="492" t="str">
        <f t="shared" si="176"/>
        <v/>
      </c>
      <c r="BS101" s="492" t="str">
        <f t="shared" si="177"/>
        <v/>
      </c>
      <c r="BT101" s="492" t="str">
        <f t="shared" si="178"/>
        <v/>
      </c>
      <c r="BU101" s="492" t="str">
        <f t="shared" si="179"/>
        <v/>
      </c>
      <c r="BV101" s="492" t="str">
        <f t="shared" si="180"/>
        <v/>
      </c>
      <c r="BW101" s="492" t="str">
        <f t="shared" si="181"/>
        <v/>
      </c>
      <c r="BX101" s="492" t="str">
        <f t="shared" si="182"/>
        <v/>
      </c>
      <c r="BY101" s="492" t="str">
        <f t="shared" si="183"/>
        <v/>
      </c>
      <c r="BZ101" s="492" t="str">
        <f t="shared" si="184"/>
        <v/>
      </c>
      <c r="CA101" s="492" t="str">
        <f t="shared" si="185"/>
        <v/>
      </c>
      <c r="CB101" s="492" t="str">
        <f t="shared" si="186"/>
        <v/>
      </c>
      <c r="CC101" s="492" t="str">
        <f t="shared" si="187"/>
        <v/>
      </c>
      <c r="CD101" s="492" t="str">
        <f t="shared" si="188"/>
        <v/>
      </c>
      <c r="CE101" s="492" t="str">
        <f t="shared" si="189"/>
        <v/>
      </c>
      <c r="CF101" s="492" t="str">
        <f t="shared" si="190"/>
        <v/>
      </c>
      <c r="CG101" s="492" t="str">
        <f t="shared" si="191"/>
        <v/>
      </c>
      <c r="CH101" s="492" t="str">
        <f t="shared" si="192"/>
        <v/>
      </c>
      <c r="CI101" s="492" t="str">
        <f t="shared" si="193"/>
        <v/>
      </c>
      <c r="CJ101" s="492" t="str">
        <f t="shared" si="194"/>
        <v/>
      </c>
      <c r="CK101" s="492" t="str">
        <f t="shared" si="195"/>
        <v/>
      </c>
      <c r="CL101" s="492" t="str">
        <f t="shared" si="196"/>
        <v/>
      </c>
      <c r="CM101" s="492" t="str">
        <f t="shared" si="197"/>
        <v/>
      </c>
      <c r="CN101" s="492" t="str">
        <f t="shared" si="198"/>
        <v/>
      </c>
      <c r="CO101" s="492" t="str">
        <f t="shared" si="199"/>
        <v/>
      </c>
      <c r="CP101" s="492" t="str">
        <f t="shared" si="200"/>
        <v/>
      </c>
      <c r="CQ101" s="492" t="str">
        <f t="shared" si="207"/>
        <v/>
      </c>
      <c r="CR101" s="492" t="str">
        <f t="shared" si="208"/>
        <v/>
      </c>
      <c r="CS101" s="492" t="str">
        <f t="shared" si="209"/>
        <v/>
      </c>
      <c r="CT101" s="492" t="str">
        <f t="shared" si="210"/>
        <v/>
      </c>
      <c r="CU101" s="492" t="str">
        <f t="shared" si="211"/>
        <v/>
      </c>
      <c r="CV101" s="492" t="str">
        <f t="shared" si="212"/>
        <v/>
      </c>
      <c r="CW101" s="495">
        <v>1</v>
      </c>
      <c r="CX101" s="496"/>
      <c r="CY101" s="496"/>
      <c r="CZ101" s="496"/>
      <c r="DA101" s="496"/>
      <c r="DB101" s="496"/>
    </row>
    <row r="102" spans="1:106" ht="13.5" customHeight="1">
      <c r="A102" s="1232">
        <v>92</v>
      </c>
      <c r="B102" s="1233"/>
      <c r="C102" s="1230"/>
      <c r="D102" s="1234"/>
      <c r="E102" s="1231"/>
      <c r="F102" s="1230"/>
      <c r="G102" s="1234"/>
      <c r="H102" s="1231"/>
      <c r="I102" s="1230"/>
      <c r="J102" s="1231"/>
      <c r="K102" s="1290"/>
      <c r="L102" s="1291"/>
      <c r="M102" s="1290"/>
      <c r="N102" s="1291"/>
      <c r="O102" s="1290"/>
      <c r="P102" s="1291"/>
      <c r="Q102" s="1230"/>
      <c r="R102" s="1231"/>
      <c r="S102" s="1230"/>
      <c r="T102" s="1231"/>
      <c r="U102" s="1228"/>
      <c r="V102" s="1229"/>
      <c r="W102" s="1230"/>
      <c r="X102" s="1231"/>
      <c r="Y102" s="1226"/>
      <c r="Z102" s="1227"/>
      <c r="AA102" s="1275"/>
      <c r="AB102" s="1275"/>
      <c r="AC102" s="1212" t="str">
        <f t="shared" si="138"/>
        <v/>
      </c>
      <c r="AD102" s="1213"/>
      <c r="AE102" s="1213"/>
      <c r="AF102" s="1213"/>
      <c r="AG102" s="492" t="str">
        <f t="shared" si="139"/>
        <v/>
      </c>
      <c r="AH102" s="466" t="str">
        <f t="shared" si="140"/>
        <v/>
      </c>
      <c r="AI102" s="466" t="str">
        <f t="shared" si="141"/>
        <v/>
      </c>
      <c r="AJ102" s="466" t="str">
        <f t="shared" si="142"/>
        <v/>
      </c>
      <c r="AK102" s="492" t="str">
        <f t="shared" si="143"/>
        <v>○</v>
      </c>
      <c r="AL102" s="492" t="str">
        <f t="shared" si="144"/>
        <v/>
      </c>
      <c r="AM102" s="492" t="str">
        <f t="shared" si="145"/>
        <v/>
      </c>
      <c r="AN102" s="492" t="str">
        <f t="shared" si="146"/>
        <v/>
      </c>
      <c r="AO102" s="492" t="str">
        <f t="shared" si="147"/>
        <v/>
      </c>
      <c r="AP102" s="492" t="str">
        <f t="shared" si="148"/>
        <v/>
      </c>
      <c r="AQ102" s="492" t="str">
        <f t="shared" si="149"/>
        <v/>
      </c>
      <c r="AR102" s="492" t="str">
        <f t="shared" si="150"/>
        <v/>
      </c>
      <c r="AS102" s="492" t="str">
        <f t="shared" si="151"/>
        <v/>
      </c>
      <c r="AT102" s="492" t="str">
        <f t="shared" si="152"/>
        <v/>
      </c>
      <c r="AU102" s="492" t="str">
        <f t="shared" si="153"/>
        <v/>
      </c>
      <c r="AV102" s="492" t="str">
        <f t="shared" si="154"/>
        <v/>
      </c>
      <c r="AW102" s="492" t="str">
        <f t="shared" si="155"/>
        <v/>
      </c>
      <c r="AX102" s="492" t="str">
        <f t="shared" si="156"/>
        <v/>
      </c>
      <c r="AY102" s="492" t="str">
        <f t="shared" si="157"/>
        <v/>
      </c>
      <c r="AZ102" s="492" t="str">
        <f t="shared" si="158"/>
        <v/>
      </c>
      <c r="BA102" s="492" t="str">
        <f t="shared" si="159"/>
        <v/>
      </c>
      <c r="BB102" s="492" t="str">
        <f t="shared" si="160"/>
        <v/>
      </c>
      <c r="BC102" s="492" t="str">
        <f t="shared" si="161"/>
        <v/>
      </c>
      <c r="BD102" s="492" t="str">
        <f t="shared" si="162"/>
        <v/>
      </c>
      <c r="BE102" s="492" t="str">
        <f t="shared" si="163"/>
        <v/>
      </c>
      <c r="BF102" s="492" t="str">
        <f t="shared" si="164"/>
        <v/>
      </c>
      <c r="BG102" s="492" t="str">
        <f t="shared" si="165"/>
        <v/>
      </c>
      <c r="BH102" s="492" t="str">
        <f t="shared" si="166"/>
        <v/>
      </c>
      <c r="BI102" s="492" t="str">
        <f t="shared" si="167"/>
        <v/>
      </c>
      <c r="BJ102" s="492" t="str">
        <f t="shared" si="168"/>
        <v/>
      </c>
      <c r="BK102" s="492" t="str">
        <f t="shared" si="169"/>
        <v/>
      </c>
      <c r="BL102" s="492" t="str">
        <f t="shared" si="170"/>
        <v/>
      </c>
      <c r="BM102" s="492" t="str">
        <f t="shared" si="171"/>
        <v/>
      </c>
      <c r="BN102" s="492" t="str">
        <f t="shared" si="172"/>
        <v/>
      </c>
      <c r="BO102" s="492" t="str">
        <f t="shared" si="173"/>
        <v/>
      </c>
      <c r="BP102" s="492" t="str">
        <f t="shared" si="174"/>
        <v/>
      </c>
      <c r="BQ102" s="492" t="str">
        <f t="shared" si="175"/>
        <v/>
      </c>
      <c r="BR102" s="492" t="str">
        <f t="shared" si="176"/>
        <v/>
      </c>
      <c r="BS102" s="492" t="str">
        <f t="shared" si="177"/>
        <v/>
      </c>
      <c r="BT102" s="492" t="str">
        <f t="shared" si="178"/>
        <v/>
      </c>
      <c r="BU102" s="492" t="str">
        <f t="shared" si="179"/>
        <v/>
      </c>
      <c r="BV102" s="492" t="str">
        <f t="shared" si="180"/>
        <v/>
      </c>
      <c r="BW102" s="492" t="str">
        <f t="shared" si="181"/>
        <v/>
      </c>
      <c r="BX102" s="492" t="str">
        <f t="shared" si="182"/>
        <v/>
      </c>
      <c r="BY102" s="492" t="str">
        <f t="shared" si="183"/>
        <v/>
      </c>
      <c r="BZ102" s="492" t="str">
        <f t="shared" si="184"/>
        <v/>
      </c>
      <c r="CA102" s="492" t="str">
        <f t="shared" si="185"/>
        <v/>
      </c>
      <c r="CB102" s="492" t="str">
        <f t="shared" si="186"/>
        <v/>
      </c>
      <c r="CC102" s="492" t="str">
        <f t="shared" si="187"/>
        <v/>
      </c>
      <c r="CD102" s="492" t="str">
        <f t="shared" si="188"/>
        <v/>
      </c>
      <c r="CE102" s="492" t="str">
        <f t="shared" si="189"/>
        <v/>
      </c>
      <c r="CF102" s="492" t="str">
        <f t="shared" si="190"/>
        <v/>
      </c>
      <c r="CG102" s="492" t="str">
        <f t="shared" si="191"/>
        <v/>
      </c>
      <c r="CH102" s="492" t="str">
        <f t="shared" si="192"/>
        <v/>
      </c>
      <c r="CI102" s="492" t="str">
        <f t="shared" si="193"/>
        <v/>
      </c>
      <c r="CJ102" s="492" t="str">
        <f t="shared" si="194"/>
        <v/>
      </c>
      <c r="CK102" s="492" t="str">
        <f t="shared" si="195"/>
        <v/>
      </c>
      <c r="CL102" s="492" t="str">
        <f t="shared" si="196"/>
        <v/>
      </c>
      <c r="CM102" s="492" t="str">
        <f t="shared" si="197"/>
        <v/>
      </c>
      <c r="CN102" s="492" t="str">
        <f t="shared" si="198"/>
        <v/>
      </c>
      <c r="CO102" s="492" t="str">
        <f t="shared" si="199"/>
        <v/>
      </c>
      <c r="CP102" s="492" t="str">
        <f t="shared" si="200"/>
        <v/>
      </c>
      <c r="CQ102" s="492" t="str">
        <f t="shared" si="207"/>
        <v/>
      </c>
      <c r="CR102" s="492" t="str">
        <f t="shared" si="208"/>
        <v/>
      </c>
      <c r="CS102" s="492" t="str">
        <f t="shared" si="209"/>
        <v/>
      </c>
      <c r="CT102" s="492" t="str">
        <f t="shared" si="210"/>
        <v/>
      </c>
      <c r="CU102" s="492" t="str">
        <f t="shared" si="211"/>
        <v/>
      </c>
      <c r="CV102" s="492" t="str">
        <f t="shared" si="212"/>
        <v/>
      </c>
      <c r="CW102" s="495">
        <v>1</v>
      </c>
      <c r="CX102" s="496"/>
      <c r="CY102" s="496"/>
      <c r="CZ102" s="496"/>
      <c r="DA102" s="496"/>
      <c r="DB102" s="496"/>
    </row>
    <row r="103" spans="1:106" ht="13.5" customHeight="1">
      <c r="A103" s="1232">
        <v>93</v>
      </c>
      <c r="B103" s="1233"/>
      <c r="C103" s="1230"/>
      <c r="D103" s="1234"/>
      <c r="E103" s="1231"/>
      <c r="F103" s="1230"/>
      <c r="G103" s="1234"/>
      <c r="H103" s="1231"/>
      <c r="I103" s="1230"/>
      <c r="J103" s="1231"/>
      <c r="K103" s="1290"/>
      <c r="L103" s="1291"/>
      <c r="M103" s="1290"/>
      <c r="N103" s="1291"/>
      <c r="O103" s="1290"/>
      <c r="P103" s="1291"/>
      <c r="Q103" s="1230"/>
      <c r="R103" s="1231"/>
      <c r="S103" s="1230"/>
      <c r="T103" s="1231"/>
      <c r="U103" s="1228"/>
      <c r="V103" s="1229"/>
      <c r="W103" s="1230"/>
      <c r="X103" s="1231"/>
      <c r="Y103" s="1226"/>
      <c r="Z103" s="1227"/>
      <c r="AA103" s="1275"/>
      <c r="AB103" s="1275"/>
      <c r="AC103" s="1212" t="str">
        <f t="shared" si="138"/>
        <v/>
      </c>
      <c r="AD103" s="1213"/>
      <c r="AE103" s="1213"/>
      <c r="AF103" s="1213"/>
      <c r="AG103" s="492" t="str">
        <f t="shared" si="139"/>
        <v/>
      </c>
      <c r="AH103" s="466" t="str">
        <f t="shared" si="140"/>
        <v/>
      </c>
      <c r="AI103" s="466" t="str">
        <f t="shared" si="141"/>
        <v/>
      </c>
      <c r="AJ103" s="466" t="str">
        <f t="shared" si="142"/>
        <v/>
      </c>
      <c r="AK103" s="492" t="str">
        <f t="shared" si="143"/>
        <v>○</v>
      </c>
      <c r="AL103" s="492" t="str">
        <f t="shared" si="144"/>
        <v/>
      </c>
      <c r="AM103" s="492" t="str">
        <f t="shared" si="145"/>
        <v/>
      </c>
      <c r="AN103" s="492" t="str">
        <f t="shared" si="146"/>
        <v/>
      </c>
      <c r="AO103" s="492" t="str">
        <f t="shared" si="147"/>
        <v/>
      </c>
      <c r="AP103" s="492" t="str">
        <f t="shared" si="148"/>
        <v/>
      </c>
      <c r="AQ103" s="492" t="str">
        <f t="shared" si="149"/>
        <v/>
      </c>
      <c r="AR103" s="492" t="str">
        <f t="shared" si="150"/>
        <v/>
      </c>
      <c r="AS103" s="492" t="str">
        <f t="shared" si="151"/>
        <v/>
      </c>
      <c r="AT103" s="492" t="str">
        <f t="shared" si="152"/>
        <v/>
      </c>
      <c r="AU103" s="492" t="str">
        <f t="shared" si="153"/>
        <v/>
      </c>
      <c r="AV103" s="492" t="str">
        <f t="shared" si="154"/>
        <v/>
      </c>
      <c r="AW103" s="492" t="str">
        <f t="shared" si="155"/>
        <v/>
      </c>
      <c r="AX103" s="492" t="str">
        <f t="shared" si="156"/>
        <v/>
      </c>
      <c r="AY103" s="492" t="str">
        <f t="shared" si="157"/>
        <v/>
      </c>
      <c r="AZ103" s="492" t="str">
        <f t="shared" si="158"/>
        <v/>
      </c>
      <c r="BA103" s="492" t="str">
        <f t="shared" si="159"/>
        <v/>
      </c>
      <c r="BB103" s="492" t="str">
        <f t="shared" si="160"/>
        <v/>
      </c>
      <c r="BC103" s="492" t="str">
        <f t="shared" si="161"/>
        <v/>
      </c>
      <c r="BD103" s="492" t="str">
        <f t="shared" si="162"/>
        <v/>
      </c>
      <c r="BE103" s="492" t="str">
        <f t="shared" si="163"/>
        <v/>
      </c>
      <c r="BF103" s="492" t="str">
        <f t="shared" si="164"/>
        <v/>
      </c>
      <c r="BG103" s="492" t="str">
        <f t="shared" si="165"/>
        <v/>
      </c>
      <c r="BH103" s="492" t="str">
        <f t="shared" si="166"/>
        <v/>
      </c>
      <c r="BI103" s="492" t="str">
        <f t="shared" si="167"/>
        <v/>
      </c>
      <c r="BJ103" s="492" t="str">
        <f t="shared" si="168"/>
        <v/>
      </c>
      <c r="BK103" s="492" t="str">
        <f t="shared" si="169"/>
        <v/>
      </c>
      <c r="BL103" s="492" t="str">
        <f t="shared" si="170"/>
        <v/>
      </c>
      <c r="BM103" s="492" t="str">
        <f t="shared" si="171"/>
        <v/>
      </c>
      <c r="BN103" s="492" t="str">
        <f t="shared" si="172"/>
        <v/>
      </c>
      <c r="BO103" s="492" t="str">
        <f t="shared" si="173"/>
        <v/>
      </c>
      <c r="BP103" s="492" t="str">
        <f t="shared" si="174"/>
        <v/>
      </c>
      <c r="BQ103" s="492" t="str">
        <f t="shared" si="175"/>
        <v/>
      </c>
      <c r="BR103" s="492" t="str">
        <f t="shared" si="176"/>
        <v/>
      </c>
      <c r="BS103" s="492" t="str">
        <f t="shared" si="177"/>
        <v/>
      </c>
      <c r="BT103" s="492" t="str">
        <f t="shared" si="178"/>
        <v/>
      </c>
      <c r="BU103" s="492" t="str">
        <f t="shared" si="179"/>
        <v/>
      </c>
      <c r="BV103" s="492" t="str">
        <f t="shared" si="180"/>
        <v/>
      </c>
      <c r="BW103" s="492" t="str">
        <f t="shared" si="181"/>
        <v/>
      </c>
      <c r="BX103" s="492" t="str">
        <f t="shared" si="182"/>
        <v/>
      </c>
      <c r="BY103" s="492" t="str">
        <f t="shared" si="183"/>
        <v/>
      </c>
      <c r="BZ103" s="492" t="str">
        <f t="shared" si="184"/>
        <v/>
      </c>
      <c r="CA103" s="492" t="str">
        <f t="shared" si="185"/>
        <v/>
      </c>
      <c r="CB103" s="492" t="str">
        <f t="shared" si="186"/>
        <v/>
      </c>
      <c r="CC103" s="492" t="str">
        <f t="shared" si="187"/>
        <v/>
      </c>
      <c r="CD103" s="492" t="str">
        <f t="shared" si="188"/>
        <v/>
      </c>
      <c r="CE103" s="492" t="str">
        <f t="shared" si="189"/>
        <v/>
      </c>
      <c r="CF103" s="492" t="str">
        <f t="shared" si="190"/>
        <v/>
      </c>
      <c r="CG103" s="492" t="str">
        <f t="shared" si="191"/>
        <v/>
      </c>
      <c r="CH103" s="492" t="str">
        <f t="shared" si="192"/>
        <v/>
      </c>
      <c r="CI103" s="492" t="str">
        <f t="shared" si="193"/>
        <v/>
      </c>
      <c r="CJ103" s="492" t="str">
        <f t="shared" si="194"/>
        <v/>
      </c>
      <c r="CK103" s="492" t="str">
        <f t="shared" si="195"/>
        <v/>
      </c>
      <c r="CL103" s="492" t="str">
        <f t="shared" si="196"/>
        <v/>
      </c>
      <c r="CM103" s="492" t="str">
        <f t="shared" si="197"/>
        <v/>
      </c>
      <c r="CN103" s="492" t="str">
        <f t="shared" si="198"/>
        <v/>
      </c>
      <c r="CO103" s="492" t="str">
        <f t="shared" si="199"/>
        <v/>
      </c>
      <c r="CP103" s="492" t="str">
        <f t="shared" si="200"/>
        <v/>
      </c>
      <c r="CQ103" s="492" t="str">
        <f t="shared" si="207"/>
        <v/>
      </c>
      <c r="CR103" s="492" t="str">
        <f t="shared" si="208"/>
        <v/>
      </c>
      <c r="CS103" s="492" t="str">
        <f t="shared" si="209"/>
        <v/>
      </c>
      <c r="CT103" s="492" t="str">
        <f t="shared" si="210"/>
        <v/>
      </c>
      <c r="CU103" s="492" t="str">
        <f t="shared" si="211"/>
        <v/>
      </c>
      <c r="CV103" s="492" t="str">
        <f t="shared" si="212"/>
        <v/>
      </c>
      <c r="CW103" s="495">
        <v>1</v>
      </c>
      <c r="CX103" s="496"/>
      <c r="CY103" s="496"/>
      <c r="CZ103" s="496"/>
      <c r="DA103" s="496"/>
      <c r="DB103" s="496"/>
    </row>
    <row r="104" spans="1:106" ht="13.5" customHeight="1">
      <c r="A104" s="1232">
        <v>94</v>
      </c>
      <c r="B104" s="1233"/>
      <c r="C104" s="1230"/>
      <c r="D104" s="1234"/>
      <c r="E104" s="1231"/>
      <c r="F104" s="1230"/>
      <c r="G104" s="1234"/>
      <c r="H104" s="1231"/>
      <c r="I104" s="1230"/>
      <c r="J104" s="1231"/>
      <c r="K104" s="1290"/>
      <c r="L104" s="1291"/>
      <c r="M104" s="1290"/>
      <c r="N104" s="1291"/>
      <c r="O104" s="1290"/>
      <c r="P104" s="1291"/>
      <c r="Q104" s="1230"/>
      <c r="R104" s="1231"/>
      <c r="S104" s="1230"/>
      <c r="T104" s="1231"/>
      <c r="U104" s="1228"/>
      <c r="V104" s="1229"/>
      <c r="W104" s="1230"/>
      <c r="X104" s="1231"/>
      <c r="Y104" s="1226"/>
      <c r="Z104" s="1227"/>
      <c r="AA104" s="1275"/>
      <c r="AB104" s="1275"/>
      <c r="AC104" s="1212" t="str">
        <f t="shared" si="138"/>
        <v/>
      </c>
      <c r="AD104" s="1213"/>
      <c r="AE104" s="1213"/>
      <c r="AF104" s="1213"/>
      <c r="AG104" s="492" t="str">
        <f t="shared" si="139"/>
        <v/>
      </c>
      <c r="AH104" s="466" t="str">
        <f t="shared" si="140"/>
        <v/>
      </c>
      <c r="AI104" s="466" t="str">
        <f t="shared" si="141"/>
        <v/>
      </c>
      <c r="AJ104" s="466" t="str">
        <f t="shared" si="142"/>
        <v/>
      </c>
      <c r="AK104" s="492" t="str">
        <f t="shared" si="143"/>
        <v>○</v>
      </c>
      <c r="AL104" s="492" t="str">
        <f t="shared" si="144"/>
        <v/>
      </c>
      <c r="AM104" s="492" t="str">
        <f t="shared" si="145"/>
        <v/>
      </c>
      <c r="AN104" s="492" t="str">
        <f t="shared" si="146"/>
        <v/>
      </c>
      <c r="AO104" s="492" t="str">
        <f t="shared" si="147"/>
        <v/>
      </c>
      <c r="AP104" s="492" t="str">
        <f t="shared" si="148"/>
        <v/>
      </c>
      <c r="AQ104" s="492" t="str">
        <f t="shared" si="149"/>
        <v/>
      </c>
      <c r="AR104" s="492" t="str">
        <f t="shared" si="150"/>
        <v/>
      </c>
      <c r="AS104" s="492" t="str">
        <f t="shared" si="151"/>
        <v/>
      </c>
      <c r="AT104" s="492" t="str">
        <f t="shared" si="152"/>
        <v/>
      </c>
      <c r="AU104" s="492" t="str">
        <f t="shared" si="153"/>
        <v/>
      </c>
      <c r="AV104" s="492" t="str">
        <f t="shared" si="154"/>
        <v/>
      </c>
      <c r="AW104" s="492" t="str">
        <f t="shared" si="155"/>
        <v/>
      </c>
      <c r="AX104" s="492" t="str">
        <f t="shared" si="156"/>
        <v/>
      </c>
      <c r="AY104" s="492" t="str">
        <f t="shared" si="157"/>
        <v/>
      </c>
      <c r="AZ104" s="492" t="str">
        <f t="shared" si="158"/>
        <v/>
      </c>
      <c r="BA104" s="492" t="str">
        <f t="shared" si="159"/>
        <v/>
      </c>
      <c r="BB104" s="492" t="str">
        <f t="shared" si="160"/>
        <v/>
      </c>
      <c r="BC104" s="492" t="str">
        <f t="shared" si="161"/>
        <v/>
      </c>
      <c r="BD104" s="492" t="str">
        <f t="shared" si="162"/>
        <v/>
      </c>
      <c r="BE104" s="492" t="str">
        <f t="shared" si="163"/>
        <v/>
      </c>
      <c r="BF104" s="492" t="str">
        <f t="shared" si="164"/>
        <v/>
      </c>
      <c r="BG104" s="492" t="str">
        <f t="shared" si="165"/>
        <v/>
      </c>
      <c r="BH104" s="492" t="str">
        <f t="shared" si="166"/>
        <v/>
      </c>
      <c r="BI104" s="492" t="str">
        <f t="shared" si="167"/>
        <v/>
      </c>
      <c r="BJ104" s="492" t="str">
        <f t="shared" si="168"/>
        <v/>
      </c>
      <c r="BK104" s="492" t="str">
        <f t="shared" si="169"/>
        <v/>
      </c>
      <c r="BL104" s="492" t="str">
        <f t="shared" si="170"/>
        <v/>
      </c>
      <c r="BM104" s="492" t="str">
        <f t="shared" si="171"/>
        <v/>
      </c>
      <c r="BN104" s="492" t="str">
        <f t="shared" si="172"/>
        <v/>
      </c>
      <c r="BO104" s="492" t="str">
        <f t="shared" si="173"/>
        <v/>
      </c>
      <c r="BP104" s="492" t="str">
        <f t="shared" si="174"/>
        <v/>
      </c>
      <c r="BQ104" s="492" t="str">
        <f t="shared" si="175"/>
        <v/>
      </c>
      <c r="BR104" s="492" t="str">
        <f t="shared" si="176"/>
        <v/>
      </c>
      <c r="BS104" s="492" t="str">
        <f t="shared" si="177"/>
        <v/>
      </c>
      <c r="BT104" s="492" t="str">
        <f t="shared" si="178"/>
        <v/>
      </c>
      <c r="BU104" s="492" t="str">
        <f t="shared" si="179"/>
        <v/>
      </c>
      <c r="BV104" s="492" t="str">
        <f t="shared" si="180"/>
        <v/>
      </c>
      <c r="BW104" s="492" t="str">
        <f t="shared" si="181"/>
        <v/>
      </c>
      <c r="BX104" s="492" t="str">
        <f t="shared" si="182"/>
        <v/>
      </c>
      <c r="BY104" s="492" t="str">
        <f t="shared" si="183"/>
        <v/>
      </c>
      <c r="BZ104" s="492" t="str">
        <f t="shared" si="184"/>
        <v/>
      </c>
      <c r="CA104" s="492" t="str">
        <f t="shared" si="185"/>
        <v/>
      </c>
      <c r="CB104" s="492" t="str">
        <f t="shared" si="186"/>
        <v/>
      </c>
      <c r="CC104" s="492" t="str">
        <f t="shared" si="187"/>
        <v/>
      </c>
      <c r="CD104" s="492" t="str">
        <f t="shared" si="188"/>
        <v/>
      </c>
      <c r="CE104" s="492" t="str">
        <f t="shared" si="189"/>
        <v/>
      </c>
      <c r="CF104" s="492" t="str">
        <f t="shared" si="190"/>
        <v/>
      </c>
      <c r="CG104" s="492" t="str">
        <f t="shared" si="191"/>
        <v/>
      </c>
      <c r="CH104" s="492" t="str">
        <f t="shared" si="192"/>
        <v/>
      </c>
      <c r="CI104" s="492" t="str">
        <f t="shared" si="193"/>
        <v/>
      </c>
      <c r="CJ104" s="492" t="str">
        <f t="shared" si="194"/>
        <v/>
      </c>
      <c r="CK104" s="492" t="str">
        <f t="shared" si="195"/>
        <v/>
      </c>
      <c r="CL104" s="492" t="str">
        <f t="shared" si="196"/>
        <v/>
      </c>
      <c r="CM104" s="492" t="str">
        <f t="shared" si="197"/>
        <v/>
      </c>
      <c r="CN104" s="492" t="str">
        <f t="shared" si="198"/>
        <v/>
      </c>
      <c r="CO104" s="492" t="str">
        <f t="shared" si="199"/>
        <v/>
      </c>
      <c r="CP104" s="492" t="str">
        <f t="shared" si="200"/>
        <v/>
      </c>
      <c r="CQ104" s="492" t="str">
        <f t="shared" si="207"/>
        <v/>
      </c>
      <c r="CR104" s="492" t="str">
        <f t="shared" si="208"/>
        <v/>
      </c>
      <c r="CS104" s="492" t="str">
        <f t="shared" si="209"/>
        <v/>
      </c>
      <c r="CT104" s="492" t="str">
        <f t="shared" si="210"/>
        <v/>
      </c>
      <c r="CU104" s="492" t="str">
        <f t="shared" si="211"/>
        <v/>
      </c>
      <c r="CV104" s="492" t="str">
        <f t="shared" si="212"/>
        <v/>
      </c>
      <c r="CW104" s="495">
        <v>1</v>
      </c>
      <c r="CX104" s="496"/>
      <c r="CY104" s="496"/>
      <c r="CZ104" s="496"/>
      <c r="DA104" s="496"/>
      <c r="DB104" s="496"/>
    </row>
    <row r="105" spans="1:106" ht="13.5" customHeight="1">
      <c r="A105" s="1232">
        <v>95</v>
      </c>
      <c r="B105" s="1233"/>
      <c r="C105" s="1230"/>
      <c r="D105" s="1234"/>
      <c r="E105" s="1231"/>
      <c r="F105" s="1230"/>
      <c r="G105" s="1234"/>
      <c r="H105" s="1231"/>
      <c r="I105" s="1230"/>
      <c r="J105" s="1231"/>
      <c r="K105" s="1290"/>
      <c r="L105" s="1291"/>
      <c r="M105" s="1290"/>
      <c r="N105" s="1291"/>
      <c r="O105" s="1290"/>
      <c r="P105" s="1291"/>
      <c r="Q105" s="1230"/>
      <c r="R105" s="1231"/>
      <c r="S105" s="1230"/>
      <c r="T105" s="1231"/>
      <c r="U105" s="1228"/>
      <c r="V105" s="1229"/>
      <c r="W105" s="1230"/>
      <c r="X105" s="1231"/>
      <c r="Y105" s="1226"/>
      <c r="Z105" s="1227"/>
      <c r="AA105" s="1275"/>
      <c r="AB105" s="1275"/>
      <c r="AC105" s="1212" t="str">
        <f t="shared" si="138"/>
        <v/>
      </c>
      <c r="AD105" s="1213"/>
      <c r="AE105" s="1213"/>
      <c r="AF105" s="1213"/>
      <c r="AG105" s="492" t="str">
        <f t="shared" si="139"/>
        <v/>
      </c>
      <c r="AH105" s="466" t="str">
        <f t="shared" si="140"/>
        <v/>
      </c>
      <c r="AI105" s="466" t="str">
        <f t="shared" si="141"/>
        <v/>
      </c>
      <c r="AJ105" s="466" t="str">
        <f t="shared" si="142"/>
        <v/>
      </c>
      <c r="AK105" s="492" t="str">
        <f t="shared" si="143"/>
        <v>○</v>
      </c>
      <c r="AL105" s="492" t="str">
        <f t="shared" si="144"/>
        <v/>
      </c>
      <c r="AM105" s="492" t="str">
        <f t="shared" si="145"/>
        <v/>
      </c>
      <c r="AN105" s="492" t="str">
        <f t="shared" si="146"/>
        <v/>
      </c>
      <c r="AO105" s="492" t="str">
        <f t="shared" si="147"/>
        <v/>
      </c>
      <c r="AP105" s="492" t="str">
        <f t="shared" si="148"/>
        <v/>
      </c>
      <c r="AQ105" s="492" t="str">
        <f t="shared" si="149"/>
        <v/>
      </c>
      <c r="AR105" s="492" t="str">
        <f t="shared" si="150"/>
        <v/>
      </c>
      <c r="AS105" s="492" t="str">
        <f t="shared" si="151"/>
        <v/>
      </c>
      <c r="AT105" s="492" t="str">
        <f t="shared" si="152"/>
        <v/>
      </c>
      <c r="AU105" s="492" t="str">
        <f t="shared" si="153"/>
        <v/>
      </c>
      <c r="AV105" s="492" t="str">
        <f t="shared" si="154"/>
        <v/>
      </c>
      <c r="AW105" s="492" t="str">
        <f t="shared" si="155"/>
        <v/>
      </c>
      <c r="AX105" s="492" t="str">
        <f t="shared" si="156"/>
        <v/>
      </c>
      <c r="AY105" s="492" t="str">
        <f t="shared" si="157"/>
        <v/>
      </c>
      <c r="AZ105" s="492" t="str">
        <f t="shared" si="158"/>
        <v/>
      </c>
      <c r="BA105" s="492" t="str">
        <f t="shared" si="159"/>
        <v/>
      </c>
      <c r="BB105" s="492" t="str">
        <f t="shared" si="160"/>
        <v/>
      </c>
      <c r="BC105" s="492" t="str">
        <f t="shared" si="161"/>
        <v/>
      </c>
      <c r="BD105" s="492" t="str">
        <f t="shared" si="162"/>
        <v/>
      </c>
      <c r="BE105" s="492" t="str">
        <f t="shared" si="163"/>
        <v/>
      </c>
      <c r="BF105" s="492" t="str">
        <f t="shared" si="164"/>
        <v/>
      </c>
      <c r="BG105" s="492" t="str">
        <f t="shared" si="165"/>
        <v/>
      </c>
      <c r="BH105" s="492" t="str">
        <f t="shared" si="166"/>
        <v/>
      </c>
      <c r="BI105" s="492" t="str">
        <f t="shared" si="167"/>
        <v/>
      </c>
      <c r="BJ105" s="492" t="str">
        <f t="shared" si="168"/>
        <v/>
      </c>
      <c r="BK105" s="492" t="str">
        <f t="shared" si="169"/>
        <v/>
      </c>
      <c r="BL105" s="492" t="str">
        <f t="shared" si="170"/>
        <v/>
      </c>
      <c r="BM105" s="492" t="str">
        <f t="shared" si="171"/>
        <v/>
      </c>
      <c r="BN105" s="492" t="str">
        <f t="shared" si="172"/>
        <v/>
      </c>
      <c r="BO105" s="492" t="str">
        <f t="shared" si="173"/>
        <v/>
      </c>
      <c r="BP105" s="492" t="str">
        <f t="shared" si="174"/>
        <v/>
      </c>
      <c r="BQ105" s="492" t="str">
        <f t="shared" si="175"/>
        <v/>
      </c>
      <c r="BR105" s="492" t="str">
        <f t="shared" si="176"/>
        <v/>
      </c>
      <c r="BS105" s="492" t="str">
        <f t="shared" si="177"/>
        <v/>
      </c>
      <c r="BT105" s="492" t="str">
        <f t="shared" si="178"/>
        <v/>
      </c>
      <c r="BU105" s="492" t="str">
        <f t="shared" si="179"/>
        <v/>
      </c>
      <c r="BV105" s="492" t="str">
        <f t="shared" si="180"/>
        <v/>
      </c>
      <c r="BW105" s="492" t="str">
        <f t="shared" si="181"/>
        <v/>
      </c>
      <c r="BX105" s="492" t="str">
        <f t="shared" si="182"/>
        <v/>
      </c>
      <c r="BY105" s="492" t="str">
        <f t="shared" si="183"/>
        <v/>
      </c>
      <c r="BZ105" s="492" t="str">
        <f t="shared" si="184"/>
        <v/>
      </c>
      <c r="CA105" s="492" t="str">
        <f t="shared" si="185"/>
        <v/>
      </c>
      <c r="CB105" s="492" t="str">
        <f t="shared" si="186"/>
        <v/>
      </c>
      <c r="CC105" s="492" t="str">
        <f t="shared" si="187"/>
        <v/>
      </c>
      <c r="CD105" s="492" t="str">
        <f t="shared" si="188"/>
        <v/>
      </c>
      <c r="CE105" s="492" t="str">
        <f t="shared" si="189"/>
        <v/>
      </c>
      <c r="CF105" s="492" t="str">
        <f t="shared" si="190"/>
        <v/>
      </c>
      <c r="CG105" s="492" t="str">
        <f t="shared" si="191"/>
        <v/>
      </c>
      <c r="CH105" s="492" t="str">
        <f t="shared" si="192"/>
        <v/>
      </c>
      <c r="CI105" s="492" t="str">
        <f t="shared" si="193"/>
        <v/>
      </c>
      <c r="CJ105" s="492" t="str">
        <f t="shared" si="194"/>
        <v/>
      </c>
      <c r="CK105" s="492" t="str">
        <f t="shared" si="195"/>
        <v/>
      </c>
      <c r="CL105" s="492" t="str">
        <f t="shared" si="196"/>
        <v/>
      </c>
      <c r="CM105" s="492" t="str">
        <f t="shared" si="197"/>
        <v/>
      </c>
      <c r="CN105" s="492" t="str">
        <f t="shared" si="198"/>
        <v/>
      </c>
      <c r="CO105" s="492" t="str">
        <f t="shared" si="199"/>
        <v/>
      </c>
      <c r="CP105" s="492" t="str">
        <f t="shared" si="200"/>
        <v/>
      </c>
      <c r="CQ105" s="492" t="str">
        <f t="shared" si="207"/>
        <v/>
      </c>
      <c r="CR105" s="492" t="str">
        <f t="shared" si="208"/>
        <v/>
      </c>
      <c r="CS105" s="492" t="str">
        <f t="shared" si="209"/>
        <v/>
      </c>
      <c r="CT105" s="492" t="str">
        <f t="shared" si="210"/>
        <v/>
      </c>
      <c r="CU105" s="492" t="str">
        <f t="shared" si="211"/>
        <v/>
      </c>
      <c r="CV105" s="492" t="str">
        <f t="shared" si="212"/>
        <v/>
      </c>
      <c r="CW105" s="495">
        <v>1</v>
      </c>
      <c r="CX105" s="496"/>
      <c r="CY105" s="496"/>
      <c r="CZ105" s="496"/>
      <c r="DA105" s="496"/>
      <c r="DB105" s="496"/>
    </row>
    <row r="106" spans="1:106" ht="13.5" customHeight="1">
      <c r="A106" s="1232">
        <v>96</v>
      </c>
      <c r="B106" s="1233"/>
      <c r="C106" s="1230"/>
      <c r="D106" s="1234"/>
      <c r="E106" s="1231"/>
      <c r="F106" s="1230"/>
      <c r="G106" s="1234"/>
      <c r="H106" s="1231"/>
      <c r="I106" s="1230"/>
      <c r="J106" s="1231"/>
      <c r="K106" s="1290"/>
      <c r="L106" s="1291"/>
      <c r="M106" s="1290"/>
      <c r="N106" s="1291"/>
      <c r="O106" s="1290"/>
      <c r="P106" s="1291"/>
      <c r="Q106" s="1230"/>
      <c r="R106" s="1231"/>
      <c r="S106" s="1230"/>
      <c r="T106" s="1231"/>
      <c r="U106" s="1228"/>
      <c r="V106" s="1229"/>
      <c r="W106" s="1230"/>
      <c r="X106" s="1231"/>
      <c r="Y106" s="1226"/>
      <c r="Z106" s="1227"/>
      <c r="AA106" s="1275"/>
      <c r="AB106" s="1275"/>
      <c r="AC106" s="1212" t="str">
        <f t="shared" si="138"/>
        <v/>
      </c>
      <c r="AD106" s="1213"/>
      <c r="AE106" s="1213"/>
      <c r="AF106" s="1213"/>
      <c r="AG106" s="492" t="str">
        <f t="shared" si="139"/>
        <v/>
      </c>
      <c r="AH106" s="466" t="str">
        <f t="shared" si="140"/>
        <v/>
      </c>
      <c r="AI106" s="466" t="str">
        <f t="shared" si="141"/>
        <v/>
      </c>
      <c r="AJ106" s="466" t="str">
        <f t="shared" si="142"/>
        <v/>
      </c>
      <c r="AK106" s="492" t="str">
        <f t="shared" si="143"/>
        <v>○</v>
      </c>
      <c r="AL106" s="492" t="str">
        <f t="shared" si="144"/>
        <v/>
      </c>
      <c r="AM106" s="492" t="str">
        <f t="shared" si="145"/>
        <v/>
      </c>
      <c r="AN106" s="492" t="str">
        <f t="shared" si="146"/>
        <v/>
      </c>
      <c r="AO106" s="492" t="str">
        <f t="shared" si="147"/>
        <v/>
      </c>
      <c r="AP106" s="492" t="str">
        <f t="shared" si="148"/>
        <v/>
      </c>
      <c r="AQ106" s="492" t="str">
        <f t="shared" si="149"/>
        <v/>
      </c>
      <c r="AR106" s="492" t="str">
        <f t="shared" si="150"/>
        <v/>
      </c>
      <c r="AS106" s="492" t="str">
        <f t="shared" si="151"/>
        <v/>
      </c>
      <c r="AT106" s="492" t="str">
        <f t="shared" si="152"/>
        <v/>
      </c>
      <c r="AU106" s="492" t="str">
        <f t="shared" si="153"/>
        <v/>
      </c>
      <c r="AV106" s="492" t="str">
        <f t="shared" si="154"/>
        <v/>
      </c>
      <c r="AW106" s="492" t="str">
        <f t="shared" si="155"/>
        <v/>
      </c>
      <c r="AX106" s="492" t="str">
        <f t="shared" si="156"/>
        <v/>
      </c>
      <c r="AY106" s="492" t="str">
        <f t="shared" si="157"/>
        <v/>
      </c>
      <c r="AZ106" s="492" t="str">
        <f t="shared" si="158"/>
        <v/>
      </c>
      <c r="BA106" s="492" t="str">
        <f t="shared" si="159"/>
        <v/>
      </c>
      <c r="BB106" s="492" t="str">
        <f t="shared" si="160"/>
        <v/>
      </c>
      <c r="BC106" s="492" t="str">
        <f t="shared" si="161"/>
        <v/>
      </c>
      <c r="BD106" s="492" t="str">
        <f t="shared" si="162"/>
        <v/>
      </c>
      <c r="BE106" s="492" t="str">
        <f t="shared" si="163"/>
        <v/>
      </c>
      <c r="BF106" s="492" t="str">
        <f t="shared" si="164"/>
        <v/>
      </c>
      <c r="BG106" s="492" t="str">
        <f t="shared" si="165"/>
        <v/>
      </c>
      <c r="BH106" s="492" t="str">
        <f t="shared" si="166"/>
        <v/>
      </c>
      <c r="BI106" s="492" t="str">
        <f t="shared" si="167"/>
        <v/>
      </c>
      <c r="BJ106" s="492" t="str">
        <f t="shared" si="168"/>
        <v/>
      </c>
      <c r="BK106" s="492" t="str">
        <f t="shared" si="169"/>
        <v/>
      </c>
      <c r="BL106" s="492" t="str">
        <f t="shared" si="170"/>
        <v/>
      </c>
      <c r="BM106" s="492" t="str">
        <f t="shared" si="171"/>
        <v/>
      </c>
      <c r="BN106" s="492" t="str">
        <f t="shared" si="172"/>
        <v/>
      </c>
      <c r="BO106" s="492" t="str">
        <f t="shared" si="173"/>
        <v/>
      </c>
      <c r="BP106" s="492" t="str">
        <f t="shared" si="174"/>
        <v/>
      </c>
      <c r="BQ106" s="492" t="str">
        <f t="shared" si="175"/>
        <v/>
      </c>
      <c r="BR106" s="492" t="str">
        <f t="shared" si="176"/>
        <v/>
      </c>
      <c r="BS106" s="492" t="str">
        <f t="shared" si="177"/>
        <v/>
      </c>
      <c r="BT106" s="492" t="str">
        <f t="shared" si="178"/>
        <v/>
      </c>
      <c r="BU106" s="492" t="str">
        <f t="shared" si="179"/>
        <v/>
      </c>
      <c r="BV106" s="492" t="str">
        <f t="shared" si="180"/>
        <v/>
      </c>
      <c r="BW106" s="492" t="str">
        <f t="shared" si="181"/>
        <v/>
      </c>
      <c r="BX106" s="492" t="str">
        <f t="shared" si="182"/>
        <v/>
      </c>
      <c r="BY106" s="492" t="str">
        <f t="shared" si="183"/>
        <v/>
      </c>
      <c r="BZ106" s="492" t="str">
        <f t="shared" si="184"/>
        <v/>
      </c>
      <c r="CA106" s="492" t="str">
        <f t="shared" si="185"/>
        <v/>
      </c>
      <c r="CB106" s="492" t="str">
        <f t="shared" si="186"/>
        <v/>
      </c>
      <c r="CC106" s="492" t="str">
        <f t="shared" si="187"/>
        <v/>
      </c>
      <c r="CD106" s="492" t="str">
        <f t="shared" si="188"/>
        <v/>
      </c>
      <c r="CE106" s="492" t="str">
        <f t="shared" si="189"/>
        <v/>
      </c>
      <c r="CF106" s="492" t="str">
        <f t="shared" si="190"/>
        <v/>
      </c>
      <c r="CG106" s="492" t="str">
        <f t="shared" si="191"/>
        <v/>
      </c>
      <c r="CH106" s="492" t="str">
        <f t="shared" si="192"/>
        <v/>
      </c>
      <c r="CI106" s="492" t="str">
        <f t="shared" si="193"/>
        <v/>
      </c>
      <c r="CJ106" s="492" t="str">
        <f t="shared" si="194"/>
        <v/>
      </c>
      <c r="CK106" s="492" t="str">
        <f t="shared" si="195"/>
        <v/>
      </c>
      <c r="CL106" s="492" t="str">
        <f t="shared" si="196"/>
        <v/>
      </c>
      <c r="CM106" s="492" t="str">
        <f t="shared" si="197"/>
        <v/>
      </c>
      <c r="CN106" s="492" t="str">
        <f t="shared" si="198"/>
        <v/>
      </c>
      <c r="CO106" s="492" t="str">
        <f t="shared" si="199"/>
        <v/>
      </c>
      <c r="CP106" s="492" t="str">
        <f t="shared" si="200"/>
        <v/>
      </c>
      <c r="CQ106" s="492" t="str">
        <f t="shared" si="207"/>
        <v/>
      </c>
      <c r="CR106" s="492" t="str">
        <f t="shared" si="208"/>
        <v/>
      </c>
      <c r="CS106" s="492" t="str">
        <f t="shared" si="209"/>
        <v/>
      </c>
      <c r="CT106" s="492" t="str">
        <f t="shared" si="210"/>
        <v/>
      </c>
      <c r="CU106" s="492" t="str">
        <f t="shared" si="211"/>
        <v/>
      </c>
      <c r="CV106" s="492" t="str">
        <f t="shared" si="212"/>
        <v/>
      </c>
      <c r="CW106" s="495">
        <v>1</v>
      </c>
      <c r="CX106" s="496"/>
      <c r="CY106" s="496"/>
      <c r="CZ106" s="496"/>
      <c r="DA106" s="496"/>
      <c r="DB106" s="496"/>
    </row>
    <row r="107" spans="1:106" ht="13.5" customHeight="1">
      <c r="A107" s="1232">
        <v>97</v>
      </c>
      <c r="B107" s="1233"/>
      <c r="C107" s="1230"/>
      <c r="D107" s="1234"/>
      <c r="E107" s="1231"/>
      <c r="F107" s="1230"/>
      <c r="G107" s="1234"/>
      <c r="H107" s="1231"/>
      <c r="I107" s="1230"/>
      <c r="J107" s="1231"/>
      <c r="K107" s="1290"/>
      <c r="L107" s="1291"/>
      <c r="M107" s="1290"/>
      <c r="N107" s="1291"/>
      <c r="O107" s="1290"/>
      <c r="P107" s="1291"/>
      <c r="Q107" s="1230"/>
      <c r="R107" s="1231"/>
      <c r="S107" s="1230"/>
      <c r="T107" s="1231"/>
      <c r="U107" s="1228"/>
      <c r="V107" s="1229"/>
      <c r="W107" s="1230"/>
      <c r="X107" s="1231"/>
      <c r="Y107" s="1226"/>
      <c r="Z107" s="1227"/>
      <c r="AA107" s="1275"/>
      <c r="AB107" s="1275"/>
      <c r="AC107" s="1212" t="str">
        <f t="shared" si="138"/>
        <v/>
      </c>
      <c r="AD107" s="1213"/>
      <c r="AE107" s="1213"/>
      <c r="AF107" s="1213"/>
      <c r="AG107" s="492" t="str">
        <f t="shared" ref="AG107:AG138" si="213">IF(AND(Q107="○",W107=""),"A","")</f>
        <v/>
      </c>
      <c r="AH107" s="466" t="str">
        <f t="shared" ref="AH107:AH138" si="214">IF(AND(Q107="○",W107="○"),"B","")</f>
        <v/>
      </c>
      <c r="AI107" s="466" t="str">
        <f t="shared" ref="AI107:AI138" si="215">IF(AND(Q107="",S107="○",W107=""),"C","")</f>
        <v/>
      </c>
      <c r="AJ107" s="466" t="str">
        <f t="shared" ref="AJ107:AJ138" si="216">IF(AND(Q107="",S107="○",W107="○"),"D","")</f>
        <v/>
      </c>
      <c r="AK107" s="492" t="str">
        <f t="shared" ref="AK107:AK138" si="217">IF(U107&gt;0,"","○")</f>
        <v>○</v>
      </c>
      <c r="AL107" s="492" t="str">
        <f t="shared" ref="AL107:AL138" si="218">IF(AND(I107="５歳",M107="標準",O107="",AK107="○",W107=""),"○","")</f>
        <v/>
      </c>
      <c r="AM107" s="492" t="str">
        <f t="shared" ref="AM107:AM138" si="219">IF(AND(I107="４歳",M107="標準",O107="",AK107="○",W107=""),"○","")</f>
        <v/>
      </c>
      <c r="AN107" s="492" t="str">
        <f t="shared" ref="AN107:AN138" si="220">IF(AND(I107="３歳",M107="標準",O107="",AK107="○",W107=""),"○","")</f>
        <v/>
      </c>
      <c r="AO107" s="492" t="str">
        <f t="shared" ref="AO107:AO138" si="221">IF(AND(I107="２歳",M107="標準",O107="",AK107="○",W107=""),"○","")</f>
        <v/>
      </c>
      <c r="AP107" s="492" t="str">
        <f t="shared" ref="AP107:AP138" si="222">IF(AND(I107="１歳",M107="標準",O107="",AK107="○",W107=""),"○","")</f>
        <v/>
      </c>
      <c r="AQ107" s="492" t="str">
        <f t="shared" ref="AQ107:AQ138" si="223">IF(AND(I107="乳児",M107="標準",O107="",AK107="○",W107=""),"○","")</f>
        <v/>
      </c>
      <c r="AR107" s="492" t="str">
        <f t="shared" ref="AR107:AR138" si="224">IF(AND(I107="５歳",M107="標準",O107="",AK107="○",W107="○"),"○","")</f>
        <v/>
      </c>
      <c r="AS107" s="492" t="str">
        <f t="shared" ref="AS107:AS138" si="225">IF(AND(I107="４歳",M107="標準",O107="",AK107="○",W107="○"),"○","")</f>
        <v/>
      </c>
      <c r="AT107" s="492" t="str">
        <f t="shared" ref="AT107:AT138" si="226">IF(AND(I107="３歳",M107="標準",O107="",AK107="○",W107="○"),"○","")</f>
        <v/>
      </c>
      <c r="AU107" s="492" t="str">
        <f t="shared" ref="AU107:AU138" si="227">IF(AND(I107="５歳",M107="標準",U107&gt;0),"○","")</f>
        <v/>
      </c>
      <c r="AV107" s="492" t="str">
        <f t="shared" ref="AV107:AV138" si="228">IF(AND(I107="４歳",M107="標準",U107&gt;0),"○","")</f>
        <v/>
      </c>
      <c r="AW107" s="492" t="str">
        <f t="shared" ref="AW107:AW138" si="229">IF(AND(I107="３歳",M107="標準",U107&gt;0),"○","")</f>
        <v/>
      </c>
      <c r="AX107" s="492" t="str">
        <f t="shared" ref="AX107:AX138" si="230">IF(AND(I107="２歳",M107="標準",U107&gt;0),"○","")</f>
        <v/>
      </c>
      <c r="AY107" s="492" t="str">
        <f t="shared" ref="AY107:AY138" si="231">IF(AND(I107="１歳",M107="標準",U107&gt;0),"○","")</f>
        <v/>
      </c>
      <c r="AZ107" s="492" t="str">
        <f t="shared" ref="AZ107:AZ138" si="232">IF(AND(I107="乳児",M107="標準",U107&gt;0),"○","")</f>
        <v/>
      </c>
      <c r="BA107" s="492" t="str">
        <f t="shared" ref="BA107:BA138" si="233">IF(AND(I107="５歳",M107="短時間",O107="",AK107="○",W107=""),"○","")</f>
        <v/>
      </c>
      <c r="BB107" s="492" t="str">
        <f t="shared" ref="BB107:BB138" si="234">IF(AND(I107="４歳",M107="短時間",O107="",AK107="○",W107=""),"○","")</f>
        <v/>
      </c>
      <c r="BC107" s="492" t="str">
        <f t="shared" ref="BC107:BC138" si="235">IF(AND(I107="３歳",M107="短時間",O107="",AK107="○",W107=""),"○","")</f>
        <v/>
      </c>
      <c r="BD107" s="492" t="str">
        <f t="shared" ref="BD107:BD138" si="236">IF(AND(I107="２歳",M107="短時間",O107="",AK107="○",W107=""),"○","")</f>
        <v/>
      </c>
      <c r="BE107" s="492" t="str">
        <f t="shared" ref="BE107:BE138" si="237">IF(AND(I107="１歳",M107="短時間",O107="",AK107="○",W107=""),"○","")</f>
        <v/>
      </c>
      <c r="BF107" s="492" t="str">
        <f t="shared" ref="BF107:BF138" si="238">IF(AND(I107="乳児",M107="短時間",O107="",AK107="○",W107=""),"○","")</f>
        <v/>
      </c>
      <c r="BG107" s="492" t="str">
        <f t="shared" ref="BG107:BG138" si="239">IF(AND(I107="５歳",M107="短時間",O107="",AK107="○",W107="○"),"○","")</f>
        <v/>
      </c>
      <c r="BH107" s="492" t="str">
        <f t="shared" ref="BH107:BH138" si="240">IF(AND(I107="４歳",M107="短時間",O107="",AK107="○",W107="○"),"○","")</f>
        <v/>
      </c>
      <c r="BI107" s="492" t="str">
        <f t="shared" ref="BI107:BI138" si="241">IF(AND(I107="３歳",M107="短時間",O107="",AK107="○",W107="○"),"○","")</f>
        <v/>
      </c>
      <c r="BJ107" s="492" t="str">
        <f t="shared" ref="BJ107:BJ138" si="242">IF(AND(I107="２歳",M107="短時間",O107="",AK107="○",W107="○"),"○","")</f>
        <v/>
      </c>
      <c r="BK107" s="492" t="str">
        <f t="shared" ref="BK107:BK138" si="243">IF(AND(I107="１歳",M107="短時間",O107="",AK107="○",W107="○"),"○","")</f>
        <v/>
      </c>
      <c r="BL107" s="492" t="str">
        <f t="shared" ref="BL107:BL138" si="244">IF(AND(I107="乳児",M107="短時間",O107="",AK107="○",W107="○"),"○","")</f>
        <v/>
      </c>
      <c r="BM107" s="492" t="str">
        <f t="shared" ref="BM107:BM138" si="245">IF(AND(I107="５歳",M107="短時間",O107="",U107&gt;0),"○","")</f>
        <v/>
      </c>
      <c r="BN107" s="492" t="str">
        <f t="shared" ref="BN107:BN138" si="246">IF(AND(I107="４歳",M107="短時間",O107="",U107&gt;0),"○","")</f>
        <v/>
      </c>
      <c r="BO107" s="492" t="str">
        <f t="shared" ref="BO107:BO138" si="247">IF(AND(I107="３歳",M107="短時間",O107="",U107&gt;0),"○","")</f>
        <v/>
      </c>
      <c r="BP107" s="492" t="str">
        <f t="shared" ref="BP107:BP138" si="248">IF(AND(I107="２歳",M107="短時間",O107="",U107&gt;0),"○","")</f>
        <v/>
      </c>
      <c r="BQ107" s="492" t="str">
        <f t="shared" ref="BQ107:BQ138" si="249">IF(AND(I107="１歳",M107="短時間",O107="",U107&gt;0),"○","")</f>
        <v/>
      </c>
      <c r="BR107" s="492" t="str">
        <f t="shared" ref="BR107:BR138" si="250">IF(AND(I107="乳児",M107="短時間",O107="",U107&gt;0),"○","")</f>
        <v/>
      </c>
      <c r="BS107" s="492" t="str">
        <f t="shared" ref="BS107:BS138" si="251">IF(AND(I107="５歳",M107="標準",O107="分園",AK107="○",W107=""),"○","")</f>
        <v/>
      </c>
      <c r="BT107" s="492" t="str">
        <f t="shared" ref="BT107:BT138" si="252">IF(AND(I107="４歳",M107="標準",O107="分園",AK107="○",W107=""),"○","")</f>
        <v/>
      </c>
      <c r="BU107" s="492" t="str">
        <f t="shared" ref="BU107:BU138" si="253">IF(AND(I107="３歳",M107="標準",O107="分園",AK107="○",W107=""),"○","")</f>
        <v/>
      </c>
      <c r="BV107" s="492" t="str">
        <f t="shared" ref="BV107:BV138" si="254">IF(AND(I107="２歳",M107="標準",O107="分園",AK107="○",W107=""),"○","")</f>
        <v/>
      </c>
      <c r="BW107" s="492" t="str">
        <f t="shared" ref="BW107:BW138" si="255">IF(AND(I107="１歳",M107="標準",O107="分園",AK107="○",W107=""),"○","")</f>
        <v/>
      </c>
      <c r="BX107" s="492" t="str">
        <f t="shared" ref="BX107:BX138" si="256">IF(AND(I107="乳児",M107="標準",O107="分園",AK107="○",W107=""),"○","")</f>
        <v/>
      </c>
      <c r="BY107" s="492" t="str">
        <f t="shared" ref="BY107:BY138" si="257">IF(AND(I107="５歳",M107="標準",O107="分園",AK107="○",W107="○"),"○","")</f>
        <v/>
      </c>
      <c r="BZ107" s="492" t="str">
        <f t="shared" ref="BZ107:BZ138" si="258">IF(AND(I107="４歳",M107="標準",O107="分園",AK107="○",W107="○"),"○","")</f>
        <v/>
      </c>
      <c r="CA107" s="492" t="str">
        <f t="shared" ref="CA107:CA138" si="259">IF(AND(I107="３歳",M107="標準",O107="分園",AK107="○",W107="○"),"○","")</f>
        <v/>
      </c>
      <c r="CB107" s="492" t="str">
        <f t="shared" ref="CB107:CB138" si="260">IF(AND(I1533="５歳",M107="教育",O107="分園",U107&gt;0),"○","")</f>
        <v/>
      </c>
      <c r="CC107" s="492" t="str">
        <f t="shared" ref="CC107:CC138" si="261">IF(AND(I1533="４歳",M107="教育",O107="分園",U107&gt;0),"○","")</f>
        <v/>
      </c>
      <c r="CD107" s="492" t="str">
        <f t="shared" ref="CD107:CD138" si="262">IF(AND(I1533="３歳",M107="教育",O107="分園",U107&gt;0),"○","")</f>
        <v/>
      </c>
      <c r="CE107" s="492" t="str">
        <f t="shared" ref="CE107:CE138" si="263">IF(AND(I1533="２歳",M107="教育",O107="分園",U107&gt;0),"○","")</f>
        <v/>
      </c>
      <c r="CF107" s="492" t="str">
        <f t="shared" ref="CF107:CF138" si="264">IF(AND(I1533="１歳",M107="教育",O107="分園",U107&gt;0),"○","")</f>
        <v/>
      </c>
      <c r="CG107" s="492" t="str">
        <f t="shared" ref="CG107:CG138" si="265">IF(AND(I1533="乳児",M107="教育",O107="分園",U107&gt;0),"○","")</f>
        <v/>
      </c>
      <c r="CH107" s="492" t="str">
        <f t="shared" ref="CH107:CH138" si="266">IF(AND(I107="５歳",M107="短時間",O107="分園",AK107="○",W107=""),"○","")</f>
        <v/>
      </c>
      <c r="CI107" s="492" t="str">
        <f t="shared" ref="CI107:CI138" si="267">IF(AND(I107="４歳",M107="短時間",O107="分園",AK107="○",W107=""),"○","")</f>
        <v/>
      </c>
      <c r="CJ107" s="492" t="str">
        <f t="shared" ref="CJ107:CJ138" si="268">IF(AND(I107="３歳",M107="短時間",O107="分園",AK107="○",W107=""),"○","")</f>
        <v/>
      </c>
      <c r="CK107" s="492" t="str">
        <f t="shared" ref="CK107:CK138" si="269">IF(AND(I107="２歳",M107="短時間",O107="分園",AK107="○",W107=""),"○","")</f>
        <v/>
      </c>
      <c r="CL107" s="492" t="str">
        <f t="shared" ref="CL107:CL138" si="270">IF(AND(I107="１歳",M107="短時間",O107="分園",AK107="○",W107=""),"○","")</f>
        <v/>
      </c>
      <c r="CM107" s="492" t="str">
        <f t="shared" ref="CM107:CM138" si="271">IF(AND(I107="乳児",M107="短時間",O107="分園",AK107="○",W107=""),"○","")</f>
        <v/>
      </c>
      <c r="CN107" s="492" t="str">
        <f t="shared" ref="CN107:CN138" si="272">IF(AND(I107="５歳",M107="短時間",O107="分園",AK107="○",W107="○"),"○","")</f>
        <v/>
      </c>
      <c r="CO107" s="492" t="str">
        <f t="shared" ref="CO107:CO138" si="273">IF(AND(I107="４歳",M107="短時間",O107="分園",AK107="○",W107="○"),"○","")</f>
        <v/>
      </c>
      <c r="CP107" s="492" t="str">
        <f t="shared" ref="CP107:CP138" si="274">IF(AND(I107="３歳",M107="短時間",O107="分園",AK107="○",W107="○"),"○","")</f>
        <v/>
      </c>
      <c r="CQ107" s="492" t="str">
        <f t="shared" si="207"/>
        <v/>
      </c>
      <c r="CR107" s="492" t="str">
        <f t="shared" si="208"/>
        <v/>
      </c>
      <c r="CS107" s="492" t="str">
        <f t="shared" si="209"/>
        <v/>
      </c>
      <c r="CT107" s="492" t="str">
        <f t="shared" si="210"/>
        <v/>
      </c>
      <c r="CU107" s="492" t="str">
        <f t="shared" si="211"/>
        <v/>
      </c>
      <c r="CV107" s="492" t="str">
        <f t="shared" si="212"/>
        <v/>
      </c>
      <c r="CW107" s="495">
        <v>1</v>
      </c>
      <c r="CX107" s="496"/>
      <c r="CY107" s="496"/>
      <c r="CZ107" s="496"/>
      <c r="DA107" s="496"/>
      <c r="DB107" s="496"/>
    </row>
    <row r="108" spans="1:106" ht="13.5" customHeight="1">
      <c r="A108" s="1232">
        <v>98</v>
      </c>
      <c r="B108" s="1233"/>
      <c r="C108" s="1230"/>
      <c r="D108" s="1234"/>
      <c r="E108" s="1231"/>
      <c r="F108" s="1230"/>
      <c r="G108" s="1234"/>
      <c r="H108" s="1231"/>
      <c r="I108" s="1230"/>
      <c r="J108" s="1231"/>
      <c r="K108" s="1290"/>
      <c r="L108" s="1291"/>
      <c r="M108" s="1290"/>
      <c r="N108" s="1291"/>
      <c r="O108" s="1290"/>
      <c r="P108" s="1291"/>
      <c r="Q108" s="1230"/>
      <c r="R108" s="1231"/>
      <c r="S108" s="1230"/>
      <c r="T108" s="1231"/>
      <c r="U108" s="1228"/>
      <c r="V108" s="1229"/>
      <c r="W108" s="1230"/>
      <c r="X108" s="1231"/>
      <c r="Y108" s="1226"/>
      <c r="Z108" s="1227"/>
      <c r="AA108" s="1275"/>
      <c r="AB108" s="1275"/>
      <c r="AC108" s="1212" t="str">
        <f t="shared" si="138"/>
        <v/>
      </c>
      <c r="AD108" s="1213"/>
      <c r="AE108" s="1213"/>
      <c r="AF108" s="1213"/>
      <c r="AG108" s="492" t="str">
        <f t="shared" si="213"/>
        <v/>
      </c>
      <c r="AH108" s="466" t="str">
        <f t="shared" si="214"/>
        <v/>
      </c>
      <c r="AI108" s="466" t="str">
        <f t="shared" si="215"/>
        <v/>
      </c>
      <c r="AJ108" s="466" t="str">
        <f t="shared" si="216"/>
        <v/>
      </c>
      <c r="AK108" s="492" t="str">
        <f t="shared" si="217"/>
        <v>○</v>
      </c>
      <c r="AL108" s="492" t="str">
        <f t="shared" si="218"/>
        <v/>
      </c>
      <c r="AM108" s="492" t="str">
        <f t="shared" si="219"/>
        <v/>
      </c>
      <c r="AN108" s="492" t="str">
        <f t="shared" si="220"/>
        <v/>
      </c>
      <c r="AO108" s="492" t="str">
        <f t="shared" si="221"/>
        <v/>
      </c>
      <c r="AP108" s="492" t="str">
        <f t="shared" si="222"/>
        <v/>
      </c>
      <c r="AQ108" s="492" t="str">
        <f t="shared" si="223"/>
        <v/>
      </c>
      <c r="AR108" s="492" t="str">
        <f t="shared" si="224"/>
        <v/>
      </c>
      <c r="AS108" s="492" t="str">
        <f t="shared" si="225"/>
        <v/>
      </c>
      <c r="AT108" s="492" t="str">
        <f t="shared" si="226"/>
        <v/>
      </c>
      <c r="AU108" s="492" t="str">
        <f t="shared" si="227"/>
        <v/>
      </c>
      <c r="AV108" s="492" t="str">
        <f t="shared" si="228"/>
        <v/>
      </c>
      <c r="AW108" s="492" t="str">
        <f t="shared" si="229"/>
        <v/>
      </c>
      <c r="AX108" s="492" t="str">
        <f t="shared" si="230"/>
        <v/>
      </c>
      <c r="AY108" s="492" t="str">
        <f t="shared" si="231"/>
        <v/>
      </c>
      <c r="AZ108" s="492" t="str">
        <f t="shared" si="232"/>
        <v/>
      </c>
      <c r="BA108" s="492" t="str">
        <f t="shared" si="233"/>
        <v/>
      </c>
      <c r="BB108" s="492" t="str">
        <f t="shared" si="234"/>
        <v/>
      </c>
      <c r="BC108" s="492" t="str">
        <f t="shared" si="235"/>
        <v/>
      </c>
      <c r="BD108" s="492" t="str">
        <f t="shared" si="236"/>
        <v/>
      </c>
      <c r="BE108" s="492" t="str">
        <f t="shared" si="237"/>
        <v/>
      </c>
      <c r="BF108" s="492" t="str">
        <f t="shared" si="238"/>
        <v/>
      </c>
      <c r="BG108" s="492" t="str">
        <f t="shared" si="239"/>
        <v/>
      </c>
      <c r="BH108" s="492" t="str">
        <f t="shared" si="240"/>
        <v/>
      </c>
      <c r="BI108" s="492" t="str">
        <f t="shared" si="241"/>
        <v/>
      </c>
      <c r="BJ108" s="492" t="str">
        <f t="shared" si="242"/>
        <v/>
      </c>
      <c r="BK108" s="492" t="str">
        <f t="shared" si="243"/>
        <v/>
      </c>
      <c r="BL108" s="492" t="str">
        <f t="shared" si="244"/>
        <v/>
      </c>
      <c r="BM108" s="492" t="str">
        <f t="shared" si="245"/>
        <v/>
      </c>
      <c r="BN108" s="492" t="str">
        <f t="shared" si="246"/>
        <v/>
      </c>
      <c r="BO108" s="492" t="str">
        <f t="shared" si="247"/>
        <v/>
      </c>
      <c r="BP108" s="492" t="str">
        <f t="shared" si="248"/>
        <v/>
      </c>
      <c r="BQ108" s="492" t="str">
        <f t="shared" si="249"/>
        <v/>
      </c>
      <c r="BR108" s="492" t="str">
        <f t="shared" si="250"/>
        <v/>
      </c>
      <c r="BS108" s="492" t="str">
        <f t="shared" si="251"/>
        <v/>
      </c>
      <c r="BT108" s="492" t="str">
        <f t="shared" si="252"/>
        <v/>
      </c>
      <c r="BU108" s="492" t="str">
        <f t="shared" si="253"/>
        <v/>
      </c>
      <c r="BV108" s="492" t="str">
        <f t="shared" si="254"/>
        <v/>
      </c>
      <c r="BW108" s="492" t="str">
        <f t="shared" si="255"/>
        <v/>
      </c>
      <c r="BX108" s="492" t="str">
        <f t="shared" si="256"/>
        <v/>
      </c>
      <c r="BY108" s="492" t="str">
        <f t="shared" si="257"/>
        <v/>
      </c>
      <c r="BZ108" s="492" t="str">
        <f t="shared" si="258"/>
        <v/>
      </c>
      <c r="CA108" s="492" t="str">
        <f t="shared" si="259"/>
        <v/>
      </c>
      <c r="CB108" s="492" t="str">
        <f t="shared" si="260"/>
        <v/>
      </c>
      <c r="CC108" s="492" t="str">
        <f t="shared" si="261"/>
        <v/>
      </c>
      <c r="CD108" s="492" t="str">
        <f t="shared" si="262"/>
        <v/>
      </c>
      <c r="CE108" s="492" t="str">
        <f t="shared" si="263"/>
        <v/>
      </c>
      <c r="CF108" s="492" t="str">
        <f t="shared" si="264"/>
        <v/>
      </c>
      <c r="CG108" s="492" t="str">
        <f t="shared" si="265"/>
        <v/>
      </c>
      <c r="CH108" s="492" t="str">
        <f t="shared" si="266"/>
        <v/>
      </c>
      <c r="CI108" s="492" t="str">
        <f t="shared" si="267"/>
        <v/>
      </c>
      <c r="CJ108" s="492" t="str">
        <f t="shared" si="268"/>
        <v/>
      </c>
      <c r="CK108" s="492" t="str">
        <f t="shared" si="269"/>
        <v/>
      </c>
      <c r="CL108" s="492" t="str">
        <f t="shared" si="270"/>
        <v/>
      </c>
      <c r="CM108" s="492" t="str">
        <f t="shared" si="271"/>
        <v/>
      </c>
      <c r="CN108" s="492" t="str">
        <f t="shared" si="272"/>
        <v/>
      </c>
      <c r="CO108" s="492" t="str">
        <f t="shared" si="273"/>
        <v/>
      </c>
      <c r="CP108" s="492" t="str">
        <f t="shared" si="274"/>
        <v/>
      </c>
      <c r="CQ108" s="492" t="str">
        <f t="shared" si="207"/>
        <v/>
      </c>
      <c r="CR108" s="492" t="str">
        <f t="shared" si="208"/>
        <v/>
      </c>
      <c r="CS108" s="492" t="str">
        <f t="shared" si="209"/>
        <v/>
      </c>
      <c r="CT108" s="492" t="str">
        <f t="shared" si="210"/>
        <v/>
      </c>
      <c r="CU108" s="492" t="str">
        <f t="shared" si="211"/>
        <v/>
      </c>
      <c r="CV108" s="492" t="str">
        <f t="shared" si="212"/>
        <v/>
      </c>
      <c r="CW108" s="495">
        <v>1</v>
      </c>
      <c r="CX108" s="496"/>
      <c r="CY108" s="496"/>
      <c r="CZ108" s="496"/>
      <c r="DA108" s="496"/>
      <c r="DB108" s="496"/>
    </row>
    <row r="109" spans="1:106" ht="13.5" customHeight="1">
      <c r="A109" s="1232">
        <v>99</v>
      </c>
      <c r="B109" s="1233"/>
      <c r="C109" s="1230"/>
      <c r="D109" s="1234"/>
      <c r="E109" s="1231"/>
      <c r="F109" s="1230"/>
      <c r="G109" s="1234"/>
      <c r="H109" s="1231"/>
      <c r="I109" s="1230"/>
      <c r="J109" s="1231"/>
      <c r="K109" s="1290"/>
      <c r="L109" s="1291"/>
      <c r="M109" s="1290"/>
      <c r="N109" s="1291"/>
      <c r="O109" s="1290"/>
      <c r="P109" s="1291"/>
      <c r="Q109" s="1230"/>
      <c r="R109" s="1231"/>
      <c r="S109" s="1230"/>
      <c r="T109" s="1231"/>
      <c r="U109" s="1228"/>
      <c r="V109" s="1229"/>
      <c r="W109" s="1230"/>
      <c r="X109" s="1231"/>
      <c r="Y109" s="1226"/>
      <c r="Z109" s="1227"/>
      <c r="AA109" s="1275"/>
      <c r="AB109" s="1275"/>
      <c r="AC109" s="1212" t="str">
        <f t="shared" ref="AC109:AC121" si="275">IF(S109="","",IF(AND(M109="標準",S109="○",O109=""),"※下表に記載必要箇所あり(①)",IF(AND(M109="標準",S109="○",O109="分園"),"※下表に記載必要箇所あり(③)",IF(AND(M109="短時間",S109="○",O109=""),"※下表に記載必要箇所あり(②)","※下表に記載必要箇所あり(④)"))))</f>
        <v/>
      </c>
      <c r="AD109" s="1213"/>
      <c r="AE109" s="1213"/>
      <c r="AF109" s="1213"/>
      <c r="AG109" s="492" t="str">
        <f t="shared" si="213"/>
        <v/>
      </c>
      <c r="AH109" s="466" t="str">
        <f t="shared" si="214"/>
        <v/>
      </c>
      <c r="AI109" s="466" t="str">
        <f t="shared" si="215"/>
        <v/>
      </c>
      <c r="AJ109" s="466" t="str">
        <f t="shared" si="216"/>
        <v/>
      </c>
      <c r="AK109" s="492" t="str">
        <f t="shared" si="217"/>
        <v>○</v>
      </c>
      <c r="AL109" s="492" t="str">
        <f t="shared" si="218"/>
        <v/>
      </c>
      <c r="AM109" s="492" t="str">
        <f t="shared" si="219"/>
        <v/>
      </c>
      <c r="AN109" s="492" t="str">
        <f t="shared" si="220"/>
        <v/>
      </c>
      <c r="AO109" s="492" t="str">
        <f t="shared" si="221"/>
        <v/>
      </c>
      <c r="AP109" s="492" t="str">
        <f t="shared" si="222"/>
        <v/>
      </c>
      <c r="AQ109" s="492" t="str">
        <f t="shared" si="223"/>
        <v/>
      </c>
      <c r="AR109" s="492" t="str">
        <f t="shared" si="224"/>
        <v/>
      </c>
      <c r="AS109" s="492" t="str">
        <f t="shared" si="225"/>
        <v/>
      </c>
      <c r="AT109" s="492" t="str">
        <f t="shared" si="226"/>
        <v/>
      </c>
      <c r="AU109" s="492" t="str">
        <f t="shared" si="227"/>
        <v/>
      </c>
      <c r="AV109" s="492" t="str">
        <f t="shared" si="228"/>
        <v/>
      </c>
      <c r="AW109" s="492" t="str">
        <f t="shared" si="229"/>
        <v/>
      </c>
      <c r="AX109" s="492" t="str">
        <f t="shared" si="230"/>
        <v/>
      </c>
      <c r="AY109" s="492" t="str">
        <f t="shared" si="231"/>
        <v/>
      </c>
      <c r="AZ109" s="492" t="str">
        <f t="shared" si="232"/>
        <v/>
      </c>
      <c r="BA109" s="492" t="str">
        <f t="shared" si="233"/>
        <v/>
      </c>
      <c r="BB109" s="492" t="str">
        <f t="shared" si="234"/>
        <v/>
      </c>
      <c r="BC109" s="492" t="str">
        <f t="shared" si="235"/>
        <v/>
      </c>
      <c r="BD109" s="492" t="str">
        <f t="shared" si="236"/>
        <v/>
      </c>
      <c r="BE109" s="492" t="str">
        <f t="shared" si="237"/>
        <v/>
      </c>
      <c r="BF109" s="492" t="str">
        <f t="shared" si="238"/>
        <v/>
      </c>
      <c r="BG109" s="492" t="str">
        <f t="shared" si="239"/>
        <v/>
      </c>
      <c r="BH109" s="492" t="str">
        <f t="shared" si="240"/>
        <v/>
      </c>
      <c r="BI109" s="492" t="str">
        <f t="shared" si="241"/>
        <v/>
      </c>
      <c r="BJ109" s="492" t="str">
        <f t="shared" si="242"/>
        <v/>
      </c>
      <c r="BK109" s="492" t="str">
        <f t="shared" si="243"/>
        <v/>
      </c>
      <c r="BL109" s="492" t="str">
        <f t="shared" si="244"/>
        <v/>
      </c>
      <c r="BM109" s="492" t="str">
        <f t="shared" si="245"/>
        <v/>
      </c>
      <c r="BN109" s="492" t="str">
        <f t="shared" si="246"/>
        <v/>
      </c>
      <c r="BO109" s="492" t="str">
        <f t="shared" si="247"/>
        <v/>
      </c>
      <c r="BP109" s="492" t="str">
        <f t="shared" si="248"/>
        <v/>
      </c>
      <c r="BQ109" s="492" t="str">
        <f t="shared" si="249"/>
        <v/>
      </c>
      <c r="BR109" s="492" t="str">
        <f t="shared" si="250"/>
        <v/>
      </c>
      <c r="BS109" s="492" t="str">
        <f t="shared" si="251"/>
        <v/>
      </c>
      <c r="BT109" s="492" t="str">
        <f t="shared" si="252"/>
        <v/>
      </c>
      <c r="BU109" s="492" t="str">
        <f t="shared" si="253"/>
        <v/>
      </c>
      <c r="BV109" s="492" t="str">
        <f t="shared" si="254"/>
        <v/>
      </c>
      <c r="BW109" s="492" t="str">
        <f t="shared" si="255"/>
        <v/>
      </c>
      <c r="BX109" s="492" t="str">
        <f t="shared" si="256"/>
        <v/>
      </c>
      <c r="BY109" s="492" t="str">
        <f t="shared" si="257"/>
        <v/>
      </c>
      <c r="BZ109" s="492" t="str">
        <f t="shared" si="258"/>
        <v/>
      </c>
      <c r="CA109" s="492" t="str">
        <f t="shared" si="259"/>
        <v/>
      </c>
      <c r="CB109" s="492" t="str">
        <f t="shared" si="260"/>
        <v/>
      </c>
      <c r="CC109" s="492" t="str">
        <f t="shared" si="261"/>
        <v/>
      </c>
      <c r="CD109" s="492" t="str">
        <f t="shared" si="262"/>
        <v/>
      </c>
      <c r="CE109" s="492" t="str">
        <f t="shared" si="263"/>
        <v/>
      </c>
      <c r="CF109" s="492" t="str">
        <f t="shared" si="264"/>
        <v/>
      </c>
      <c r="CG109" s="492" t="str">
        <f t="shared" si="265"/>
        <v/>
      </c>
      <c r="CH109" s="492" t="str">
        <f t="shared" si="266"/>
        <v/>
      </c>
      <c r="CI109" s="492" t="str">
        <f t="shared" si="267"/>
        <v/>
      </c>
      <c r="CJ109" s="492" t="str">
        <f t="shared" si="268"/>
        <v/>
      </c>
      <c r="CK109" s="492" t="str">
        <f t="shared" si="269"/>
        <v/>
      </c>
      <c r="CL109" s="492" t="str">
        <f t="shared" si="270"/>
        <v/>
      </c>
      <c r="CM109" s="492" t="str">
        <f t="shared" si="271"/>
        <v/>
      </c>
      <c r="CN109" s="492" t="str">
        <f t="shared" si="272"/>
        <v/>
      </c>
      <c r="CO109" s="492" t="str">
        <f t="shared" si="273"/>
        <v/>
      </c>
      <c r="CP109" s="492" t="str">
        <f t="shared" si="274"/>
        <v/>
      </c>
      <c r="CQ109" s="492" t="str">
        <f t="shared" si="207"/>
        <v/>
      </c>
      <c r="CR109" s="492" t="str">
        <f t="shared" si="208"/>
        <v/>
      </c>
      <c r="CS109" s="492" t="str">
        <f t="shared" si="209"/>
        <v/>
      </c>
      <c r="CT109" s="492" t="str">
        <f t="shared" si="210"/>
        <v/>
      </c>
      <c r="CU109" s="492" t="str">
        <f t="shared" si="211"/>
        <v/>
      </c>
      <c r="CV109" s="492" t="str">
        <f t="shared" si="212"/>
        <v/>
      </c>
      <c r="CW109" s="495">
        <v>1</v>
      </c>
      <c r="CX109" s="496"/>
      <c r="CY109" s="496"/>
      <c r="CZ109" s="496"/>
      <c r="DA109" s="496"/>
      <c r="DB109" s="496"/>
    </row>
    <row r="110" spans="1:106" ht="13.5" customHeight="1">
      <c r="A110" s="1232">
        <v>100</v>
      </c>
      <c r="B110" s="1233"/>
      <c r="C110" s="1230"/>
      <c r="D110" s="1234"/>
      <c r="E110" s="1231"/>
      <c r="F110" s="1230"/>
      <c r="G110" s="1234"/>
      <c r="H110" s="1231"/>
      <c r="I110" s="1230"/>
      <c r="J110" s="1231"/>
      <c r="K110" s="1290"/>
      <c r="L110" s="1291"/>
      <c r="M110" s="1290"/>
      <c r="N110" s="1291"/>
      <c r="O110" s="1290"/>
      <c r="P110" s="1291"/>
      <c r="Q110" s="1230"/>
      <c r="R110" s="1231"/>
      <c r="S110" s="1230"/>
      <c r="T110" s="1231"/>
      <c r="U110" s="1228"/>
      <c r="V110" s="1229"/>
      <c r="W110" s="1230"/>
      <c r="X110" s="1231"/>
      <c r="Y110" s="1226"/>
      <c r="Z110" s="1227"/>
      <c r="AA110" s="1275"/>
      <c r="AB110" s="1275"/>
      <c r="AC110" s="1212" t="str">
        <f t="shared" si="275"/>
        <v/>
      </c>
      <c r="AD110" s="1213"/>
      <c r="AE110" s="1213"/>
      <c r="AF110" s="1213"/>
      <c r="AG110" s="492" t="str">
        <f t="shared" si="213"/>
        <v/>
      </c>
      <c r="AH110" s="466" t="str">
        <f t="shared" si="214"/>
        <v/>
      </c>
      <c r="AI110" s="466" t="str">
        <f t="shared" si="215"/>
        <v/>
      </c>
      <c r="AJ110" s="466" t="str">
        <f t="shared" si="216"/>
        <v/>
      </c>
      <c r="AK110" s="492" t="str">
        <f t="shared" si="217"/>
        <v>○</v>
      </c>
      <c r="AL110" s="492" t="str">
        <f t="shared" si="218"/>
        <v/>
      </c>
      <c r="AM110" s="492" t="str">
        <f t="shared" si="219"/>
        <v/>
      </c>
      <c r="AN110" s="492" t="str">
        <f t="shared" si="220"/>
        <v/>
      </c>
      <c r="AO110" s="492" t="str">
        <f t="shared" si="221"/>
        <v/>
      </c>
      <c r="AP110" s="492" t="str">
        <f t="shared" si="222"/>
        <v/>
      </c>
      <c r="AQ110" s="492" t="str">
        <f t="shared" si="223"/>
        <v/>
      </c>
      <c r="AR110" s="492" t="str">
        <f t="shared" si="224"/>
        <v/>
      </c>
      <c r="AS110" s="492" t="str">
        <f t="shared" si="225"/>
        <v/>
      </c>
      <c r="AT110" s="492" t="str">
        <f t="shared" si="226"/>
        <v/>
      </c>
      <c r="AU110" s="492" t="str">
        <f t="shared" si="227"/>
        <v/>
      </c>
      <c r="AV110" s="492" t="str">
        <f t="shared" si="228"/>
        <v/>
      </c>
      <c r="AW110" s="492" t="str">
        <f t="shared" si="229"/>
        <v/>
      </c>
      <c r="AX110" s="492" t="str">
        <f t="shared" si="230"/>
        <v/>
      </c>
      <c r="AY110" s="492" t="str">
        <f t="shared" si="231"/>
        <v/>
      </c>
      <c r="AZ110" s="492" t="str">
        <f t="shared" si="232"/>
        <v/>
      </c>
      <c r="BA110" s="492" t="str">
        <f t="shared" si="233"/>
        <v/>
      </c>
      <c r="BB110" s="492" t="str">
        <f t="shared" si="234"/>
        <v/>
      </c>
      <c r="BC110" s="492" t="str">
        <f t="shared" si="235"/>
        <v/>
      </c>
      <c r="BD110" s="492" t="str">
        <f t="shared" si="236"/>
        <v/>
      </c>
      <c r="BE110" s="492" t="str">
        <f t="shared" si="237"/>
        <v/>
      </c>
      <c r="BF110" s="492" t="str">
        <f t="shared" si="238"/>
        <v/>
      </c>
      <c r="BG110" s="492" t="str">
        <f t="shared" si="239"/>
        <v/>
      </c>
      <c r="BH110" s="492" t="str">
        <f t="shared" si="240"/>
        <v/>
      </c>
      <c r="BI110" s="492" t="str">
        <f t="shared" si="241"/>
        <v/>
      </c>
      <c r="BJ110" s="492" t="str">
        <f t="shared" si="242"/>
        <v/>
      </c>
      <c r="BK110" s="492" t="str">
        <f t="shared" si="243"/>
        <v/>
      </c>
      <c r="BL110" s="492" t="str">
        <f t="shared" si="244"/>
        <v/>
      </c>
      <c r="BM110" s="492" t="str">
        <f t="shared" si="245"/>
        <v/>
      </c>
      <c r="BN110" s="492" t="str">
        <f t="shared" si="246"/>
        <v/>
      </c>
      <c r="BO110" s="492" t="str">
        <f t="shared" si="247"/>
        <v/>
      </c>
      <c r="BP110" s="492" t="str">
        <f t="shared" si="248"/>
        <v/>
      </c>
      <c r="BQ110" s="492" t="str">
        <f t="shared" si="249"/>
        <v/>
      </c>
      <c r="BR110" s="492" t="str">
        <f t="shared" si="250"/>
        <v/>
      </c>
      <c r="BS110" s="492" t="str">
        <f t="shared" si="251"/>
        <v/>
      </c>
      <c r="BT110" s="492" t="str">
        <f t="shared" si="252"/>
        <v/>
      </c>
      <c r="BU110" s="492" t="str">
        <f t="shared" si="253"/>
        <v/>
      </c>
      <c r="BV110" s="492" t="str">
        <f t="shared" si="254"/>
        <v/>
      </c>
      <c r="BW110" s="492" t="str">
        <f t="shared" si="255"/>
        <v/>
      </c>
      <c r="BX110" s="492" t="str">
        <f t="shared" si="256"/>
        <v/>
      </c>
      <c r="BY110" s="492" t="str">
        <f t="shared" si="257"/>
        <v/>
      </c>
      <c r="BZ110" s="492" t="str">
        <f t="shared" si="258"/>
        <v/>
      </c>
      <c r="CA110" s="492" t="str">
        <f t="shared" si="259"/>
        <v/>
      </c>
      <c r="CB110" s="492" t="str">
        <f t="shared" si="260"/>
        <v/>
      </c>
      <c r="CC110" s="492" t="str">
        <f t="shared" si="261"/>
        <v/>
      </c>
      <c r="CD110" s="492" t="str">
        <f t="shared" si="262"/>
        <v/>
      </c>
      <c r="CE110" s="492" t="str">
        <f t="shared" si="263"/>
        <v/>
      </c>
      <c r="CF110" s="492" t="str">
        <f t="shared" si="264"/>
        <v/>
      </c>
      <c r="CG110" s="492" t="str">
        <f t="shared" si="265"/>
        <v/>
      </c>
      <c r="CH110" s="492" t="str">
        <f t="shared" si="266"/>
        <v/>
      </c>
      <c r="CI110" s="492" t="str">
        <f t="shared" si="267"/>
        <v/>
      </c>
      <c r="CJ110" s="492" t="str">
        <f t="shared" si="268"/>
        <v/>
      </c>
      <c r="CK110" s="492" t="str">
        <f t="shared" si="269"/>
        <v/>
      </c>
      <c r="CL110" s="492" t="str">
        <f t="shared" si="270"/>
        <v/>
      </c>
      <c r="CM110" s="492" t="str">
        <f t="shared" si="271"/>
        <v/>
      </c>
      <c r="CN110" s="492" t="str">
        <f t="shared" si="272"/>
        <v/>
      </c>
      <c r="CO110" s="492" t="str">
        <f t="shared" si="273"/>
        <v/>
      </c>
      <c r="CP110" s="492" t="str">
        <f t="shared" si="274"/>
        <v/>
      </c>
      <c r="CQ110" s="492" t="str">
        <f t="shared" si="207"/>
        <v/>
      </c>
      <c r="CR110" s="492" t="str">
        <f t="shared" si="208"/>
        <v/>
      </c>
      <c r="CS110" s="492" t="str">
        <f t="shared" si="209"/>
        <v/>
      </c>
      <c r="CT110" s="492" t="str">
        <f t="shared" si="210"/>
        <v/>
      </c>
      <c r="CU110" s="492" t="str">
        <f t="shared" si="211"/>
        <v/>
      </c>
      <c r="CV110" s="492" t="str">
        <f t="shared" si="212"/>
        <v/>
      </c>
      <c r="CW110" s="495">
        <v>1</v>
      </c>
      <c r="CX110" s="496"/>
      <c r="CY110" s="496"/>
      <c r="CZ110" s="496"/>
      <c r="DA110" s="496"/>
      <c r="DB110" s="496"/>
    </row>
    <row r="111" spans="1:106" ht="13.5" customHeight="1">
      <c r="A111" s="1232">
        <v>101</v>
      </c>
      <c r="B111" s="1233"/>
      <c r="C111" s="1230"/>
      <c r="D111" s="1234"/>
      <c r="E111" s="1231"/>
      <c r="F111" s="1230"/>
      <c r="G111" s="1234"/>
      <c r="H111" s="1231"/>
      <c r="I111" s="1230"/>
      <c r="J111" s="1231"/>
      <c r="K111" s="1290"/>
      <c r="L111" s="1291"/>
      <c r="M111" s="1290"/>
      <c r="N111" s="1291"/>
      <c r="O111" s="1290"/>
      <c r="P111" s="1291"/>
      <c r="Q111" s="1230"/>
      <c r="R111" s="1231"/>
      <c r="S111" s="1230"/>
      <c r="T111" s="1231"/>
      <c r="U111" s="1228"/>
      <c r="V111" s="1229"/>
      <c r="W111" s="1230"/>
      <c r="X111" s="1231"/>
      <c r="Y111" s="1226"/>
      <c r="Z111" s="1227"/>
      <c r="AA111" s="1275"/>
      <c r="AB111" s="1275"/>
      <c r="AC111" s="1212" t="str">
        <f t="shared" si="275"/>
        <v/>
      </c>
      <c r="AD111" s="1213"/>
      <c r="AE111" s="1213"/>
      <c r="AF111" s="1213"/>
      <c r="AG111" s="492" t="str">
        <f t="shared" si="213"/>
        <v/>
      </c>
      <c r="AH111" s="466" t="str">
        <f t="shared" si="214"/>
        <v/>
      </c>
      <c r="AI111" s="466" t="str">
        <f t="shared" si="215"/>
        <v/>
      </c>
      <c r="AJ111" s="466" t="str">
        <f t="shared" si="216"/>
        <v/>
      </c>
      <c r="AK111" s="492" t="str">
        <f t="shared" si="217"/>
        <v>○</v>
      </c>
      <c r="AL111" s="492" t="str">
        <f t="shared" si="218"/>
        <v/>
      </c>
      <c r="AM111" s="492" t="str">
        <f t="shared" si="219"/>
        <v/>
      </c>
      <c r="AN111" s="492" t="str">
        <f t="shared" si="220"/>
        <v/>
      </c>
      <c r="AO111" s="492" t="str">
        <f t="shared" si="221"/>
        <v/>
      </c>
      <c r="AP111" s="492" t="str">
        <f t="shared" si="222"/>
        <v/>
      </c>
      <c r="AQ111" s="492" t="str">
        <f t="shared" si="223"/>
        <v/>
      </c>
      <c r="AR111" s="492" t="str">
        <f t="shared" si="224"/>
        <v/>
      </c>
      <c r="AS111" s="492" t="str">
        <f t="shared" si="225"/>
        <v/>
      </c>
      <c r="AT111" s="492" t="str">
        <f t="shared" si="226"/>
        <v/>
      </c>
      <c r="AU111" s="492" t="str">
        <f t="shared" si="227"/>
        <v/>
      </c>
      <c r="AV111" s="492" t="str">
        <f t="shared" si="228"/>
        <v/>
      </c>
      <c r="AW111" s="492" t="str">
        <f t="shared" si="229"/>
        <v/>
      </c>
      <c r="AX111" s="492" t="str">
        <f t="shared" si="230"/>
        <v/>
      </c>
      <c r="AY111" s="492" t="str">
        <f t="shared" si="231"/>
        <v/>
      </c>
      <c r="AZ111" s="492" t="str">
        <f t="shared" si="232"/>
        <v/>
      </c>
      <c r="BA111" s="492" t="str">
        <f t="shared" si="233"/>
        <v/>
      </c>
      <c r="BB111" s="492" t="str">
        <f t="shared" si="234"/>
        <v/>
      </c>
      <c r="BC111" s="492" t="str">
        <f t="shared" si="235"/>
        <v/>
      </c>
      <c r="BD111" s="492" t="str">
        <f t="shared" si="236"/>
        <v/>
      </c>
      <c r="BE111" s="492" t="str">
        <f t="shared" si="237"/>
        <v/>
      </c>
      <c r="BF111" s="492" t="str">
        <f t="shared" si="238"/>
        <v/>
      </c>
      <c r="BG111" s="492" t="str">
        <f t="shared" si="239"/>
        <v/>
      </c>
      <c r="BH111" s="492" t="str">
        <f t="shared" si="240"/>
        <v/>
      </c>
      <c r="BI111" s="492" t="str">
        <f t="shared" si="241"/>
        <v/>
      </c>
      <c r="BJ111" s="492" t="str">
        <f t="shared" si="242"/>
        <v/>
      </c>
      <c r="BK111" s="492" t="str">
        <f t="shared" si="243"/>
        <v/>
      </c>
      <c r="BL111" s="492" t="str">
        <f t="shared" si="244"/>
        <v/>
      </c>
      <c r="BM111" s="492" t="str">
        <f t="shared" si="245"/>
        <v/>
      </c>
      <c r="BN111" s="492" t="str">
        <f t="shared" si="246"/>
        <v/>
      </c>
      <c r="BO111" s="492" t="str">
        <f t="shared" si="247"/>
        <v/>
      </c>
      <c r="BP111" s="492" t="str">
        <f t="shared" si="248"/>
        <v/>
      </c>
      <c r="BQ111" s="492" t="str">
        <f t="shared" si="249"/>
        <v/>
      </c>
      <c r="BR111" s="492" t="str">
        <f t="shared" si="250"/>
        <v/>
      </c>
      <c r="BS111" s="492" t="str">
        <f t="shared" si="251"/>
        <v/>
      </c>
      <c r="BT111" s="492" t="str">
        <f t="shared" si="252"/>
        <v/>
      </c>
      <c r="BU111" s="492" t="str">
        <f t="shared" si="253"/>
        <v/>
      </c>
      <c r="BV111" s="492" t="str">
        <f t="shared" si="254"/>
        <v/>
      </c>
      <c r="BW111" s="492" t="str">
        <f t="shared" si="255"/>
        <v/>
      </c>
      <c r="BX111" s="492" t="str">
        <f t="shared" si="256"/>
        <v/>
      </c>
      <c r="BY111" s="492" t="str">
        <f t="shared" si="257"/>
        <v/>
      </c>
      <c r="BZ111" s="492" t="str">
        <f t="shared" si="258"/>
        <v/>
      </c>
      <c r="CA111" s="492" t="str">
        <f t="shared" si="259"/>
        <v/>
      </c>
      <c r="CB111" s="492" t="str">
        <f t="shared" si="260"/>
        <v/>
      </c>
      <c r="CC111" s="492" t="str">
        <f t="shared" si="261"/>
        <v/>
      </c>
      <c r="CD111" s="492" t="str">
        <f t="shared" si="262"/>
        <v/>
      </c>
      <c r="CE111" s="492" t="str">
        <f t="shared" si="263"/>
        <v/>
      </c>
      <c r="CF111" s="492" t="str">
        <f t="shared" si="264"/>
        <v/>
      </c>
      <c r="CG111" s="492" t="str">
        <f t="shared" si="265"/>
        <v/>
      </c>
      <c r="CH111" s="492" t="str">
        <f t="shared" si="266"/>
        <v/>
      </c>
      <c r="CI111" s="492" t="str">
        <f t="shared" si="267"/>
        <v/>
      </c>
      <c r="CJ111" s="492" t="str">
        <f t="shared" si="268"/>
        <v/>
      </c>
      <c r="CK111" s="492" t="str">
        <f t="shared" si="269"/>
        <v/>
      </c>
      <c r="CL111" s="492" t="str">
        <f t="shared" si="270"/>
        <v/>
      </c>
      <c r="CM111" s="492" t="str">
        <f t="shared" si="271"/>
        <v/>
      </c>
      <c r="CN111" s="492" t="str">
        <f t="shared" si="272"/>
        <v/>
      </c>
      <c r="CO111" s="492" t="str">
        <f t="shared" si="273"/>
        <v/>
      </c>
      <c r="CP111" s="492" t="str">
        <f t="shared" si="274"/>
        <v/>
      </c>
      <c r="CQ111" s="492" t="str">
        <f t="shared" si="207"/>
        <v/>
      </c>
      <c r="CR111" s="492" t="str">
        <f t="shared" si="208"/>
        <v/>
      </c>
      <c r="CS111" s="492" t="str">
        <f t="shared" si="209"/>
        <v/>
      </c>
      <c r="CT111" s="492" t="str">
        <f t="shared" si="210"/>
        <v/>
      </c>
      <c r="CU111" s="492" t="str">
        <f t="shared" si="211"/>
        <v/>
      </c>
      <c r="CV111" s="492" t="str">
        <f t="shared" si="212"/>
        <v/>
      </c>
      <c r="CW111" s="495">
        <v>1</v>
      </c>
      <c r="CX111" s="496"/>
      <c r="CY111" s="496"/>
      <c r="CZ111" s="496"/>
      <c r="DA111" s="496"/>
      <c r="DB111" s="496"/>
    </row>
    <row r="112" spans="1:106" ht="13.5" customHeight="1">
      <c r="A112" s="1232">
        <v>102</v>
      </c>
      <c r="B112" s="1233"/>
      <c r="C112" s="1230"/>
      <c r="D112" s="1234"/>
      <c r="E112" s="1231"/>
      <c r="F112" s="1230"/>
      <c r="G112" s="1234"/>
      <c r="H112" s="1231"/>
      <c r="I112" s="1230"/>
      <c r="J112" s="1231"/>
      <c r="K112" s="1290"/>
      <c r="L112" s="1291"/>
      <c r="M112" s="1290"/>
      <c r="N112" s="1291"/>
      <c r="O112" s="1290"/>
      <c r="P112" s="1291"/>
      <c r="Q112" s="1230"/>
      <c r="R112" s="1231"/>
      <c r="S112" s="1230"/>
      <c r="T112" s="1231"/>
      <c r="U112" s="1228"/>
      <c r="V112" s="1229"/>
      <c r="W112" s="1230"/>
      <c r="X112" s="1231"/>
      <c r="Y112" s="1226"/>
      <c r="Z112" s="1227"/>
      <c r="AA112" s="1275"/>
      <c r="AB112" s="1275"/>
      <c r="AC112" s="1212" t="str">
        <f t="shared" si="275"/>
        <v/>
      </c>
      <c r="AD112" s="1213"/>
      <c r="AE112" s="1213"/>
      <c r="AF112" s="1213"/>
      <c r="AG112" s="492" t="str">
        <f t="shared" si="213"/>
        <v/>
      </c>
      <c r="AH112" s="466" t="str">
        <f t="shared" si="214"/>
        <v/>
      </c>
      <c r="AI112" s="466" t="str">
        <f t="shared" si="215"/>
        <v/>
      </c>
      <c r="AJ112" s="466" t="str">
        <f t="shared" si="216"/>
        <v/>
      </c>
      <c r="AK112" s="492" t="str">
        <f t="shared" si="217"/>
        <v>○</v>
      </c>
      <c r="AL112" s="492" t="str">
        <f t="shared" si="218"/>
        <v/>
      </c>
      <c r="AM112" s="492" t="str">
        <f t="shared" si="219"/>
        <v/>
      </c>
      <c r="AN112" s="492" t="str">
        <f t="shared" si="220"/>
        <v/>
      </c>
      <c r="AO112" s="492" t="str">
        <f t="shared" si="221"/>
        <v/>
      </c>
      <c r="AP112" s="492" t="str">
        <f t="shared" si="222"/>
        <v/>
      </c>
      <c r="AQ112" s="492" t="str">
        <f t="shared" si="223"/>
        <v/>
      </c>
      <c r="AR112" s="492" t="str">
        <f t="shared" si="224"/>
        <v/>
      </c>
      <c r="AS112" s="492" t="str">
        <f t="shared" si="225"/>
        <v/>
      </c>
      <c r="AT112" s="492" t="str">
        <f t="shared" si="226"/>
        <v/>
      </c>
      <c r="AU112" s="492" t="str">
        <f t="shared" si="227"/>
        <v/>
      </c>
      <c r="AV112" s="492" t="str">
        <f t="shared" si="228"/>
        <v/>
      </c>
      <c r="AW112" s="492" t="str">
        <f t="shared" si="229"/>
        <v/>
      </c>
      <c r="AX112" s="492" t="str">
        <f t="shared" si="230"/>
        <v/>
      </c>
      <c r="AY112" s="492" t="str">
        <f t="shared" si="231"/>
        <v/>
      </c>
      <c r="AZ112" s="492" t="str">
        <f t="shared" si="232"/>
        <v/>
      </c>
      <c r="BA112" s="492" t="str">
        <f t="shared" si="233"/>
        <v/>
      </c>
      <c r="BB112" s="492" t="str">
        <f t="shared" si="234"/>
        <v/>
      </c>
      <c r="BC112" s="492" t="str">
        <f t="shared" si="235"/>
        <v/>
      </c>
      <c r="BD112" s="492" t="str">
        <f t="shared" si="236"/>
        <v/>
      </c>
      <c r="BE112" s="492" t="str">
        <f t="shared" si="237"/>
        <v/>
      </c>
      <c r="BF112" s="492" t="str">
        <f t="shared" si="238"/>
        <v/>
      </c>
      <c r="BG112" s="492" t="str">
        <f t="shared" si="239"/>
        <v/>
      </c>
      <c r="BH112" s="492" t="str">
        <f t="shared" si="240"/>
        <v/>
      </c>
      <c r="BI112" s="492" t="str">
        <f t="shared" si="241"/>
        <v/>
      </c>
      <c r="BJ112" s="492" t="str">
        <f t="shared" si="242"/>
        <v/>
      </c>
      <c r="BK112" s="492" t="str">
        <f t="shared" si="243"/>
        <v/>
      </c>
      <c r="BL112" s="492" t="str">
        <f t="shared" si="244"/>
        <v/>
      </c>
      <c r="BM112" s="492" t="str">
        <f t="shared" si="245"/>
        <v/>
      </c>
      <c r="BN112" s="492" t="str">
        <f t="shared" si="246"/>
        <v/>
      </c>
      <c r="BO112" s="492" t="str">
        <f t="shared" si="247"/>
        <v/>
      </c>
      <c r="BP112" s="492" t="str">
        <f t="shared" si="248"/>
        <v/>
      </c>
      <c r="BQ112" s="492" t="str">
        <f t="shared" si="249"/>
        <v/>
      </c>
      <c r="BR112" s="492" t="str">
        <f t="shared" si="250"/>
        <v/>
      </c>
      <c r="BS112" s="492" t="str">
        <f t="shared" si="251"/>
        <v/>
      </c>
      <c r="BT112" s="492" t="str">
        <f t="shared" si="252"/>
        <v/>
      </c>
      <c r="BU112" s="492" t="str">
        <f t="shared" si="253"/>
        <v/>
      </c>
      <c r="BV112" s="492" t="str">
        <f t="shared" si="254"/>
        <v/>
      </c>
      <c r="BW112" s="492" t="str">
        <f t="shared" si="255"/>
        <v/>
      </c>
      <c r="BX112" s="492" t="str">
        <f t="shared" si="256"/>
        <v/>
      </c>
      <c r="BY112" s="492" t="str">
        <f t="shared" si="257"/>
        <v/>
      </c>
      <c r="BZ112" s="492" t="str">
        <f t="shared" si="258"/>
        <v/>
      </c>
      <c r="CA112" s="492" t="str">
        <f t="shared" si="259"/>
        <v/>
      </c>
      <c r="CB112" s="492" t="str">
        <f t="shared" si="260"/>
        <v/>
      </c>
      <c r="CC112" s="492" t="str">
        <f t="shared" si="261"/>
        <v/>
      </c>
      <c r="CD112" s="492" t="str">
        <f t="shared" si="262"/>
        <v/>
      </c>
      <c r="CE112" s="492" t="str">
        <f t="shared" si="263"/>
        <v/>
      </c>
      <c r="CF112" s="492" t="str">
        <f t="shared" si="264"/>
        <v/>
      </c>
      <c r="CG112" s="492" t="str">
        <f t="shared" si="265"/>
        <v/>
      </c>
      <c r="CH112" s="492" t="str">
        <f t="shared" si="266"/>
        <v/>
      </c>
      <c r="CI112" s="492" t="str">
        <f t="shared" si="267"/>
        <v/>
      </c>
      <c r="CJ112" s="492" t="str">
        <f t="shared" si="268"/>
        <v/>
      </c>
      <c r="CK112" s="492" t="str">
        <f t="shared" si="269"/>
        <v/>
      </c>
      <c r="CL112" s="492" t="str">
        <f t="shared" si="270"/>
        <v/>
      </c>
      <c r="CM112" s="492" t="str">
        <f t="shared" si="271"/>
        <v/>
      </c>
      <c r="CN112" s="492" t="str">
        <f t="shared" si="272"/>
        <v/>
      </c>
      <c r="CO112" s="492" t="str">
        <f t="shared" si="273"/>
        <v/>
      </c>
      <c r="CP112" s="492" t="str">
        <f t="shared" si="274"/>
        <v/>
      </c>
      <c r="CQ112" s="492" t="str">
        <f t="shared" si="207"/>
        <v/>
      </c>
      <c r="CR112" s="492" t="str">
        <f t="shared" si="208"/>
        <v/>
      </c>
      <c r="CS112" s="492" t="str">
        <f t="shared" si="209"/>
        <v/>
      </c>
      <c r="CT112" s="492" t="str">
        <f t="shared" si="210"/>
        <v/>
      </c>
      <c r="CU112" s="492" t="str">
        <f t="shared" si="211"/>
        <v/>
      </c>
      <c r="CV112" s="492" t="str">
        <f t="shared" si="212"/>
        <v/>
      </c>
      <c r="CW112" s="495">
        <v>1</v>
      </c>
      <c r="CX112" s="496"/>
      <c r="CY112" s="496"/>
      <c r="CZ112" s="496"/>
      <c r="DA112" s="496"/>
      <c r="DB112" s="496"/>
    </row>
    <row r="113" spans="1:106" ht="13.5" customHeight="1">
      <c r="A113" s="1232">
        <v>103</v>
      </c>
      <c r="B113" s="1233"/>
      <c r="C113" s="1230"/>
      <c r="D113" s="1234"/>
      <c r="E113" s="1231"/>
      <c r="F113" s="1230"/>
      <c r="G113" s="1234"/>
      <c r="H113" s="1231"/>
      <c r="I113" s="1230"/>
      <c r="J113" s="1231"/>
      <c r="K113" s="1290"/>
      <c r="L113" s="1291"/>
      <c r="M113" s="1290"/>
      <c r="N113" s="1291"/>
      <c r="O113" s="1290"/>
      <c r="P113" s="1291"/>
      <c r="Q113" s="1230"/>
      <c r="R113" s="1231"/>
      <c r="S113" s="1230"/>
      <c r="T113" s="1231"/>
      <c r="U113" s="1228"/>
      <c r="V113" s="1229"/>
      <c r="W113" s="1230"/>
      <c r="X113" s="1231"/>
      <c r="Y113" s="1226"/>
      <c r="Z113" s="1227"/>
      <c r="AA113" s="1275"/>
      <c r="AB113" s="1275"/>
      <c r="AC113" s="1212" t="str">
        <f t="shared" si="275"/>
        <v/>
      </c>
      <c r="AD113" s="1213"/>
      <c r="AE113" s="1213"/>
      <c r="AF113" s="1213"/>
      <c r="AG113" s="492" t="str">
        <f t="shared" si="213"/>
        <v/>
      </c>
      <c r="AH113" s="466" t="str">
        <f t="shared" si="214"/>
        <v/>
      </c>
      <c r="AI113" s="466" t="str">
        <f t="shared" si="215"/>
        <v/>
      </c>
      <c r="AJ113" s="466" t="str">
        <f t="shared" si="216"/>
        <v/>
      </c>
      <c r="AK113" s="492" t="str">
        <f t="shared" si="217"/>
        <v>○</v>
      </c>
      <c r="AL113" s="492" t="str">
        <f t="shared" si="218"/>
        <v/>
      </c>
      <c r="AM113" s="492" t="str">
        <f t="shared" si="219"/>
        <v/>
      </c>
      <c r="AN113" s="492" t="str">
        <f t="shared" si="220"/>
        <v/>
      </c>
      <c r="AO113" s="492" t="str">
        <f t="shared" si="221"/>
        <v/>
      </c>
      <c r="AP113" s="492" t="str">
        <f t="shared" si="222"/>
        <v/>
      </c>
      <c r="AQ113" s="492" t="str">
        <f t="shared" si="223"/>
        <v/>
      </c>
      <c r="AR113" s="492" t="str">
        <f t="shared" si="224"/>
        <v/>
      </c>
      <c r="AS113" s="492" t="str">
        <f t="shared" si="225"/>
        <v/>
      </c>
      <c r="AT113" s="492" t="str">
        <f t="shared" si="226"/>
        <v/>
      </c>
      <c r="AU113" s="492" t="str">
        <f t="shared" si="227"/>
        <v/>
      </c>
      <c r="AV113" s="492" t="str">
        <f t="shared" si="228"/>
        <v/>
      </c>
      <c r="AW113" s="492" t="str">
        <f t="shared" si="229"/>
        <v/>
      </c>
      <c r="AX113" s="492" t="str">
        <f t="shared" si="230"/>
        <v/>
      </c>
      <c r="AY113" s="492" t="str">
        <f t="shared" si="231"/>
        <v/>
      </c>
      <c r="AZ113" s="492" t="str">
        <f t="shared" si="232"/>
        <v/>
      </c>
      <c r="BA113" s="492" t="str">
        <f t="shared" si="233"/>
        <v/>
      </c>
      <c r="BB113" s="492" t="str">
        <f t="shared" si="234"/>
        <v/>
      </c>
      <c r="BC113" s="492" t="str">
        <f t="shared" si="235"/>
        <v/>
      </c>
      <c r="BD113" s="492" t="str">
        <f t="shared" si="236"/>
        <v/>
      </c>
      <c r="BE113" s="492" t="str">
        <f t="shared" si="237"/>
        <v/>
      </c>
      <c r="BF113" s="492" t="str">
        <f t="shared" si="238"/>
        <v/>
      </c>
      <c r="BG113" s="492" t="str">
        <f t="shared" si="239"/>
        <v/>
      </c>
      <c r="BH113" s="492" t="str">
        <f t="shared" si="240"/>
        <v/>
      </c>
      <c r="BI113" s="492" t="str">
        <f t="shared" si="241"/>
        <v/>
      </c>
      <c r="BJ113" s="492" t="str">
        <f t="shared" si="242"/>
        <v/>
      </c>
      <c r="BK113" s="492" t="str">
        <f t="shared" si="243"/>
        <v/>
      </c>
      <c r="BL113" s="492" t="str">
        <f t="shared" si="244"/>
        <v/>
      </c>
      <c r="BM113" s="492" t="str">
        <f t="shared" si="245"/>
        <v/>
      </c>
      <c r="BN113" s="492" t="str">
        <f t="shared" si="246"/>
        <v/>
      </c>
      <c r="BO113" s="492" t="str">
        <f t="shared" si="247"/>
        <v/>
      </c>
      <c r="BP113" s="492" t="str">
        <f t="shared" si="248"/>
        <v/>
      </c>
      <c r="BQ113" s="492" t="str">
        <f t="shared" si="249"/>
        <v/>
      </c>
      <c r="BR113" s="492" t="str">
        <f t="shared" si="250"/>
        <v/>
      </c>
      <c r="BS113" s="492" t="str">
        <f t="shared" si="251"/>
        <v/>
      </c>
      <c r="BT113" s="492" t="str">
        <f t="shared" si="252"/>
        <v/>
      </c>
      <c r="BU113" s="492" t="str">
        <f t="shared" si="253"/>
        <v/>
      </c>
      <c r="BV113" s="492" t="str">
        <f t="shared" si="254"/>
        <v/>
      </c>
      <c r="BW113" s="492" t="str">
        <f t="shared" si="255"/>
        <v/>
      </c>
      <c r="BX113" s="492" t="str">
        <f t="shared" si="256"/>
        <v/>
      </c>
      <c r="BY113" s="492" t="str">
        <f t="shared" si="257"/>
        <v/>
      </c>
      <c r="BZ113" s="492" t="str">
        <f t="shared" si="258"/>
        <v/>
      </c>
      <c r="CA113" s="492" t="str">
        <f t="shared" si="259"/>
        <v/>
      </c>
      <c r="CB113" s="492" t="str">
        <f t="shared" si="260"/>
        <v/>
      </c>
      <c r="CC113" s="492" t="str">
        <f t="shared" si="261"/>
        <v/>
      </c>
      <c r="CD113" s="492" t="str">
        <f t="shared" si="262"/>
        <v/>
      </c>
      <c r="CE113" s="492" t="str">
        <f t="shared" si="263"/>
        <v/>
      </c>
      <c r="CF113" s="492" t="str">
        <f t="shared" si="264"/>
        <v/>
      </c>
      <c r="CG113" s="492" t="str">
        <f t="shared" si="265"/>
        <v/>
      </c>
      <c r="CH113" s="492" t="str">
        <f t="shared" si="266"/>
        <v/>
      </c>
      <c r="CI113" s="492" t="str">
        <f t="shared" si="267"/>
        <v/>
      </c>
      <c r="CJ113" s="492" t="str">
        <f t="shared" si="268"/>
        <v/>
      </c>
      <c r="CK113" s="492" t="str">
        <f t="shared" si="269"/>
        <v/>
      </c>
      <c r="CL113" s="492" t="str">
        <f t="shared" si="270"/>
        <v/>
      </c>
      <c r="CM113" s="492" t="str">
        <f t="shared" si="271"/>
        <v/>
      </c>
      <c r="CN113" s="492" t="str">
        <f t="shared" si="272"/>
        <v/>
      </c>
      <c r="CO113" s="492" t="str">
        <f t="shared" si="273"/>
        <v/>
      </c>
      <c r="CP113" s="492" t="str">
        <f t="shared" si="274"/>
        <v/>
      </c>
      <c r="CQ113" s="492" t="str">
        <f t="shared" si="207"/>
        <v/>
      </c>
      <c r="CR113" s="492" t="str">
        <f t="shared" si="208"/>
        <v/>
      </c>
      <c r="CS113" s="492" t="str">
        <f t="shared" si="209"/>
        <v/>
      </c>
      <c r="CT113" s="492" t="str">
        <f t="shared" si="210"/>
        <v/>
      </c>
      <c r="CU113" s="492" t="str">
        <f t="shared" si="211"/>
        <v/>
      </c>
      <c r="CV113" s="492" t="str">
        <f t="shared" si="212"/>
        <v/>
      </c>
      <c r="CW113" s="495">
        <v>1</v>
      </c>
      <c r="CX113" s="496"/>
      <c r="CY113" s="496"/>
      <c r="CZ113" s="496"/>
      <c r="DA113" s="496"/>
      <c r="DB113" s="496"/>
    </row>
    <row r="114" spans="1:106" ht="13.5" customHeight="1">
      <c r="A114" s="1232">
        <v>104</v>
      </c>
      <c r="B114" s="1233"/>
      <c r="C114" s="1230"/>
      <c r="D114" s="1234"/>
      <c r="E114" s="1231"/>
      <c r="F114" s="1230"/>
      <c r="G114" s="1234"/>
      <c r="H114" s="1231"/>
      <c r="I114" s="1230"/>
      <c r="J114" s="1231"/>
      <c r="K114" s="1290"/>
      <c r="L114" s="1291"/>
      <c r="M114" s="1290"/>
      <c r="N114" s="1291"/>
      <c r="O114" s="1290"/>
      <c r="P114" s="1291"/>
      <c r="Q114" s="1230"/>
      <c r="R114" s="1231"/>
      <c r="S114" s="1230"/>
      <c r="T114" s="1231"/>
      <c r="U114" s="1228"/>
      <c r="V114" s="1229"/>
      <c r="W114" s="1230"/>
      <c r="X114" s="1231"/>
      <c r="Y114" s="1226"/>
      <c r="Z114" s="1227"/>
      <c r="AA114" s="1275"/>
      <c r="AB114" s="1275"/>
      <c r="AC114" s="1212" t="str">
        <f t="shared" si="275"/>
        <v/>
      </c>
      <c r="AD114" s="1213"/>
      <c r="AE114" s="1213"/>
      <c r="AF114" s="1213"/>
      <c r="AG114" s="492" t="str">
        <f t="shared" si="213"/>
        <v/>
      </c>
      <c r="AH114" s="466" t="str">
        <f t="shared" si="214"/>
        <v/>
      </c>
      <c r="AI114" s="466" t="str">
        <f t="shared" si="215"/>
        <v/>
      </c>
      <c r="AJ114" s="466" t="str">
        <f t="shared" si="216"/>
        <v/>
      </c>
      <c r="AK114" s="492" t="str">
        <f t="shared" si="217"/>
        <v>○</v>
      </c>
      <c r="AL114" s="492" t="str">
        <f t="shared" si="218"/>
        <v/>
      </c>
      <c r="AM114" s="492" t="str">
        <f t="shared" si="219"/>
        <v/>
      </c>
      <c r="AN114" s="492" t="str">
        <f t="shared" si="220"/>
        <v/>
      </c>
      <c r="AO114" s="492" t="str">
        <f t="shared" si="221"/>
        <v/>
      </c>
      <c r="AP114" s="492" t="str">
        <f t="shared" si="222"/>
        <v/>
      </c>
      <c r="AQ114" s="492" t="str">
        <f t="shared" si="223"/>
        <v/>
      </c>
      <c r="AR114" s="492" t="str">
        <f t="shared" si="224"/>
        <v/>
      </c>
      <c r="AS114" s="492" t="str">
        <f t="shared" si="225"/>
        <v/>
      </c>
      <c r="AT114" s="492" t="str">
        <f t="shared" si="226"/>
        <v/>
      </c>
      <c r="AU114" s="492" t="str">
        <f t="shared" si="227"/>
        <v/>
      </c>
      <c r="AV114" s="492" t="str">
        <f t="shared" si="228"/>
        <v/>
      </c>
      <c r="AW114" s="492" t="str">
        <f t="shared" si="229"/>
        <v/>
      </c>
      <c r="AX114" s="492" t="str">
        <f t="shared" si="230"/>
        <v/>
      </c>
      <c r="AY114" s="492" t="str">
        <f t="shared" si="231"/>
        <v/>
      </c>
      <c r="AZ114" s="492" t="str">
        <f t="shared" si="232"/>
        <v/>
      </c>
      <c r="BA114" s="492" t="str">
        <f t="shared" si="233"/>
        <v/>
      </c>
      <c r="BB114" s="492" t="str">
        <f t="shared" si="234"/>
        <v/>
      </c>
      <c r="BC114" s="492" t="str">
        <f t="shared" si="235"/>
        <v/>
      </c>
      <c r="BD114" s="492" t="str">
        <f t="shared" si="236"/>
        <v/>
      </c>
      <c r="BE114" s="492" t="str">
        <f t="shared" si="237"/>
        <v/>
      </c>
      <c r="BF114" s="492" t="str">
        <f t="shared" si="238"/>
        <v/>
      </c>
      <c r="BG114" s="492" t="str">
        <f t="shared" si="239"/>
        <v/>
      </c>
      <c r="BH114" s="492" t="str">
        <f t="shared" si="240"/>
        <v/>
      </c>
      <c r="BI114" s="492" t="str">
        <f t="shared" si="241"/>
        <v/>
      </c>
      <c r="BJ114" s="492" t="str">
        <f t="shared" si="242"/>
        <v/>
      </c>
      <c r="BK114" s="492" t="str">
        <f t="shared" si="243"/>
        <v/>
      </c>
      <c r="BL114" s="492" t="str">
        <f t="shared" si="244"/>
        <v/>
      </c>
      <c r="BM114" s="492" t="str">
        <f t="shared" si="245"/>
        <v/>
      </c>
      <c r="BN114" s="492" t="str">
        <f t="shared" si="246"/>
        <v/>
      </c>
      <c r="BO114" s="492" t="str">
        <f t="shared" si="247"/>
        <v/>
      </c>
      <c r="BP114" s="492" t="str">
        <f t="shared" si="248"/>
        <v/>
      </c>
      <c r="BQ114" s="492" t="str">
        <f t="shared" si="249"/>
        <v/>
      </c>
      <c r="BR114" s="492" t="str">
        <f t="shared" si="250"/>
        <v/>
      </c>
      <c r="BS114" s="492" t="str">
        <f t="shared" si="251"/>
        <v/>
      </c>
      <c r="BT114" s="492" t="str">
        <f t="shared" si="252"/>
        <v/>
      </c>
      <c r="BU114" s="492" t="str">
        <f t="shared" si="253"/>
        <v/>
      </c>
      <c r="BV114" s="492" t="str">
        <f t="shared" si="254"/>
        <v/>
      </c>
      <c r="BW114" s="492" t="str">
        <f t="shared" si="255"/>
        <v/>
      </c>
      <c r="BX114" s="492" t="str">
        <f t="shared" si="256"/>
        <v/>
      </c>
      <c r="BY114" s="492" t="str">
        <f t="shared" si="257"/>
        <v/>
      </c>
      <c r="BZ114" s="492" t="str">
        <f t="shared" si="258"/>
        <v/>
      </c>
      <c r="CA114" s="492" t="str">
        <f t="shared" si="259"/>
        <v/>
      </c>
      <c r="CB114" s="492" t="str">
        <f t="shared" si="260"/>
        <v/>
      </c>
      <c r="CC114" s="492" t="str">
        <f t="shared" si="261"/>
        <v/>
      </c>
      <c r="CD114" s="492" t="str">
        <f t="shared" si="262"/>
        <v/>
      </c>
      <c r="CE114" s="492" t="str">
        <f t="shared" si="263"/>
        <v/>
      </c>
      <c r="CF114" s="492" t="str">
        <f t="shared" si="264"/>
        <v/>
      </c>
      <c r="CG114" s="492" t="str">
        <f t="shared" si="265"/>
        <v/>
      </c>
      <c r="CH114" s="492" t="str">
        <f t="shared" si="266"/>
        <v/>
      </c>
      <c r="CI114" s="492" t="str">
        <f t="shared" si="267"/>
        <v/>
      </c>
      <c r="CJ114" s="492" t="str">
        <f t="shared" si="268"/>
        <v/>
      </c>
      <c r="CK114" s="492" t="str">
        <f t="shared" si="269"/>
        <v/>
      </c>
      <c r="CL114" s="492" t="str">
        <f t="shared" si="270"/>
        <v/>
      </c>
      <c r="CM114" s="492" t="str">
        <f t="shared" si="271"/>
        <v/>
      </c>
      <c r="CN114" s="492" t="str">
        <f t="shared" si="272"/>
        <v/>
      </c>
      <c r="CO114" s="492" t="str">
        <f t="shared" si="273"/>
        <v/>
      </c>
      <c r="CP114" s="492" t="str">
        <f t="shared" si="274"/>
        <v/>
      </c>
      <c r="CQ114" s="492" t="str">
        <f t="shared" si="207"/>
        <v/>
      </c>
      <c r="CR114" s="492" t="str">
        <f t="shared" si="208"/>
        <v/>
      </c>
      <c r="CS114" s="492" t="str">
        <f t="shared" si="209"/>
        <v/>
      </c>
      <c r="CT114" s="492" t="str">
        <f t="shared" si="210"/>
        <v/>
      </c>
      <c r="CU114" s="492" t="str">
        <f t="shared" si="211"/>
        <v/>
      </c>
      <c r="CV114" s="492" t="str">
        <f t="shared" si="212"/>
        <v/>
      </c>
      <c r="CW114" s="495">
        <v>1</v>
      </c>
      <c r="CX114" s="496"/>
      <c r="CY114" s="496"/>
      <c r="CZ114" s="496"/>
      <c r="DA114" s="496"/>
      <c r="DB114" s="496"/>
    </row>
    <row r="115" spans="1:106" ht="13.5" customHeight="1">
      <c r="A115" s="1232">
        <v>105</v>
      </c>
      <c r="B115" s="1233"/>
      <c r="C115" s="1230"/>
      <c r="D115" s="1234"/>
      <c r="E115" s="1231"/>
      <c r="F115" s="1230"/>
      <c r="G115" s="1234"/>
      <c r="H115" s="1231"/>
      <c r="I115" s="1230"/>
      <c r="J115" s="1231"/>
      <c r="K115" s="1290"/>
      <c r="L115" s="1291"/>
      <c r="M115" s="1290"/>
      <c r="N115" s="1291"/>
      <c r="O115" s="1290"/>
      <c r="P115" s="1291"/>
      <c r="Q115" s="1230"/>
      <c r="R115" s="1231"/>
      <c r="S115" s="1230"/>
      <c r="T115" s="1231"/>
      <c r="U115" s="1228"/>
      <c r="V115" s="1229"/>
      <c r="W115" s="1230"/>
      <c r="X115" s="1231"/>
      <c r="Y115" s="1226"/>
      <c r="Z115" s="1227"/>
      <c r="AA115" s="1275"/>
      <c r="AB115" s="1275"/>
      <c r="AC115" s="1212" t="str">
        <f t="shared" si="275"/>
        <v/>
      </c>
      <c r="AD115" s="1213"/>
      <c r="AE115" s="1213"/>
      <c r="AF115" s="1213"/>
      <c r="AG115" s="492" t="str">
        <f t="shared" si="213"/>
        <v/>
      </c>
      <c r="AH115" s="466" t="str">
        <f t="shared" si="214"/>
        <v/>
      </c>
      <c r="AI115" s="466" t="str">
        <f t="shared" si="215"/>
        <v/>
      </c>
      <c r="AJ115" s="466" t="str">
        <f t="shared" si="216"/>
        <v/>
      </c>
      <c r="AK115" s="492" t="str">
        <f t="shared" si="217"/>
        <v>○</v>
      </c>
      <c r="AL115" s="492" t="str">
        <f t="shared" si="218"/>
        <v/>
      </c>
      <c r="AM115" s="492" t="str">
        <f t="shared" si="219"/>
        <v/>
      </c>
      <c r="AN115" s="492" t="str">
        <f t="shared" si="220"/>
        <v/>
      </c>
      <c r="AO115" s="492" t="str">
        <f t="shared" si="221"/>
        <v/>
      </c>
      <c r="AP115" s="492" t="str">
        <f t="shared" si="222"/>
        <v/>
      </c>
      <c r="AQ115" s="492" t="str">
        <f t="shared" si="223"/>
        <v/>
      </c>
      <c r="AR115" s="492" t="str">
        <f t="shared" si="224"/>
        <v/>
      </c>
      <c r="AS115" s="492" t="str">
        <f t="shared" si="225"/>
        <v/>
      </c>
      <c r="AT115" s="492" t="str">
        <f t="shared" si="226"/>
        <v/>
      </c>
      <c r="AU115" s="492" t="str">
        <f t="shared" si="227"/>
        <v/>
      </c>
      <c r="AV115" s="492" t="str">
        <f t="shared" si="228"/>
        <v/>
      </c>
      <c r="AW115" s="492" t="str">
        <f t="shared" si="229"/>
        <v/>
      </c>
      <c r="AX115" s="492" t="str">
        <f t="shared" si="230"/>
        <v/>
      </c>
      <c r="AY115" s="492" t="str">
        <f t="shared" si="231"/>
        <v/>
      </c>
      <c r="AZ115" s="492" t="str">
        <f t="shared" si="232"/>
        <v/>
      </c>
      <c r="BA115" s="492" t="str">
        <f t="shared" si="233"/>
        <v/>
      </c>
      <c r="BB115" s="492" t="str">
        <f t="shared" si="234"/>
        <v/>
      </c>
      <c r="BC115" s="492" t="str">
        <f t="shared" si="235"/>
        <v/>
      </c>
      <c r="BD115" s="492" t="str">
        <f t="shared" si="236"/>
        <v/>
      </c>
      <c r="BE115" s="492" t="str">
        <f t="shared" si="237"/>
        <v/>
      </c>
      <c r="BF115" s="492" t="str">
        <f t="shared" si="238"/>
        <v/>
      </c>
      <c r="BG115" s="492" t="str">
        <f t="shared" si="239"/>
        <v/>
      </c>
      <c r="BH115" s="492" t="str">
        <f t="shared" si="240"/>
        <v/>
      </c>
      <c r="BI115" s="492" t="str">
        <f t="shared" si="241"/>
        <v/>
      </c>
      <c r="BJ115" s="492" t="str">
        <f t="shared" si="242"/>
        <v/>
      </c>
      <c r="BK115" s="492" t="str">
        <f t="shared" si="243"/>
        <v/>
      </c>
      <c r="BL115" s="492" t="str">
        <f t="shared" si="244"/>
        <v/>
      </c>
      <c r="BM115" s="492" t="str">
        <f t="shared" si="245"/>
        <v/>
      </c>
      <c r="BN115" s="492" t="str">
        <f t="shared" si="246"/>
        <v/>
      </c>
      <c r="BO115" s="492" t="str">
        <f t="shared" si="247"/>
        <v/>
      </c>
      <c r="BP115" s="492" t="str">
        <f t="shared" si="248"/>
        <v/>
      </c>
      <c r="BQ115" s="492" t="str">
        <f t="shared" si="249"/>
        <v/>
      </c>
      <c r="BR115" s="492" t="str">
        <f t="shared" si="250"/>
        <v/>
      </c>
      <c r="BS115" s="492" t="str">
        <f t="shared" si="251"/>
        <v/>
      </c>
      <c r="BT115" s="492" t="str">
        <f t="shared" si="252"/>
        <v/>
      </c>
      <c r="BU115" s="492" t="str">
        <f t="shared" si="253"/>
        <v/>
      </c>
      <c r="BV115" s="492" t="str">
        <f t="shared" si="254"/>
        <v/>
      </c>
      <c r="BW115" s="492" t="str">
        <f t="shared" si="255"/>
        <v/>
      </c>
      <c r="BX115" s="492" t="str">
        <f t="shared" si="256"/>
        <v/>
      </c>
      <c r="BY115" s="492" t="str">
        <f t="shared" si="257"/>
        <v/>
      </c>
      <c r="BZ115" s="492" t="str">
        <f t="shared" si="258"/>
        <v/>
      </c>
      <c r="CA115" s="492" t="str">
        <f t="shared" si="259"/>
        <v/>
      </c>
      <c r="CB115" s="492" t="str">
        <f t="shared" si="260"/>
        <v/>
      </c>
      <c r="CC115" s="492" t="str">
        <f t="shared" si="261"/>
        <v/>
      </c>
      <c r="CD115" s="492" t="str">
        <f t="shared" si="262"/>
        <v/>
      </c>
      <c r="CE115" s="492" t="str">
        <f t="shared" si="263"/>
        <v/>
      </c>
      <c r="CF115" s="492" t="str">
        <f t="shared" si="264"/>
        <v/>
      </c>
      <c r="CG115" s="492" t="str">
        <f t="shared" si="265"/>
        <v/>
      </c>
      <c r="CH115" s="492" t="str">
        <f t="shared" si="266"/>
        <v/>
      </c>
      <c r="CI115" s="492" t="str">
        <f t="shared" si="267"/>
        <v/>
      </c>
      <c r="CJ115" s="492" t="str">
        <f t="shared" si="268"/>
        <v/>
      </c>
      <c r="CK115" s="492" t="str">
        <f t="shared" si="269"/>
        <v/>
      </c>
      <c r="CL115" s="492" t="str">
        <f t="shared" si="270"/>
        <v/>
      </c>
      <c r="CM115" s="492" t="str">
        <f t="shared" si="271"/>
        <v/>
      </c>
      <c r="CN115" s="492" t="str">
        <f t="shared" si="272"/>
        <v/>
      </c>
      <c r="CO115" s="492" t="str">
        <f t="shared" si="273"/>
        <v/>
      </c>
      <c r="CP115" s="492" t="str">
        <f t="shared" si="274"/>
        <v/>
      </c>
      <c r="CQ115" s="492" t="str">
        <f t="shared" si="207"/>
        <v/>
      </c>
      <c r="CR115" s="492" t="str">
        <f t="shared" si="208"/>
        <v/>
      </c>
      <c r="CS115" s="492" t="str">
        <f t="shared" si="209"/>
        <v/>
      </c>
      <c r="CT115" s="492" t="str">
        <f t="shared" si="210"/>
        <v/>
      </c>
      <c r="CU115" s="492" t="str">
        <f t="shared" si="211"/>
        <v/>
      </c>
      <c r="CV115" s="492" t="str">
        <f t="shared" si="212"/>
        <v/>
      </c>
      <c r="CW115" s="495">
        <v>1</v>
      </c>
      <c r="CX115" s="496"/>
      <c r="CY115" s="496"/>
      <c r="CZ115" s="496"/>
      <c r="DA115" s="496"/>
      <c r="DB115" s="496"/>
    </row>
    <row r="116" spans="1:106" ht="13.5" customHeight="1">
      <c r="A116" s="1232">
        <v>106</v>
      </c>
      <c r="B116" s="1233"/>
      <c r="C116" s="1230"/>
      <c r="D116" s="1234"/>
      <c r="E116" s="1231"/>
      <c r="F116" s="1230"/>
      <c r="G116" s="1234"/>
      <c r="H116" s="1231"/>
      <c r="I116" s="1230"/>
      <c r="J116" s="1231"/>
      <c r="K116" s="1290"/>
      <c r="L116" s="1291"/>
      <c r="M116" s="1290"/>
      <c r="N116" s="1291"/>
      <c r="O116" s="1290"/>
      <c r="P116" s="1291"/>
      <c r="Q116" s="1230"/>
      <c r="R116" s="1231"/>
      <c r="S116" s="1230"/>
      <c r="T116" s="1231"/>
      <c r="U116" s="1228"/>
      <c r="V116" s="1229"/>
      <c r="W116" s="1230"/>
      <c r="X116" s="1231"/>
      <c r="Y116" s="1226"/>
      <c r="Z116" s="1227"/>
      <c r="AA116" s="1275"/>
      <c r="AB116" s="1275"/>
      <c r="AC116" s="1212" t="str">
        <f t="shared" si="275"/>
        <v/>
      </c>
      <c r="AD116" s="1213"/>
      <c r="AE116" s="1213"/>
      <c r="AF116" s="1213"/>
      <c r="AG116" s="492" t="str">
        <f t="shared" si="213"/>
        <v/>
      </c>
      <c r="AH116" s="466" t="str">
        <f t="shared" si="214"/>
        <v/>
      </c>
      <c r="AI116" s="466" t="str">
        <f t="shared" si="215"/>
        <v/>
      </c>
      <c r="AJ116" s="466" t="str">
        <f t="shared" si="216"/>
        <v/>
      </c>
      <c r="AK116" s="492" t="str">
        <f t="shared" si="217"/>
        <v>○</v>
      </c>
      <c r="AL116" s="492" t="str">
        <f t="shared" si="218"/>
        <v/>
      </c>
      <c r="AM116" s="492" t="str">
        <f t="shared" si="219"/>
        <v/>
      </c>
      <c r="AN116" s="492" t="str">
        <f t="shared" si="220"/>
        <v/>
      </c>
      <c r="AO116" s="492" t="str">
        <f t="shared" si="221"/>
        <v/>
      </c>
      <c r="AP116" s="492" t="str">
        <f t="shared" si="222"/>
        <v/>
      </c>
      <c r="AQ116" s="492" t="str">
        <f t="shared" si="223"/>
        <v/>
      </c>
      <c r="AR116" s="492" t="str">
        <f t="shared" si="224"/>
        <v/>
      </c>
      <c r="AS116" s="492" t="str">
        <f t="shared" si="225"/>
        <v/>
      </c>
      <c r="AT116" s="492" t="str">
        <f t="shared" si="226"/>
        <v/>
      </c>
      <c r="AU116" s="492" t="str">
        <f t="shared" si="227"/>
        <v/>
      </c>
      <c r="AV116" s="492" t="str">
        <f t="shared" si="228"/>
        <v/>
      </c>
      <c r="AW116" s="492" t="str">
        <f t="shared" si="229"/>
        <v/>
      </c>
      <c r="AX116" s="492" t="str">
        <f t="shared" si="230"/>
        <v/>
      </c>
      <c r="AY116" s="492" t="str">
        <f t="shared" si="231"/>
        <v/>
      </c>
      <c r="AZ116" s="492" t="str">
        <f t="shared" si="232"/>
        <v/>
      </c>
      <c r="BA116" s="492" t="str">
        <f t="shared" si="233"/>
        <v/>
      </c>
      <c r="BB116" s="492" t="str">
        <f t="shared" si="234"/>
        <v/>
      </c>
      <c r="BC116" s="492" t="str">
        <f t="shared" si="235"/>
        <v/>
      </c>
      <c r="BD116" s="492" t="str">
        <f t="shared" si="236"/>
        <v/>
      </c>
      <c r="BE116" s="492" t="str">
        <f t="shared" si="237"/>
        <v/>
      </c>
      <c r="BF116" s="492" t="str">
        <f t="shared" si="238"/>
        <v/>
      </c>
      <c r="BG116" s="492" t="str">
        <f t="shared" si="239"/>
        <v/>
      </c>
      <c r="BH116" s="492" t="str">
        <f t="shared" si="240"/>
        <v/>
      </c>
      <c r="BI116" s="492" t="str">
        <f t="shared" si="241"/>
        <v/>
      </c>
      <c r="BJ116" s="492" t="str">
        <f t="shared" si="242"/>
        <v/>
      </c>
      <c r="BK116" s="492" t="str">
        <f t="shared" si="243"/>
        <v/>
      </c>
      <c r="BL116" s="492" t="str">
        <f t="shared" si="244"/>
        <v/>
      </c>
      <c r="BM116" s="492" t="str">
        <f t="shared" si="245"/>
        <v/>
      </c>
      <c r="BN116" s="492" t="str">
        <f t="shared" si="246"/>
        <v/>
      </c>
      <c r="BO116" s="492" t="str">
        <f t="shared" si="247"/>
        <v/>
      </c>
      <c r="BP116" s="492" t="str">
        <f t="shared" si="248"/>
        <v/>
      </c>
      <c r="BQ116" s="492" t="str">
        <f t="shared" si="249"/>
        <v/>
      </c>
      <c r="BR116" s="492" t="str">
        <f t="shared" si="250"/>
        <v/>
      </c>
      <c r="BS116" s="492" t="str">
        <f t="shared" si="251"/>
        <v/>
      </c>
      <c r="BT116" s="492" t="str">
        <f t="shared" si="252"/>
        <v/>
      </c>
      <c r="BU116" s="492" t="str">
        <f t="shared" si="253"/>
        <v/>
      </c>
      <c r="BV116" s="492" t="str">
        <f t="shared" si="254"/>
        <v/>
      </c>
      <c r="BW116" s="492" t="str">
        <f t="shared" si="255"/>
        <v/>
      </c>
      <c r="BX116" s="492" t="str">
        <f t="shared" si="256"/>
        <v/>
      </c>
      <c r="BY116" s="492" t="str">
        <f t="shared" si="257"/>
        <v/>
      </c>
      <c r="BZ116" s="492" t="str">
        <f t="shared" si="258"/>
        <v/>
      </c>
      <c r="CA116" s="492" t="str">
        <f t="shared" si="259"/>
        <v/>
      </c>
      <c r="CB116" s="492" t="str">
        <f t="shared" si="260"/>
        <v/>
      </c>
      <c r="CC116" s="492" t="str">
        <f t="shared" si="261"/>
        <v/>
      </c>
      <c r="CD116" s="492" t="str">
        <f t="shared" si="262"/>
        <v/>
      </c>
      <c r="CE116" s="492" t="str">
        <f t="shared" si="263"/>
        <v/>
      </c>
      <c r="CF116" s="492" t="str">
        <f t="shared" si="264"/>
        <v/>
      </c>
      <c r="CG116" s="492" t="str">
        <f t="shared" si="265"/>
        <v/>
      </c>
      <c r="CH116" s="492" t="str">
        <f t="shared" si="266"/>
        <v/>
      </c>
      <c r="CI116" s="492" t="str">
        <f t="shared" si="267"/>
        <v/>
      </c>
      <c r="CJ116" s="492" t="str">
        <f t="shared" si="268"/>
        <v/>
      </c>
      <c r="CK116" s="492" t="str">
        <f t="shared" si="269"/>
        <v/>
      </c>
      <c r="CL116" s="492" t="str">
        <f t="shared" si="270"/>
        <v/>
      </c>
      <c r="CM116" s="492" t="str">
        <f t="shared" si="271"/>
        <v/>
      </c>
      <c r="CN116" s="492" t="str">
        <f t="shared" si="272"/>
        <v/>
      </c>
      <c r="CO116" s="492" t="str">
        <f t="shared" si="273"/>
        <v/>
      </c>
      <c r="CP116" s="492" t="str">
        <f t="shared" si="274"/>
        <v/>
      </c>
      <c r="CQ116" s="492" t="str">
        <f t="shared" si="207"/>
        <v/>
      </c>
      <c r="CR116" s="492" t="str">
        <f t="shared" si="208"/>
        <v/>
      </c>
      <c r="CS116" s="492" t="str">
        <f t="shared" si="209"/>
        <v/>
      </c>
      <c r="CT116" s="492" t="str">
        <f t="shared" si="210"/>
        <v/>
      </c>
      <c r="CU116" s="492" t="str">
        <f t="shared" si="211"/>
        <v/>
      </c>
      <c r="CV116" s="492" t="str">
        <f t="shared" si="212"/>
        <v/>
      </c>
      <c r="CW116" s="495">
        <v>1</v>
      </c>
      <c r="CX116" s="496"/>
      <c r="CY116" s="496"/>
      <c r="CZ116" s="496"/>
      <c r="DA116" s="496"/>
      <c r="DB116" s="496"/>
    </row>
    <row r="117" spans="1:106" ht="13.5" customHeight="1">
      <c r="A117" s="1232">
        <v>107</v>
      </c>
      <c r="B117" s="1233"/>
      <c r="C117" s="1230"/>
      <c r="D117" s="1234"/>
      <c r="E117" s="1231"/>
      <c r="F117" s="1230"/>
      <c r="G117" s="1234"/>
      <c r="H117" s="1231"/>
      <c r="I117" s="1230"/>
      <c r="J117" s="1231"/>
      <c r="K117" s="1290"/>
      <c r="L117" s="1291"/>
      <c r="M117" s="1290"/>
      <c r="N117" s="1291"/>
      <c r="O117" s="1290"/>
      <c r="P117" s="1291"/>
      <c r="Q117" s="1230"/>
      <c r="R117" s="1231"/>
      <c r="S117" s="1230"/>
      <c r="T117" s="1231"/>
      <c r="U117" s="1228"/>
      <c r="V117" s="1229"/>
      <c r="W117" s="1230"/>
      <c r="X117" s="1231"/>
      <c r="Y117" s="1226"/>
      <c r="Z117" s="1227"/>
      <c r="AA117" s="1275"/>
      <c r="AB117" s="1275"/>
      <c r="AC117" s="1212" t="str">
        <f t="shared" si="275"/>
        <v/>
      </c>
      <c r="AD117" s="1213"/>
      <c r="AE117" s="1213"/>
      <c r="AF117" s="1213"/>
      <c r="AG117" s="492" t="str">
        <f t="shared" si="213"/>
        <v/>
      </c>
      <c r="AH117" s="466" t="str">
        <f t="shared" si="214"/>
        <v/>
      </c>
      <c r="AI117" s="466" t="str">
        <f t="shared" si="215"/>
        <v/>
      </c>
      <c r="AJ117" s="466" t="str">
        <f t="shared" si="216"/>
        <v/>
      </c>
      <c r="AK117" s="492" t="str">
        <f t="shared" si="217"/>
        <v>○</v>
      </c>
      <c r="AL117" s="492" t="str">
        <f t="shared" si="218"/>
        <v/>
      </c>
      <c r="AM117" s="492" t="str">
        <f t="shared" si="219"/>
        <v/>
      </c>
      <c r="AN117" s="492" t="str">
        <f t="shared" si="220"/>
        <v/>
      </c>
      <c r="AO117" s="492" t="str">
        <f t="shared" si="221"/>
        <v/>
      </c>
      <c r="AP117" s="492" t="str">
        <f t="shared" si="222"/>
        <v/>
      </c>
      <c r="AQ117" s="492" t="str">
        <f t="shared" si="223"/>
        <v/>
      </c>
      <c r="AR117" s="492" t="str">
        <f t="shared" si="224"/>
        <v/>
      </c>
      <c r="AS117" s="492" t="str">
        <f t="shared" si="225"/>
        <v/>
      </c>
      <c r="AT117" s="492" t="str">
        <f t="shared" si="226"/>
        <v/>
      </c>
      <c r="AU117" s="492" t="str">
        <f t="shared" si="227"/>
        <v/>
      </c>
      <c r="AV117" s="492" t="str">
        <f t="shared" si="228"/>
        <v/>
      </c>
      <c r="AW117" s="492" t="str">
        <f t="shared" si="229"/>
        <v/>
      </c>
      <c r="AX117" s="492" t="str">
        <f t="shared" si="230"/>
        <v/>
      </c>
      <c r="AY117" s="492" t="str">
        <f t="shared" si="231"/>
        <v/>
      </c>
      <c r="AZ117" s="492" t="str">
        <f t="shared" si="232"/>
        <v/>
      </c>
      <c r="BA117" s="492" t="str">
        <f t="shared" si="233"/>
        <v/>
      </c>
      <c r="BB117" s="492" t="str">
        <f t="shared" si="234"/>
        <v/>
      </c>
      <c r="BC117" s="492" t="str">
        <f t="shared" si="235"/>
        <v/>
      </c>
      <c r="BD117" s="492" t="str">
        <f t="shared" si="236"/>
        <v/>
      </c>
      <c r="BE117" s="492" t="str">
        <f t="shared" si="237"/>
        <v/>
      </c>
      <c r="BF117" s="492" t="str">
        <f t="shared" si="238"/>
        <v/>
      </c>
      <c r="BG117" s="492" t="str">
        <f t="shared" si="239"/>
        <v/>
      </c>
      <c r="BH117" s="492" t="str">
        <f t="shared" si="240"/>
        <v/>
      </c>
      <c r="BI117" s="492" t="str">
        <f t="shared" si="241"/>
        <v/>
      </c>
      <c r="BJ117" s="492" t="str">
        <f t="shared" si="242"/>
        <v/>
      </c>
      <c r="BK117" s="492" t="str">
        <f t="shared" si="243"/>
        <v/>
      </c>
      <c r="BL117" s="492" t="str">
        <f t="shared" si="244"/>
        <v/>
      </c>
      <c r="BM117" s="492" t="str">
        <f t="shared" si="245"/>
        <v/>
      </c>
      <c r="BN117" s="492" t="str">
        <f t="shared" si="246"/>
        <v/>
      </c>
      <c r="BO117" s="492" t="str">
        <f t="shared" si="247"/>
        <v/>
      </c>
      <c r="BP117" s="492" t="str">
        <f t="shared" si="248"/>
        <v/>
      </c>
      <c r="BQ117" s="492" t="str">
        <f t="shared" si="249"/>
        <v/>
      </c>
      <c r="BR117" s="492" t="str">
        <f t="shared" si="250"/>
        <v/>
      </c>
      <c r="BS117" s="492" t="str">
        <f t="shared" si="251"/>
        <v/>
      </c>
      <c r="BT117" s="492" t="str">
        <f t="shared" si="252"/>
        <v/>
      </c>
      <c r="BU117" s="492" t="str">
        <f t="shared" si="253"/>
        <v/>
      </c>
      <c r="BV117" s="492" t="str">
        <f t="shared" si="254"/>
        <v/>
      </c>
      <c r="BW117" s="492" t="str">
        <f t="shared" si="255"/>
        <v/>
      </c>
      <c r="BX117" s="492" t="str">
        <f t="shared" si="256"/>
        <v/>
      </c>
      <c r="BY117" s="492" t="str">
        <f t="shared" si="257"/>
        <v/>
      </c>
      <c r="BZ117" s="492" t="str">
        <f t="shared" si="258"/>
        <v/>
      </c>
      <c r="CA117" s="492" t="str">
        <f t="shared" si="259"/>
        <v/>
      </c>
      <c r="CB117" s="492" t="str">
        <f t="shared" si="260"/>
        <v/>
      </c>
      <c r="CC117" s="492" t="str">
        <f t="shared" si="261"/>
        <v/>
      </c>
      <c r="CD117" s="492" t="str">
        <f t="shared" si="262"/>
        <v/>
      </c>
      <c r="CE117" s="492" t="str">
        <f t="shared" si="263"/>
        <v/>
      </c>
      <c r="CF117" s="492" t="str">
        <f t="shared" si="264"/>
        <v/>
      </c>
      <c r="CG117" s="492" t="str">
        <f t="shared" si="265"/>
        <v/>
      </c>
      <c r="CH117" s="492" t="str">
        <f t="shared" si="266"/>
        <v/>
      </c>
      <c r="CI117" s="492" t="str">
        <f t="shared" si="267"/>
        <v/>
      </c>
      <c r="CJ117" s="492" t="str">
        <f t="shared" si="268"/>
        <v/>
      </c>
      <c r="CK117" s="492" t="str">
        <f t="shared" si="269"/>
        <v/>
      </c>
      <c r="CL117" s="492" t="str">
        <f t="shared" si="270"/>
        <v/>
      </c>
      <c r="CM117" s="492" t="str">
        <f t="shared" si="271"/>
        <v/>
      </c>
      <c r="CN117" s="492" t="str">
        <f t="shared" si="272"/>
        <v/>
      </c>
      <c r="CO117" s="492" t="str">
        <f t="shared" si="273"/>
        <v/>
      </c>
      <c r="CP117" s="492" t="str">
        <f t="shared" si="274"/>
        <v/>
      </c>
      <c r="CQ117" s="492" t="str">
        <f t="shared" si="207"/>
        <v/>
      </c>
      <c r="CR117" s="492" t="str">
        <f t="shared" si="208"/>
        <v/>
      </c>
      <c r="CS117" s="492" t="str">
        <f t="shared" si="209"/>
        <v/>
      </c>
      <c r="CT117" s="492" t="str">
        <f t="shared" si="210"/>
        <v/>
      </c>
      <c r="CU117" s="492" t="str">
        <f t="shared" si="211"/>
        <v/>
      </c>
      <c r="CV117" s="492" t="str">
        <f t="shared" si="212"/>
        <v/>
      </c>
      <c r="CW117" s="495">
        <v>1</v>
      </c>
      <c r="CX117" s="496"/>
      <c r="CY117" s="496"/>
      <c r="CZ117" s="496"/>
      <c r="DA117" s="496"/>
      <c r="DB117" s="496"/>
    </row>
    <row r="118" spans="1:106" ht="13.5" customHeight="1">
      <c r="A118" s="1232">
        <v>108</v>
      </c>
      <c r="B118" s="1233"/>
      <c r="C118" s="1230"/>
      <c r="D118" s="1234"/>
      <c r="E118" s="1231"/>
      <c r="F118" s="1230"/>
      <c r="G118" s="1234"/>
      <c r="H118" s="1231"/>
      <c r="I118" s="1230"/>
      <c r="J118" s="1231"/>
      <c r="K118" s="1290"/>
      <c r="L118" s="1291"/>
      <c r="M118" s="1290"/>
      <c r="N118" s="1291"/>
      <c r="O118" s="1290"/>
      <c r="P118" s="1291"/>
      <c r="Q118" s="1230"/>
      <c r="R118" s="1231"/>
      <c r="S118" s="1230"/>
      <c r="T118" s="1231"/>
      <c r="U118" s="1228"/>
      <c r="V118" s="1229"/>
      <c r="W118" s="1230"/>
      <c r="X118" s="1231"/>
      <c r="Y118" s="1226"/>
      <c r="Z118" s="1227"/>
      <c r="AA118" s="1275"/>
      <c r="AB118" s="1275"/>
      <c r="AC118" s="1212" t="str">
        <f t="shared" si="275"/>
        <v/>
      </c>
      <c r="AD118" s="1213"/>
      <c r="AE118" s="1213"/>
      <c r="AF118" s="1213"/>
      <c r="AG118" s="492" t="str">
        <f t="shared" si="213"/>
        <v/>
      </c>
      <c r="AH118" s="466" t="str">
        <f t="shared" si="214"/>
        <v/>
      </c>
      <c r="AI118" s="466" t="str">
        <f t="shared" si="215"/>
        <v/>
      </c>
      <c r="AJ118" s="466" t="str">
        <f t="shared" si="216"/>
        <v/>
      </c>
      <c r="AK118" s="492" t="str">
        <f t="shared" si="217"/>
        <v>○</v>
      </c>
      <c r="AL118" s="492" t="str">
        <f t="shared" si="218"/>
        <v/>
      </c>
      <c r="AM118" s="492" t="str">
        <f t="shared" si="219"/>
        <v/>
      </c>
      <c r="AN118" s="492" t="str">
        <f t="shared" si="220"/>
        <v/>
      </c>
      <c r="AO118" s="492" t="str">
        <f t="shared" si="221"/>
        <v/>
      </c>
      <c r="AP118" s="492" t="str">
        <f t="shared" si="222"/>
        <v/>
      </c>
      <c r="AQ118" s="492" t="str">
        <f t="shared" si="223"/>
        <v/>
      </c>
      <c r="AR118" s="492" t="str">
        <f t="shared" si="224"/>
        <v/>
      </c>
      <c r="AS118" s="492" t="str">
        <f t="shared" si="225"/>
        <v/>
      </c>
      <c r="AT118" s="492" t="str">
        <f t="shared" si="226"/>
        <v/>
      </c>
      <c r="AU118" s="492" t="str">
        <f t="shared" si="227"/>
        <v/>
      </c>
      <c r="AV118" s="492" t="str">
        <f t="shared" si="228"/>
        <v/>
      </c>
      <c r="AW118" s="492" t="str">
        <f t="shared" si="229"/>
        <v/>
      </c>
      <c r="AX118" s="492" t="str">
        <f t="shared" si="230"/>
        <v/>
      </c>
      <c r="AY118" s="492" t="str">
        <f t="shared" si="231"/>
        <v/>
      </c>
      <c r="AZ118" s="492" t="str">
        <f t="shared" si="232"/>
        <v/>
      </c>
      <c r="BA118" s="492" t="str">
        <f t="shared" si="233"/>
        <v/>
      </c>
      <c r="BB118" s="492" t="str">
        <f t="shared" si="234"/>
        <v/>
      </c>
      <c r="BC118" s="492" t="str">
        <f t="shared" si="235"/>
        <v/>
      </c>
      <c r="BD118" s="492" t="str">
        <f t="shared" si="236"/>
        <v/>
      </c>
      <c r="BE118" s="492" t="str">
        <f t="shared" si="237"/>
        <v/>
      </c>
      <c r="BF118" s="492" t="str">
        <f t="shared" si="238"/>
        <v/>
      </c>
      <c r="BG118" s="492" t="str">
        <f t="shared" si="239"/>
        <v/>
      </c>
      <c r="BH118" s="492" t="str">
        <f t="shared" si="240"/>
        <v/>
      </c>
      <c r="BI118" s="492" t="str">
        <f t="shared" si="241"/>
        <v/>
      </c>
      <c r="BJ118" s="492" t="str">
        <f t="shared" si="242"/>
        <v/>
      </c>
      <c r="BK118" s="492" t="str">
        <f t="shared" si="243"/>
        <v/>
      </c>
      <c r="BL118" s="492" t="str">
        <f t="shared" si="244"/>
        <v/>
      </c>
      <c r="BM118" s="492" t="str">
        <f t="shared" si="245"/>
        <v/>
      </c>
      <c r="BN118" s="492" t="str">
        <f t="shared" si="246"/>
        <v/>
      </c>
      <c r="BO118" s="492" t="str">
        <f t="shared" si="247"/>
        <v/>
      </c>
      <c r="BP118" s="492" t="str">
        <f t="shared" si="248"/>
        <v/>
      </c>
      <c r="BQ118" s="492" t="str">
        <f t="shared" si="249"/>
        <v/>
      </c>
      <c r="BR118" s="492" t="str">
        <f t="shared" si="250"/>
        <v/>
      </c>
      <c r="BS118" s="492" t="str">
        <f t="shared" si="251"/>
        <v/>
      </c>
      <c r="BT118" s="492" t="str">
        <f t="shared" si="252"/>
        <v/>
      </c>
      <c r="BU118" s="492" t="str">
        <f t="shared" si="253"/>
        <v/>
      </c>
      <c r="BV118" s="492" t="str">
        <f t="shared" si="254"/>
        <v/>
      </c>
      <c r="BW118" s="492" t="str">
        <f t="shared" si="255"/>
        <v/>
      </c>
      <c r="BX118" s="492" t="str">
        <f t="shared" si="256"/>
        <v/>
      </c>
      <c r="BY118" s="492" t="str">
        <f t="shared" si="257"/>
        <v/>
      </c>
      <c r="BZ118" s="492" t="str">
        <f t="shared" si="258"/>
        <v/>
      </c>
      <c r="CA118" s="492" t="str">
        <f t="shared" si="259"/>
        <v/>
      </c>
      <c r="CB118" s="492" t="str">
        <f t="shared" si="260"/>
        <v/>
      </c>
      <c r="CC118" s="492" t="str">
        <f t="shared" si="261"/>
        <v/>
      </c>
      <c r="CD118" s="492" t="str">
        <f t="shared" si="262"/>
        <v/>
      </c>
      <c r="CE118" s="492" t="str">
        <f t="shared" si="263"/>
        <v/>
      </c>
      <c r="CF118" s="492" t="str">
        <f t="shared" si="264"/>
        <v/>
      </c>
      <c r="CG118" s="492" t="str">
        <f t="shared" si="265"/>
        <v/>
      </c>
      <c r="CH118" s="492" t="str">
        <f t="shared" si="266"/>
        <v/>
      </c>
      <c r="CI118" s="492" t="str">
        <f t="shared" si="267"/>
        <v/>
      </c>
      <c r="CJ118" s="492" t="str">
        <f t="shared" si="268"/>
        <v/>
      </c>
      <c r="CK118" s="492" t="str">
        <f t="shared" si="269"/>
        <v/>
      </c>
      <c r="CL118" s="492" t="str">
        <f t="shared" si="270"/>
        <v/>
      </c>
      <c r="CM118" s="492" t="str">
        <f t="shared" si="271"/>
        <v/>
      </c>
      <c r="CN118" s="492" t="str">
        <f t="shared" si="272"/>
        <v/>
      </c>
      <c r="CO118" s="492" t="str">
        <f t="shared" si="273"/>
        <v/>
      </c>
      <c r="CP118" s="492" t="str">
        <f t="shared" si="274"/>
        <v/>
      </c>
      <c r="CQ118" s="492" t="str">
        <f t="shared" si="207"/>
        <v/>
      </c>
      <c r="CR118" s="492" t="str">
        <f t="shared" si="208"/>
        <v/>
      </c>
      <c r="CS118" s="492" t="str">
        <f t="shared" si="209"/>
        <v/>
      </c>
      <c r="CT118" s="492" t="str">
        <f t="shared" si="210"/>
        <v/>
      </c>
      <c r="CU118" s="492" t="str">
        <f t="shared" si="211"/>
        <v/>
      </c>
      <c r="CV118" s="492" t="str">
        <f t="shared" si="212"/>
        <v/>
      </c>
      <c r="CW118" s="495">
        <v>1</v>
      </c>
      <c r="CX118" s="496"/>
      <c r="CY118" s="496"/>
      <c r="CZ118" s="496"/>
      <c r="DA118" s="496"/>
      <c r="DB118" s="496"/>
    </row>
    <row r="119" spans="1:106" ht="13.5" customHeight="1">
      <c r="A119" s="1232">
        <v>109</v>
      </c>
      <c r="B119" s="1233"/>
      <c r="C119" s="1230"/>
      <c r="D119" s="1234"/>
      <c r="E119" s="1231"/>
      <c r="F119" s="1230"/>
      <c r="G119" s="1234"/>
      <c r="H119" s="1231"/>
      <c r="I119" s="1230"/>
      <c r="J119" s="1231"/>
      <c r="K119" s="1290"/>
      <c r="L119" s="1291"/>
      <c r="M119" s="1290"/>
      <c r="N119" s="1291"/>
      <c r="O119" s="1290"/>
      <c r="P119" s="1291"/>
      <c r="Q119" s="1230"/>
      <c r="R119" s="1231"/>
      <c r="S119" s="1230"/>
      <c r="T119" s="1231"/>
      <c r="U119" s="1228"/>
      <c r="V119" s="1229"/>
      <c r="W119" s="1230"/>
      <c r="X119" s="1231"/>
      <c r="Y119" s="1226"/>
      <c r="Z119" s="1227"/>
      <c r="AA119" s="1275"/>
      <c r="AB119" s="1275"/>
      <c r="AC119" s="1212" t="str">
        <f t="shared" si="275"/>
        <v/>
      </c>
      <c r="AD119" s="1213"/>
      <c r="AE119" s="1213"/>
      <c r="AF119" s="1213"/>
      <c r="AG119" s="492" t="str">
        <f t="shared" si="213"/>
        <v/>
      </c>
      <c r="AH119" s="466" t="str">
        <f t="shared" si="214"/>
        <v/>
      </c>
      <c r="AI119" s="466" t="str">
        <f t="shared" si="215"/>
        <v/>
      </c>
      <c r="AJ119" s="466" t="str">
        <f t="shared" si="216"/>
        <v/>
      </c>
      <c r="AK119" s="492" t="str">
        <f t="shared" si="217"/>
        <v>○</v>
      </c>
      <c r="AL119" s="492" t="str">
        <f t="shared" si="218"/>
        <v/>
      </c>
      <c r="AM119" s="492" t="str">
        <f t="shared" si="219"/>
        <v/>
      </c>
      <c r="AN119" s="492" t="str">
        <f t="shared" si="220"/>
        <v/>
      </c>
      <c r="AO119" s="492" t="str">
        <f t="shared" si="221"/>
        <v/>
      </c>
      <c r="AP119" s="492" t="str">
        <f t="shared" si="222"/>
        <v/>
      </c>
      <c r="AQ119" s="492" t="str">
        <f t="shared" si="223"/>
        <v/>
      </c>
      <c r="AR119" s="492" t="str">
        <f t="shared" si="224"/>
        <v/>
      </c>
      <c r="AS119" s="492" t="str">
        <f t="shared" si="225"/>
        <v/>
      </c>
      <c r="AT119" s="492" t="str">
        <f t="shared" si="226"/>
        <v/>
      </c>
      <c r="AU119" s="492" t="str">
        <f t="shared" si="227"/>
        <v/>
      </c>
      <c r="AV119" s="492" t="str">
        <f t="shared" si="228"/>
        <v/>
      </c>
      <c r="AW119" s="492" t="str">
        <f t="shared" si="229"/>
        <v/>
      </c>
      <c r="AX119" s="492" t="str">
        <f t="shared" si="230"/>
        <v/>
      </c>
      <c r="AY119" s="492" t="str">
        <f t="shared" si="231"/>
        <v/>
      </c>
      <c r="AZ119" s="492" t="str">
        <f t="shared" si="232"/>
        <v/>
      </c>
      <c r="BA119" s="492" t="str">
        <f t="shared" si="233"/>
        <v/>
      </c>
      <c r="BB119" s="492" t="str">
        <f t="shared" si="234"/>
        <v/>
      </c>
      <c r="BC119" s="492" t="str">
        <f t="shared" si="235"/>
        <v/>
      </c>
      <c r="BD119" s="492" t="str">
        <f t="shared" si="236"/>
        <v/>
      </c>
      <c r="BE119" s="492" t="str">
        <f t="shared" si="237"/>
        <v/>
      </c>
      <c r="BF119" s="492" t="str">
        <f t="shared" si="238"/>
        <v/>
      </c>
      <c r="BG119" s="492" t="str">
        <f t="shared" si="239"/>
        <v/>
      </c>
      <c r="BH119" s="492" t="str">
        <f t="shared" si="240"/>
        <v/>
      </c>
      <c r="BI119" s="492" t="str">
        <f t="shared" si="241"/>
        <v/>
      </c>
      <c r="BJ119" s="492" t="str">
        <f t="shared" si="242"/>
        <v/>
      </c>
      <c r="BK119" s="492" t="str">
        <f t="shared" si="243"/>
        <v/>
      </c>
      <c r="BL119" s="492" t="str">
        <f t="shared" si="244"/>
        <v/>
      </c>
      <c r="BM119" s="492" t="str">
        <f t="shared" si="245"/>
        <v/>
      </c>
      <c r="BN119" s="492" t="str">
        <f t="shared" si="246"/>
        <v/>
      </c>
      <c r="BO119" s="492" t="str">
        <f t="shared" si="247"/>
        <v/>
      </c>
      <c r="BP119" s="492" t="str">
        <f t="shared" si="248"/>
        <v/>
      </c>
      <c r="BQ119" s="492" t="str">
        <f t="shared" si="249"/>
        <v/>
      </c>
      <c r="BR119" s="492" t="str">
        <f t="shared" si="250"/>
        <v/>
      </c>
      <c r="BS119" s="492" t="str">
        <f t="shared" si="251"/>
        <v/>
      </c>
      <c r="BT119" s="492" t="str">
        <f t="shared" si="252"/>
        <v/>
      </c>
      <c r="BU119" s="492" t="str">
        <f t="shared" si="253"/>
        <v/>
      </c>
      <c r="BV119" s="492" t="str">
        <f t="shared" si="254"/>
        <v/>
      </c>
      <c r="BW119" s="492" t="str">
        <f t="shared" si="255"/>
        <v/>
      </c>
      <c r="BX119" s="492" t="str">
        <f t="shared" si="256"/>
        <v/>
      </c>
      <c r="BY119" s="492" t="str">
        <f t="shared" si="257"/>
        <v/>
      </c>
      <c r="BZ119" s="492" t="str">
        <f t="shared" si="258"/>
        <v/>
      </c>
      <c r="CA119" s="492" t="str">
        <f t="shared" si="259"/>
        <v/>
      </c>
      <c r="CB119" s="492" t="str">
        <f t="shared" si="260"/>
        <v/>
      </c>
      <c r="CC119" s="492" t="str">
        <f t="shared" si="261"/>
        <v/>
      </c>
      <c r="CD119" s="492" t="str">
        <f t="shared" si="262"/>
        <v/>
      </c>
      <c r="CE119" s="492" t="str">
        <f t="shared" si="263"/>
        <v/>
      </c>
      <c r="CF119" s="492" t="str">
        <f t="shared" si="264"/>
        <v/>
      </c>
      <c r="CG119" s="492" t="str">
        <f t="shared" si="265"/>
        <v/>
      </c>
      <c r="CH119" s="492" t="str">
        <f t="shared" si="266"/>
        <v/>
      </c>
      <c r="CI119" s="492" t="str">
        <f t="shared" si="267"/>
        <v/>
      </c>
      <c r="CJ119" s="492" t="str">
        <f t="shared" si="268"/>
        <v/>
      </c>
      <c r="CK119" s="492" t="str">
        <f t="shared" si="269"/>
        <v/>
      </c>
      <c r="CL119" s="492" t="str">
        <f t="shared" si="270"/>
        <v/>
      </c>
      <c r="CM119" s="492" t="str">
        <f t="shared" si="271"/>
        <v/>
      </c>
      <c r="CN119" s="492" t="str">
        <f t="shared" si="272"/>
        <v/>
      </c>
      <c r="CO119" s="492" t="str">
        <f t="shared" si="273"/>
        <v/>
      </c>
      <c r="CP119" s="492" t="str">
        <f t="shared" si="274"/>
        <v/>
      </c>
      <c r="CQ119" s="492" t="str">
        <f t="shared" si="207"/>
        <v/>
      </c>
      <c r="CR119" s="492" t="str">
        <f t="shared" si="208"/>
        <v/>
      </c>
      <c r="CS119" s="492" t="str">
        <f t="shared" si="209"/>
        <v/>
      </c>
      <c r="CT119" s="492" t="str">
        <f t="shared" si="210"/>
        <v/>
      </c>
      <c r="CU119" s="492" t="str">
        <f t="shared" si="211"/>
        <v/>
      </c>
      <c r="CV119" s="492" t="str">
        <f t="shared" si="212"/>
        <v/>
      </c>
      <c r="CW119" s="495">
        <v>1</v>
      </c>
      <c r="CX119" s="496"/>
      <c r="CY119" s="496"/>
      <c r="CZ119" s="496"/>
      <c r="DA119" s="496"/>
      <c r="DB119" s="496"/>
    </row>
    <row r="120" spans="1:106" ht="13.5" customHeight="1">
      <c r="A120" s="1232">
        <v>110</v>
      </c>
      <c r="B120" s="1233"/>
      <c r="C120" s="1230"/>
      <c r="D120" s="1234"/>
      <c r="E120" s="1231"/>
      <c r="F120" s="1230"/>
      <c r="G120" s="1234"/>
      <c r="H120" s="1231"/>
      <c r="I120" s="1230"/>
      <c r="J120" s="1231"/>
      <c r="K120" s="1290"/>
      <c r="L120" s="1291"/>
      <c r="M120" s="1290"/>
      <c r="N120" s="1291"/>
      <c r="O120" s="1290"/>
      <c r="P120" s="1291"/>
      <c r="Q120" s="1230"/>
      <c r="R120" s="1231"/>
      <c r="S120" s="1230"/>
      <c r="T120" s="1231"/>
      <c r="U120" s="1228"/>
      <c r="V120" s="1229"/>
      <c r="W120" s="1230"/>
      <c r="X120" s="1231"/>
      <c r="Y120" s="1226"/>
      <c r="Z120" s="1227"/>
      <c r="AA120" s="1275"/>
      <c r="AB120" s="1275"/>
      <c r="AC120" s="1212" t="str">
        <f t="shared" si="275"/>
        <v/>
      </c>
      <c r="AD120" s="1213"/>
      <c r="AE120" s="1213"/>
      <c r="AF120" s="1213"/>
      <c r="AG120" s="492" t="str">
        <f t="shared" si="213"/>
        <v/>
      </c>
      <c r="AH120" s="466" t="str">
        <f t="shared" si="214"/>
        <v/>
      </c>
      <c r="AI120" s="466" t="str">
        <f t="shared" si="215"/>
        <v/>
      </c>
      <c r="AJ120" s="466" t="str">
        <f t="shared" si="216"/>
        <v/>
      </c>
      <c r="AK120" s="492" t="str">
        <f t="shared" si="217"/>
        <v>○</v>
      </c>
      <c r="AL120" s="492" t="str">
        <f t="shared" si="218"/>
        <v/>
      </c>
      <c r="AM120" s="492" t="str">
        <f t="shared" si="219"/>
        <v/>
      </c>
      <c r="AN120" s="492" t="str">
        <f t="shared" si="220"/>
        <v/>
      </c>
      <c r="AO120" s="492" t="str">
        <f t="shared" si="221"/>
        <v/>
      </c>
      <c r="AP120" s="492" t="str">
        <f t="shared" si="222"/>
        <v/>
      </c>
      <c r="AQ120" s="492" t="str">
        <f t="shared" si="223"/>
        <v/>
      </c>
      <c r="AR120" s="492" t="str">
        <f t="shared" si="224"/>
        <v/>
      </c>
      <c r="AS120" s="492" t="str">
        <f t="shared" si="225"/>
        <v/>
      </c>
      <c r="AT120" s="492" t="str">
        <f t="shared" si="226"/>
        <v/>
      </c>
      <c r="AU120" s="492" t="str">
        <f t="shared" si="227"/>
        <v/>
      </c>
      <c r="AV120" s="492" t="str">
        <f t="shared" si="228"/>
        <v/>
      </c>
      <c r="AW120" s="492" t="str">
        <f t="shared" si="229"/>
        <v/>
      </c>
      <c r="AX120" s="492" t="str">
        <f t="shared" si="230"/>
        <v/>
      </c>
      <c r="AY120" s="492" t="str">
        <f t="shared" si="231"/>
        <v/>
      </c>
      <c r="AZ120" s="492" t="str">
        <f t="shared" si="232"/>
        <v/>
      </c>
      <c r="BA120" s="492" t="str">
        <f t="shared" si="233"/>
        <v/>
      </c>
      <c r="BB120" s="492" t="str">
        <f t="shared" si="234"/>
        <v/>
      </c>
      <c r="BC120" s="492" t="str">
        <f t="shared" si="235"/>
        <v/>
      </c>
      <c r="BD120" s="492" t="str">
        <f t="shared" si="236"/>
        <v/>
      </c>
      <c r="BE120" s="492" t="str">
        <f t="shared" si="237"/>
        <v/>
      </c>
      <c r="BF120" s="492" t="str">
        <f t="shared" si="238"/>
        <v/>
      </c>
      <c r="BG120" s="492" t="str">
        <f t="shared" si="239"/>
        <v/>
      </c>
      <c r="BH120" s="492" t="str">
        <f t="shared" si="240"/>
        <v/>
      </c>
      <c r="BI120" s="492" t="str">
        <f t="shared" si="241"/>
        <v/>
      </c>
      <c r="BJ120" s="492" t="str">
        <f t="shared" si="242"/>
        <v/>
      </c>
      <c r="BK120" s="492" t="str">
        <f t="shared" si="243"/>
        <v/>
      </c>
      <c r="BL120" s="492" t="str">
        <f t="shared" si="244"/>
        <v/>
      </c>
      <c r="BM120" s="492" t="str">
        <f t="shared" si="245"/>
        <v/>
      </c>
      <c r="BN120" s="492" t="str">
        <f t="shared" si="246"/>
        <v/>
      </c>
      <c r="BO120" s="492" t="str">
        <f t="shared" si="247"/>
        <v/>
      </c>
      <c r="BP120" s="492" t="str">
        <f t="shared" si="248"/>
        <v/>
      </c>
      <c r="BQ120" s="492" t="str">
        <f t="shared" si="249"/>
        <v/>
      </c>
      <c r="BR120" s="492" t="str">
        <f t="shared" si="250"/>
        <v/>
      </c>
      <c r="BS120" s="492" t="str">
        <f t="shared" si="251"/>
        <v/>
      </c>
      <c r="BT120" s="492" t="str">
        <f t="shared" si="252"/>
        <v/>
      </c>
      <c r="BU120" s="492" t="str">
        <f t="shared" si="253"/>
        <v/>
      </c>
      <c r="BV120" s="492" t="str">
        <f t="shared" si="254"/>
        <v/>
      </c>
      <c r="BW120" s="492" t="str">
        <f t="shared" si="255"/>
        <v/>
      </c>
      <c r="BX120" s="492" t="str">
        <f t="shared" si="256"/>
        <v/>
      </c>
      <c r="BY120" s="492" t="str">
        <f t="shared" si="257"/>
        <v/>
      </c>
      <c r="BZ120" s="492" t="str">
        <f t="shared" si="258"/>
        <v/>
      </c>
      <c r="CA120" s="492" t="str">
        <f t="shared" si="259"/>
        <v/>
      </c>
      <c r="CB120" s="492" t="str">
        <f t="shared" si="260"/>
        <v/>
      </c>
      <c r="CC120" s="492" t="str">
        <f t="shared" si="261"/>
        <v/>
      </c>
      <c r="CD120" s="492" t="str">
        <f t="shared" si="262"/>
        <v/>
      </c>
      <c r="CE120" s="492" t="str">
        <f t="shared" si="263"/>
        <v/>
      </c>
      <c r="CF120" s="492" t="str">
        <f t="shared" si="264"/>
        <v/>
      </c>
      <c r="CG120" s="492" t="str">
        <f t="shared" si="265"/>
        <v/>
      </c>
      <c r="CH120" s="492" t="str">
        <f t="shared" si="266"/>
        <v/>
      </c>
      <c r="CI120" s="492" t="str">
        <f t="shared" si="267"/>
        <v/>
      </c>
      <c r="CJ120" s="492" t="str">
        <f t="shared" si="268"/>
        <v/>
      </c>
      <c r="CK120" s="492" t="str">
        <f t="shared" si="269"/>
        <v/>
      </c>
      <c r="CL120" s="492" t="str">
        <f t="shared" si="270"/>
        <v/>
      </c>
      <c r="CM120" s="492" t="str">
        <f t="shared" si="271"/>
        <v/>
      </c>
      <c r="CN120" s="492" t="str">
        <f t="shared" si="272"/>
        <v/>
      </c>
      <c r="CO120" s="492" t="str">
        <f t="shared" si="273"/>
        <v/>
      </c>
      <c r="CP120" s="492" t="str">
        <f t="shared" si="274"/>
        <v/>
      </c>
      <c r="CQ120" s="492" t="str">
        <f t="shared" si="207"/>
        <v/>
      </c>
      <c r="CR120" s="492" t="str">
        <f t="shared" si="208"/>
        <v/>
      </c>
      <c r="CS120" s="492" t="str">
        <f t="shared" si="209"/>
        <v/>
      </c>
      <c r="CT120" s="492" t="str">
        <f t="shared" si="210"/>
        <v/>
      </c>
      <c r="CU120" s="492" t="str">
        <f t="shared" si="211"/>
        <v/>
      </c>
      <c r="CV120" s="492" t="str">
        <f t="shared" si="212"/>
        <v/>
      </c>
      <c r="CW120" s="495">
        <v>1</v>
      </c>
      <c r="CX120" s="496"/>
      <c r="CY120" s="496"/>
      <c r="CZ120" s="496"/>
      <c r="DA120" s="496"/>
      <c r="DB120" s="496"/>
    </row>
    <row r="121" spans="1:106" ht="13.5" customHeight="1">
      <c r="A121" s="1232">
        <v>111</v>
      </c>
      <c r="B121" s="1233"/>
      <c r="C121" s="1230"/>
      <c r="D121" s="1234"/>
      <c r="E121" s="1231"/>
      <c r="F121" s="1230"/>
      <c r="G121" s="1234"/>
      <c r="H121" s="1231"/>
      <c r="I121" s="1230"/>
      <c r="J121" s="1231"/>
      <c r="K121" s="1290"/>
      <c r="L121" s="1291"/>
      <c r="M121" s="1290"/>
      <c r="N121" s="1291"/>
      <c r="O121" s="1290"/>
      <c r="P121" s="1291"/>
      <c r="Q121" s="1230"/>
      <c r="R121" s="1231"/>
      <c r="S121" s="1230"/>
      <c r="T121" s="1231"/>
      <c r="U121" s="1228"/>
      <c r="V121" s="1229"/>
      <c r="W121" s="1230"/>
      <c r="X121" s="1231"/>
      <c r="Y121" s="1226"/>
      <c r="Z121" s="1227"/>
      <c r="AA121" s="1275"/>
      <c r="AB121" s="1275"/>
      <c r="AC121" s="1212" t="str">
        <f t="shared" si="275"/>
        <v/>
      </c>
      <c r="AD121" s="1213"/>
      <c r="AE121" s="1213"/>
      <c r="AF121" s="1213"/>
      <c r="AG121" s="492" t="str">
        <f t="shared" si="213"/>
        <v/>
      </c>
      <c r="AH121" s="466" t="str">
        <f t="shared" si="214"/>
        <v/>
      </c>
      <c r="AI121" s="466" t="str">
        <f t="shared" si="215"/>
        <v/>
      </c>
      <c r="AJ121" s="466" t="str">
        <f t="shared" si="216"/>
        <v/>
      </c>
      <c r="AK121" s="492" t="str">
        <f t="shared" si="217"/>
        <v>○</v>
      </c>
      <c r="AL121" s="492" t="str">
        <f t="shared" si="218"/>
        <v/>
      </c>
      <c r="AM121" s="492" t="str">
        <f t="shared" si="219"/>
        <v/>
      </c>
      <c r="AN121" s="492" t="str">
        <f t="shared" si="220"/>
        <v/>
      </c>
      <c r="AO121" s="492" t="str">
        <f t="shared" si="221"/>
        <v/>
      </c>
      <c r="AP121" s="492" t="str">
        <f t="shared" si="222"/>
        <v/>
      </c>
      <c r="AQ121" s="492" t="str">
        <f t="shared" si="223"/>
        <v/>
      </c>
      <c r="AR121" s="492" t="str">
        <f t="shared" si="224"/>
        <v/>
      </c>
      <c r="AS121" s="492" t="str">
        <f t="shared" si="225"/>
        <v/>
      </c>
      <c r="AT121" s="492" t="str">
        <f t="shared" si="226"/>
        <v/>
      </c>
      <c r="AU121" s="492" t="str">
        <f t="shared" si="227"/>
        <v/>
      </c>
      <c r="AV121" s="492" t="str">
        <f t="shared" si="228"/>
        <v/>
      </c>
      <c r="AW121" s="492" t="str">
        <f t="shared" si="229"/>
        <v/>
      </c>
      <c r="AX121" s="492" t="str">
        <f t="shared" si="230"/>
        <v/>
      </c>
      <c r="AY121" s="492" t="str">
        <f t="shared" si="231"/>
        <v/>
      </c>
      <c r="AZ121" s="492" t="str">
        <f t="shared" si="232"/>
        <v/>
      </c>
      <c r="BA121" s="492" t="str">
        <f t="shared" si="233"/>
        <v/>
      </c>
      <c r="BB121" s="492" t="str">
        <f t="shared" si="234"/>
        <v/>
      </c>
      <c r="BC121" s="492" t="str">
        <f t="shared" si="235"/>
        <v/>
      </c>
      <c r="BD121" s="492" t="str">
        <f t="shared" si="236"/>
        <v/>
      </c>
      <c r="BE121" s="492" t="str">
        <f t="shared" si="237"/>
        <v/>
      </c>
      <c r="BF121" s="492" t="str">
        <f t="shared" si="238"/>
        <v/>
      </c>
      <c r="BG121" s="492" t="str">
        <f t="shared" si="239"/>
        <v/>
      </c>
      <c r="BH121" s="492" t="str">
        <f t="shared" si="240"/>
        <v/>
      </c>
      <c r="BI121" s="492" t="str">
        <f t="shared" si="241"/>
        <v/>
      </c>
      <c r="BJ121" s="492" t="str">
        <f t="shared" si="242"/>
        <v/>
      </c>
      <c r="BK121" s="492" t="str">
        <f t="shared" si="243"/>
        <v/>
      </c>
      <c r="BL121" s="492" t="str">
        <f t="shared" si="244"/>
        <v/>
      </c>
      <c r="BM121" s="492" t="str">
        <f t="shared" si="245"/>
        <v/>
      </c>
      <c r="BN121" s="492" t="str">
        <f t="shared" si="246"/>
        <v/>
      </c>
      <c r="BO121" s="492" t="str">
        <f t="shared" si="247"/>
        <v/>
      </c>
      <c r="BP121" s="492" t="str">
        <f t="shared" si="248"/>
        <v/>
      </c>
      <c r="BQ121" s="492" t="str">
        <f t="shared" si="249"/>
        <v/>
      </c>
      <c r="BR121" s="492" t="str">
        <f t="shared" si="250"/>
        <v/>
      </c>
      <c r="BS121" s="492" t="str">
        <f t="shared" si="251"/>
        <v/>
      </c>
      <c r="BT121" s="492" t="str">
        <f t="shared" si="252"/>
        <v/>
      </c>
      <c r="BU121" s="492" t="str">
        <f t="shared" si="253"/>
        <v/>
      </c>
      <c r="BV121" s="492" t="str">
        <f t="shared" si="254"/>
        <v/>
      </c>
      <c r="BW121" s="492" t="str">
        <f t="shared" si="255"/>
        <v/>
      </c>
      <c r="BX121" s="492" t="str">
        <f t="shared" si="256"/>
        <v/>
      </c>
      <c r="BY121" s="492" t="str">
        <f t="shared" si="257"/>
        <v/>
      </c>
      <c r="BZ121" s="492" t="str">
        <f t="shared" si="258"/>
        <v/>
      </c>
      <c r="CA121" s="492" t="str">
        <f t="shared" si="259"/>
        <v/>
      </c>
      <c r="CB121" s="492" t="str">
        <f t="shared" si="260"/>
        <v/>
      </c>
      <c r="CC121" s="492" t="str">
        <f t="shared" si="261"/>
        <v/>
      </c>
      <c r="CD121" s="492" t="str">
        <f t="shared" si="262"/>
        <v/>
      </c>
      <c r="CE121" s="492" t="str">
        <f t="shared" si="263"/>
        <v/>
      </c>
      <c r="CF121" s="492" t="str">
        <f t="shared" si="264"/>
        <v/>
      </c>
      <c r="CG121" s="492" t="str">
        <f t="shared" si="265"/>
        <v/>
      </c>
      <c r="CH121" s="492" t="str">
        <f t="shared" si="266"/>
        <v/>
      </c>
      <c r="CI121" s="492" t="str">
        <f t="shared" si="267"/>
        <v/>
      </c>
      <c r="CJ121" s="492" t="str">
        <f t="shared" si="268"/>
        <v/>
      </c>
      <c r="CK121" s="492" t="str">
        <f t="shared" si="269"/>
        <v/>
      </c>
      <c r="CL121" s="492" t="str">
        <f t="shared" si="270"/>
        <v/>
      </c>
      <c r="CM121" s="492" t="str">
        <f t="shared" si="271"/>
        <v/>
      </c>
      <c r="CN121" s="492" t="str">
        <f t="shared" si="272"/>
        <v/>
      </c>
      <c r="CO121" s="492" t="str">
        <f t="shared" si="273"/>
        <v/>
      </c>
      <c r="CP121" s="492" t="str">
        <f t="shared" si="274"/>
        <v/>
      </c>
      <c r="CQ121" s="492" t="str">
        <f t="shared" si="207"/>
        <v/>
      </c>
      <c r="CR121" s="492" t="str">
        <f t="shared" si="208"/>
        <v/>
      </c>
      <c r="CS121" s="492" t="str">
        <f t="shared" si="209"/>
        <v/>
      </c>
      <c r="CT121" s="492" t="str">
        <f t="shared" si="210"/>
        <v/>
      </c>
      <c r="CU121" s="492" t="str">
        <f t="shared" si="211"/>
        <v/>
      </c>
      <c r="CV121" s="492" t="str">
        <f t="shared" si="212"/>
        <v/>
      </c>
      <c r="CW121" s="495">
        <v>1</v>
      </c>
      <c r="CX121" s="496"/>
      <c r="CY121" s="496"/>
      <c r="CZ121" s="496"/>
      <c r="DA121" s="496"/>
      <c r="DB121" s="496"/>
    </row>
    <row r="122" spans="1:106" ht="13.5" customHeight="1">
      <c r="A122" s="1232">
        <v>112</v>
      </c>
      <c r="B122" s="1233"/>
      <c r="C122" s="1230"/>
      <c r="D122" s="1234"/>
      <c r="E122" s="1231"/>
      <c r="F122" s="1230"/>
      <c r="G122" s="1234"/>
      <c r="H122" s="1231"/>
      <c r="I122" s="1230"/>
      <c r="J122" s="1231"/>
      <c r="K122" s="1290"/>
      <c r="L122" s="1291"/>
      <c r="M122" s="1290"/>
      <c r="N122" s="1291"/>
      <c r="O122" s="1290"/>
      <c r="P122" s="1291"/>
      <c r="Q122" s="1230"/>
      <c r="R122" s="1231"/>
      <c r="S122" s="1230"/>
      <c r="T122" s="1231"/>
      <c r="U122" s="1228"/>
      <c r="V122" s="1229"/>
      <c r="W122" s="1230"/>
      <c r="X122" s="1231"/>
      <c r="Y122" s="1226"/>
      <c r="Z122" s="1227"/>
      <c r="AA122" s="1275"/>
      <c r="AB122" s="1275"/>
      <c r="AC122" s="1212" t="str">
        <f>IF(S122="","",IF(AND(M122="標準",S122="○",O122=""),"※下表に記載必要箇所あり(①)",IF(AND(M122="標準",S122="○",O122="分園"),"※下表に記載必要箇所あり(③)",IF(AND(M122="短時間",S122="○",O122=""),"※下表に記載必要箇所あり(②)","※下表に記載必要箇所あり(④)"))))</f>
        <v/>
      </c>
      <c r="AD122" s="1213"/>
      <c r="AE122" s="1213"/>
      <c r="AF122" s="1213"/>
      <c r="AG122" s="492" t="str">
        <f t="shared" si="213"/>
        <v/>
      </c>
      <c r="AH122" s="466" t="str">
        <f t="shared" si="214"/>
        <v/>
      </c>
      <c r="AI122" s="466" t="str">
        <f t="shared" si="215"/>
        <v/>
      </c>
      <c r="AJ122" s="466" t="str">
        <f t="shared" si="216"/>
        <v/>
      </c>
      <c r="AK122" s="492" t="str">
        <f t="shared" si="217"/>
        <v>○</v>
      </c>
      <c r="AL122" s="492" t="str">
        <f t="shared" si="218"/>
        <v/>
      </c>
      <c r="AM122" s="492" t="str">
        <f t="shared" si="219"/>
        <v/>
      </c>
      <c r="AN122" s="492" t="str">
        <f t="shared" si="220"/>
        <v/>
      </c>
      <c r="AO122" s="492" t="str">
        <f t="shared" si="221"/>
        <v/>
      </c>
      <c r="AP122" s="492" t="str">
        <f t="shared" si="222"/>
        <v/>
      </c>
      <c r="AQ122" s="492" t="str">
        <f t="shared" si="223"/>
        <v/>
      </c>
      <c r="AR122" s="492" t="str">
        <f t="shared" si="224"/>
        <v/>
      </c>
      <c r="AS122" s="492" t="str">
        <f t="shared" si="225"/>
        <v/>
      </c>
      <c r="AT122" s="492" t="str">
        <f t="shared" si="226"/>
        <v/>
      </c>
      <c r="AU122" s="492" t="str">
        <f t="shared" si="227"/>
        <v/>
      </c>
      <c r="AV122" s="492" t="str">
        <f t="shared" si="228"/>
        <v/>
      </c>
      <c r="AW122" s="492" t="str">
        <f t="shared" si="229"/>
        <v/>
      </c>
      <c r="AX122" s="492" t="str">
        <f t="shared" si="230"/>
        <v/>
      </c>
      <c r="AY122" s="492" t="str">
        <f t="shared" si="231"/>
        <v/>
      </c>
      <c r="AZ122" s="492" t="str">
        <f t="shared" si="232"/>
        <v/>
      </c>
      <c r="BA122" s="492" t="str">
        <f t="shared" si="233"/>
        <v/>
      </c>
      <c r="BB122" s="492" t="str">
        <f t="shared" si="234"/>
        <v/>
      </c>
      <c r="BC122" s="492" t="str">
        <f t="shared" si="235"/>
        <v/>
      </c>
      <c r="BD122" s="492" t="str">
        <f t="shared" si="236"/>
        <v/>
      </c>
      <c r="BE122" s="492" t="str">
        <f t="shared" si="237"/>
        <v/>
      </c>
      <c r="BF122" s="492" t="str">
        <f t="shared" si="238"/>
        <v/>
      </c>
      <c r="BG122" s="492" t="str">
        <f t="shared" si="239"/>
        <v/>
      </c>
      <c r="BH122" s="492" t="str">
        <f t="shared" si="240"/>
        <v/>
      </c>
      <c r="BI122" s="492" t="str">
        <f t="shared" si="241"/>
        <v/>
      </c>
      <c r="BJ122" s="492" t="str">
        <f t="shared" si="242"/>
        <v/>
      </c>
      <c r="BK122" s="492" t="str">
        <f t="shared" si="243"/>
        <v/>
      </c>
      <c r="BL122" s="492" t="str">
        <f t="shared" si="244"/>
        <v/>
      </c>
      <c r="BM122" s="492" t="str">
        <f t="shared" si="245"/>
        <v/>
      </c>
      <c r="BN122" s="492" t="str">
        <f t="shared" si="246"/>
        <v/>
      </c>
      <c r="BO122" s="492" t="str">
        <f t="shared" si="247"/>
        <v/>
      </c>
      <c r="BP122" s="492" t="str">
        <f t="shared" si="248"/>
        <v/>
      </c>
      <c r="BQ122" s="492" t="str">
        <f t="shared" si="249"/>
        <v/>
      </c>
      <c r="BR122" s="492" t="str">
        <f t="shared" si="250"/>
        <v/>
      </c>
      <c r="BS122" s="492" t="str">
        <f t="shared" si="251"/>
        <v/>
      </c>
      <c r="BT122" s="492" t="str">
        <f t="shared" si="252"/>
        <v/>
      </c>
      <c r="BU122" s="492" t="str">
        <f t="shared" si="253"/>
        <v/>
      </c>
      <c r="BV122" s="492" t="str">
        <f t="shared" si="254"/>
        <v/>
      </c>
      <c r="BW122" s="492" t="str">
        <f t="shared" si="255"/>
        <v/>
      </c>
      <c r="BX122" s="492" t="str">
        <f t="shared" si="256"/>
        <v/>
      </c>
      <c r="BY122" s="492" t="str">
        <f t="shared" si="257"/>
        <v/>
      </c>
      <c r="BZ122" s="492" t="str">
        <f t="shared" si="258"/>
        <v/>
      </c>
      <c r="CA122" s="492" t="str">
        <f t="shared" si="259"/>
        <v/>
      </c>
      <c r="CB122" s="492" t="str">
        <f t="shared" si="260"/>
        <v/>
      </c>
      <c r="CC122" s="492" t="str">
        <f t="shared" si="261"/>
        <v/>
      </c>
      <c r="CD122" s="492" t="str">
        <f t="shared" si="262"/>
        <v/>
      </c>
      <c r="CE122" s="492" t="str">
        <f t="shared" si="263"/>
        <v/>
      </c>
      <c r="CF122" s="492" t="str">
        <f t="shared" si="264"/>
        <v/>
      </c>
      <c r="CG122" s="492" t="str">
        <f t="shared" si="265"/>
        <v/>
      </c>
      <c r="CH122" s="492" t="str">
        <f t="shared" si="266"/>
        <v/>
      </c>
      <c r="CI122" s="492" t="str">
        <f t="shared" si="267"/>
        <v/>
      </c>
      <c r="CJ122" s="492" t="str">
        <f t="shared" si="268"/>
        <v/>
      </c>
      <c r="CK122" s="492" t="str">
        <f t="shared" si="269"/>
        <v/>
      </c>
      <c r="CL122" s="492" t="str">
        <f t="shared" si="270"/>
        <v/>
      </c>
      <c r="CM122" s="492" t="str">
        <f t="shared" si="271"/>
        <v/>
      </c>
      <c r="CN122" s="492" t="str">
        <f t="shared" si="272"/>
        <v/>
      </c>
      <c r="CO122" s="492" t="str">
        <f t="shared" si="273"/>
        <v/>
      </c>
      <c r="CP122" s="492" t="str">
        <f t="shared" si="274"/>
        <v/>
      </c>
      <c r="CQ122" s="492" t="str">
        <f t="shared" si="207"/>
        <v/>
      </c>
      <c r="CR122" s="492" t="str">
        <f t="shared" si="208"/>
        <v/>
      </c>
      <c r="CS122" s="492" t="str">
        <f t="shared" si="209"/>
        <v/>
      </c>
      <c r="CT122" s="492" t="str">
        <f t="shared" si="210"/>
        <v/>
      </c>
      <c r="CU122" s="492" t="str">
        <f t="shared" si="211"/>
        <v/>
      </c>
      <c r="CV122" s="492" t="str">
        <f t="shared" si="212"/>
        <v/>
      </c>
      <c r="CW122" s="495">
        <v>1</v>
      </c>
      <c r="CX122" s="496"/>
      <c r="CY122" s="496"/>
      <c r="CZ122" s="496"/>
      <c r="DA122" s="496"/>
      <c r="DB122" s="496"/>
    </row>
    <row r="123" spans="1:106" ht="13.5" customHeight="1">
      <c r="A123" s="1232">
        <v>113</v>
      </c>
      <c r="B123" s="1233"/>
      <c r="C123" s="1230"/>
      <c r="D123" s="1234"/>
      <c r="E123" s="1231"/>
      <c r="F123" s="1230"/>
      <c r="G123" s="1234"/>
      <c r="H123" s="1231"/>
      <c r="I123" s="1230"/>
      <c r="J123" s="1231"/>
      <c r="K123" s="1290"/>
      <c r="L123" s="1291"/>
      <c r="M123" s="1290"/>
      <c r="N123" s="1291"/>
      <c r="O123" s="1290"/>
      <c r="P123" s="1291"/>
      <c r="Q123" s="1230"/>
      <c r="R123" s="1231"/>
      <c r="S123" s="1230"/>
      <c r="T123" s="1231"/>
      <c r="U123" s="1228"/>
      <c r="V123" s="1229"/>
      <c r="W123" s="1230"/>
      <c r="X123" s="1231"/>
      <c r="Y123" s="1226"/>
      <c r="Z123" s="1227"/>
      <c r="AA123" s="1275"/>
      <c r="AB123" s="1275"/>
      <c r="AC123" s="1212" t="str">
        <f t="shared" ref="AC123:AC130" si="276">IF(S123="","",IF(AND(M123="標準",S123="○",O123=""),"※下表に記載必要箇所あり(①)",IF(AND(M123="標準",S123="○",O123="分園"),"※下表に記載必要箇所あり(③)",IF(AND(M123="短時間",S123="○",O123=""),"※下表に記載必要箇所あり(②)","※下表に記載必要箇所あり(④)"))))</f>
        <v/>
      </c>
      <c r="AD123" s="1213"/>
      <c r="AE123" s="1213"/>
      <c r="AF123" s="1213"/>
      <c r="AG123" s="492" t="str">
        <f t="shared" si="213"/>
        <v/>
      </c>
      <c r="AH123" s="466" t="str">
        <f t="shared" si="214"/>
        <v/>
      </c>
      <c r="AI123" s="466" t="str">
        <f t="shared" si="215"/>
        <v/>
      </c>
      <c r="AJ123" s="466" t="str">
        <f t="shared" si="216"/>
        <v/>
      </c>
      <c r="AK123" s="492" t="str">
        <f t="shared" si="217"/>
        <v>○</v>
      </c>
      <c r="AL123" s="492" t="str">
        <f t="shared" si="218"/>
        <v/>
      </c>
      <c r="AM123" s="492" t="str">
        <f t="shared" si="219"/>
        <v/>
      </c>
      <c r="AN123" s="492" t="str">
        <f t="shared" si="220"/>
        <v/>
      </c>
      <c r="AO123" s="492" t="str">
        <f t="shared" si="221"/>
        <v/>
      </c>
      <c r="AP123" s="492" t="str">
        <f t="shared" si="222"/>
        <v/>
      </c>
      <c r="AQ123" s="492" t="str">
        <f t="shared" si="223"/>
        <v/>
      </c>
      <c r="AR123" s="492" t="str">
        <f t="shared" si="224"/>
        <v/>
      </c>
      <c r="AS123" s="492" t="str">
        <f t="shared" si="225"/>
        <v/>
      </c>
      <c r="AT123" s="492" t="str">
        <f t="shared" si="226"/>
        <v/>
      </c>
      <c r="AU123" s="492" t="str">
        <f t="shared" si="227"/>
        <v/>
      </c>
      <c r="AV123" s="492" t="str">
        <f t="shared" si="228"/>
        <v/>
      </c>
      <c r="AW123" s="492" t="str">
        <f t="shared" si="229"/>
        <v/>
      </c>
      <c r="AX123" s="492" t="str">
        <f t="shared" si="230"/>
        <v/>
      </c>
      <c r="AY123" s="492" t="str">
        <f t="shared" si="231"/>
        <v/>
      </c>
      <c r="AZ123" s="492" t="str">
        <f t="shared" si="232"/>
        <v/>
      </c>
      <c r="BA123" s="492" t="str">
        <f t="shared" si="233"/>
        <v/>
      </c>
      <c r="BB123" s="492" t="str">
        <f t="shared" si="234"/>
        <v/>
      </c>
      <c r="BC123" s="492" t="str">
        <f t="shared" si="235"/>
        <v/>
      </c>
      <c r="BD123" s="492" t="str">
        <f t="shared" si="236"/>
        <v/>
      </c>
      <c r="BE123" s="492" t="str">
        <f t="shared" si="237"/>
        <v/>
      </c>
      <c r="BF123" s="492" t="str">
        <f t="shared" si="238"/>
        <v/>
      </c>
      <c r="BG123" s="492" t="str">
        <f t="shared" si="239"/>
        <v/>
      </c>
      <c r="BH123" s="492" t="str">
        <f t="shared" si="240"/>
        <v/>
      </c>
      <c r="BI123" s="492" t="str">
        <f t="shared" si="241"/>
        <v/>
      </c>
      <c r="BJ123" s="492" t="str">
        <f t="shared" si="242"/>
        <v/>
      </c>
      <c r="BK123" s="492" t="str">
        <f t="shared" si="243"/>
        <v/>
      </c>
      <c r="BL123" s="492" t="str">
        <f t="shared" si="244"/>
        <v/>
      </c>
      <c r="BM123" s="492" t="str">
        <f t="shared" si="245"/>
        <v/>
      </c>
      <c r="BN123" s="492" t="str">
        <f t="shared" si="246"/>
        <v/>
      </c>
      <c r="BO123" s="492" t="str">
        <f t="shared" si="247"/>
        <v/>
      </c>
      <c r="BP123" s="492" t="str">
        <f t="shared" si="248"/>
        <v/>
      </c>
      <c r="BQ123" s="492" t="str">
        <f t="shared" si="249"/>
        <v/>
      </c>
      <c r="BR123" s="492" t="str">
        <f t="shared" si="250"/>
        <v/>
      </c>
      <c r="BS123" s="492" t="str">
        <f t="shared" si="251"/>
        <v/>
      </c>
      <c r="BT123" s="492" t="str">
        <f t="shared" si="252"/>
        <v/>
      </c>
      <c r="BU123" s="492" t="str">
        <f t="shared" si="253"/>
        <v/>
      </c>
      <c r="BV123" s="492" t="str">
        <f t="shared" si="254"/>
        <v/>
      </c>
      <c r="BW123" s="492" t="str">
        <f t="shared" si="255"/>
        <v/>
      </c>
      <c r="BX123" s="492" t="str">
        <f t="shared" si="256"/>
        <v/>
      </c>
      <c r="BY123" s="492" t="str">
        <f t="shared" si="257"/>
        <v/>
      </c>
      <c r="BZ123" s="492" t="str">
        <f t="shared" si="258"/>
        <v/>
      </c>
      <c r="CA123" s="492" t="str">
        <f t="shared" si="259"/>
        <v/>
      </c>
      <c r="CB123" s="492" t="str">
        <f t="shared" si="260"/>
        <v/>
      </c>
      <c r="CC123" s="492" t="str">
        <f t="shared" si="261"/>
        <v/>
      </c>
      <c r="CD123" s="492" t="str">
        <f t="shared" si="262"/>
        <v/>
      </c>
      <c r="CE123" s="492" t="str">
        <f t="shared" si="263"/>
        <v/>
      </c>
      <c r="CF123" s="492" t="str">
        <f t="shared" si="264"/>
        <v/>
      </c>
      <c r="CG123" s="492" t="str">
        <f t="shared" si="265"/>
        <v/>
      </c>
      <c r="CH123" s="492" t="str">
        <f t="shared" si="266"/>
        <v/>
      </c>
      <c r="CI123" s="492" t="str">
        <f t="shared" si="267"/>
        <v/>
      </c>
      <c r="CJ123" s="492" t="str">
        <f t="shared" si="268"/>
        <v/>
      </c>
      <c r="CK123" s="492" t="str">
        <f t="shared" si="269"/>
        <v/>
      </c>
      <c r="CL123" s="492" t="str">
        <f t="shared" si="270"/>
        <v/>
      </c>
      <c r="CM123" s="492" t="str">
        <f t="shared" si="271"/>
        <v/>
      </c>
      <c r="CN123" s="492" t="str">
        <f t="shared" si="272"/>
        <v/>
      </c>
      <c r="CO123" s="492" t="str">
        <f t="shared" si="273"/>
        <v/>
      </c>
      <c r="CP123" s="492" t="str">
        <f t="shared" si="274"/>
        <v/>
      </c>
      <c r="CQ123" s="492" t="str">
        <f t="shared" si="207"/>
        <v/>
      </c>
      <c r="CR123" s="492" t="str">
        <f t="shared" si="208"/>
        <v/>
      </c>
      <c r="CS123" s="492" t="str">
        <f t="shared" si="209"/>
        <v/>
      </c>
      <c r="CT123" s="492" t="str">
        <f t="shared" si="210"/>
        <v/>
      </c>
      <c r="CU123" s="492" t="str">
        <f t="shared" si="211"/>
        <v/>
      </c>
      <c r="CV123" s="492" t="str">
        <f t="shared" si="212"/>
        <v/>
      </c>
      <c r="CW123" s="495">
        <v>1</v>
      </c>
      <c r="CX123" s="496"/>
      <c r="CY123" s="496"/>
      <c r="CZ123" s="496"/>
      <c r="DA123" s="496"/>
      <c r="DB123" s="496"/>
    </row>
    <row r="124" spans="1:106" ht="13.5" customHeight="1">
      <c r="A124" s="1232">
        <v>114</v>
      </c>
      <c r="B124" s="1233"/>
      <c r="C124" s="1230"/>
      <c r="D124" s="1234"/>
      <c r="E124" s="1231"/>
      <c r="F124" s="1230"/>
      <c r="G124" s="1234"/>
      <c r="H124" s="1231"/>
      <c r="I124" s="1230"/>
      <c r="J124" s="1231"/>
      <c r="K124" s="1290"/>
      <c r="L124" s="1291"/>
      <c r="M124" s="1290"/>
      <c r="N124" s="1291"/>
      <c r="O124" s="1290"/>
      <c r="P124" s="1291"/>
      <c r="Q124" s="1230"/>
      <c r="R124" s="1231"/>
      <c r="S124" s="1230"/>
      <c r="T124" s="1231"/>
      <c r="U124" s="1228"/>
      <c r="V124" s="1229"/>
      <c r="W124" s="1230"/>
      <c r="X124" s="1231"/>
      <c r="Y124" s="1226"/>
      <c r="Z124" s="1227"/>
      <c r="AA124" s="1275"/>
      <c r="AB124" s="1275"/>
      <c r="AC124" s="1212" t="str">
        <f t="shared" si="276"/>
        <v/>
      </c>
      <c r="AD124" s="1213"/>
      <c r="AE124" s="1213"/>
      <c r="AF124" s="1213"/>
      <c r="AG124" s="492" t="str">
        <f t="shared" si="213"/>
        <v/>
      </c>
      <c r="AH124" s="466" t="str">
        <f t="shared" si="214"/>
        <v/>
      </c>
      <c r="AI124" s="466" t="str">
        <f t="shared" si="215"/>
        <v/>
      </c>
      <c r="AJ124" s="466" t="str">
        <f t="shared" si="216"/>
        <v/>
      </c>
      <c r="AK124" s="492" t="str">
        <f t="shared" si="217"/>
        <v>○</v>
      </c>
      <c r="AL124" s="492" t="str">
        <f t="shared" si="218"/>
        <v/>
      </c>
      <c r="AM124" s="492" t="str">
        <f t="shared" si="219"/>
        <v/>
      </c>
      <c r="AN124" s="492" t="str">
        <f t="shared" si="220"/>
        <v/>
      </c>
      <c r="AO124" s="492" t="str">
        <f t="shared" si="221"/>
        <v/>
      </c>
      <c r="AP124" s="492" t="str">
        <f t="shared" si="222"/>
        <v/>
      </c>
      <c r="AQ124" s="492" t="str">
        <f t="shared" si="223"/>
        <v/>
      </c>
      <c r="AR124" s="492" t="str">
        <f t="shared" si="224"/>
        <v/>
      </c>
      <c r="AS124" s="492" t="str">
        <f t="shared" si="225"/>
        <v/>
      </c>
      <c r="AT124" s="492" t="str">
        <f t="shared" si="226"/>
        <v/>
      </c>
      <c r="AU124" s="492" t="str">
        <f t="shared" si="227"/>
        <v/>
      </c>
      <c r="AV124" s="492" t="str">
        <f t="shared" si="228"/>
        <v/>
      </c>
      <c r="AW124" s="492" t="str">
        <f t="shared" si="229"/>
        <v/>
      </c>
      <c r="AX124" s="492" t="str">
        <f t="shared" si="230"/>
        <v/>
      </c>
      <c r="AY124" s="492" t="str">
        <f t="shared" si="231"/>
        <v/>
      </c>
      <c r="AZ124" s="492" t="str">
        <f t="shared" si="232"/>
        <v/>
      </c>
      <c r="BA124" s="492" t="str">
        <f t="shared" si="233"/>
        <v/>
      </c>
      <c r="BB124" s="492" t="str">
        <f t="shared" si="234"/>
        <v/>
      </c>
      <c r="BC124" s="492" t="str">
        <f t="shared" si="235"/>
        <v/>
      </c>
      <c r="BD124" s="492" t="str">
        <f t="shared" si="236"/>
        <v/>
      </c>
      <c r="BE124" s="492" t="str">
        <f t="shared" si="237"/>
        <v/>
      </c>
      <c r="BF124" s="492" t="str">
        <f t="shared" si="238"/>
        <v/>
      </c>
      <c r="BG124" s="492" t="str">
        <f t="shared" si="239"/>
        <v/>
      </c>
      <c r="BH124" s="492" t="str">
        <f t="shared" si="240"/>
        <v/>
      </c>
      <c r="BI124" s="492" t="str">
        <f t="shared" si="241"/>
        <v/>
      </c>
      <c r="BJ124" s="492" t="str">
        <f t="shared" si="242"/>
        <v/>
      </c>
      <c r="BK124" s="492" t="str">
        <f t="shared" si="243"/>
        <v/>
      </c>
      <c r="BL124" s="492" t="str">
        <f t="shared" si="244"/>
        <v/>
      </c>
      <c r="BM124" s="492" t="str">
        <f t="shared" si="245"/>
        <v/>
      </c>
      <c r="BN124" s="492" t="str">
        <f t="shared" si="246"/>
        <v/>
      </c>
      <c r="BO124" s="492" t="str">
        <f t="shared" si="247"/>
        <v/>
      </c>
      <c r="BP124" s="492" t="str">
        <f t="shared" si="248"/>
        <v/>
      </c>
      <c r="BQ124" s="492" t="str">
        <f t="shared" si="249"/>
        <v/>
      </c>
      <c r="BR124" s="492" t="str">
        <f t="shared" si="250"/>
        <v/>
      </c>
      <c r="BS124" s="492" t="str">
        <f t="shared" si="251"/>
        <v/>
      </c>
      <c r="BT124" s="492" t="str">
        <f t="shared" si="252"/>
        <v/>
      </c>
      <c r="BU124" s="492" t="str">
        <f t="shared" si="253"/>
        <v/>
      </c>
      <c r="BV124" s="492" t="str">
        <f t="shared" si="254"/>
        <v/>
      </c>
      <c r="BW124" s="492" t="str">
        <f t="shared" si="255"/>
        <v/>
      </c>
      <c r="BX124" s="492" t="str">
        <f t="shared" si="256"/>
        <v/>
      </c>
      <c r="BY124" s="492" t="str">
        <f t="shared" si="257"/>
        <v/>
      </c>
      <c r="BZ124" s="492" t="str">
        <f t="shared" si="258"/>
        <v/>
      </c>
      <c r="CA124" s="492" t="str">
        <f t="shared" si="259"/>
        <v/>
      </c>
      <c r="CB124" s="492" t="str">
        <f t="shared" si="260"/>
        <v/>
      </c>
      <c r="CC124" s="492" t="str">
        <f t="shared" si="261"/>
        <v/>
      </c>
      <c r="CD124" s="492" t="str">
        <f t="shared" si="262"/>
        <v/>
      </c>
      <c r="CE124" s="492" t="str">
        <f t="shared" si="263"/>
        <v/>
      </c>
      <c r="CF124" s="492" t="str">
        <f t="shared" si="264"/>
        <v/>
      </c>
      <c r="CG124" s="492" t="str">
        <f t="shared" si="265"/>
        <v/>
      </c>
      <c r="CH124" s="492" t="str">
        <f t="shared" si="266"/>
        <v/>
      </c>
      <c r="CI124" s="492" t="str">
        <f t="shared" si="267"/>
        <v/>
      </c>
      <c r="CJ124" s="492" t="str">
        <f t="shared" si="268"/>
        <v/>
      </c>
      <c r="CK124" s="492" t="str">
        <f t="shared" si="269"/>
        <v/>
      </c>
      <c r="CL124" s="492" t="str">
        <f t="shared" si="270"/>
        <v/>
      </c>
      <c r="CM124" s="492" t="str">
        <f t="shared" si="271"/>
        <v/>
      </c>
      <c r="CN124" s="492" t="str">
        <f t="shared" si="272"/>
        <v/>
      </c>
      <c r="CO124" s="492" t="str">
        <f t="shared" si="273"/>
        <v/>
      </c>
      <c r="CP124" s="492" t="str">
        <f t="shared" si="274"/>
        <v/>
      </c>
      <c r="CQ124" s="492" t="str">
        <f t="shared" si="207"/>
        <v/>
      </c>
      <c r="CR124" s="492" t="str">
        <f t="shared" si="208"/>
        <v/>
      </c>
      <c r="CS124" s="492" t="str">
        <f t="shared" si="209"/>
        <v/>
      </c>
      <c r="CT124" s="492" t="str">
        <f t="shared" si="210"/>
        <v/>
      </c>
      <c r="CU124" s="492" t="str">
        <f t="shared" si="211"/>
        <v/>
      </c>
      <c r="CV124" s="492" t="str">
        <f t="shared" si="212"/>
        <v/>
      </c>
      <c r="CW124" s="495">
        <v>1</v>
      </c>
      <c r="CX124" s="496"/>
      <c r="CY124" s="496"/>
      <c r="CZ124" s="496"/>
      <c r="DA124" s="496"/>
      <c r="DB124" s="496"/>
    </row>
    <row r="125" spans="1:106" ht="13.5" customHeight="1">
      <c r="A125" s="1232">
        <v>115</v>
      </c>
      <c r="B125" s="1233"/>
      <c r="C125" s="1230"/>
      <c r="D125" s="1234"/>
      <c r="E125" s="1231"/>
      <c r="F125" s="1230"/>
      <c r="G125" s="1234"/>
      <c r="H125" s="1231"/>
      <c r="I125" s="1230"/>
      <c r="J125" s="1231"/>
      <c r="K125" s="1290"/>
      <c r="L125" s="1291"/>
      <c r="M125" s="1290"/>
      <c r="N125" s="1291"/>
      <c r="O125" s="1290"/>
      <c r="P125" s="1291"/>
      <c r="Q125" s="1230"/>
      <c r="R125" s="1231"/>
      <c r="S125" s="1230"/>
      <c r="T125" s="1231"/>
      <c r="U125" s="1228"/>
      <c r="V125" s="1229"/>
      <c r="W125" s="1230"/>
      <c r="X125" s="1231"/>
      <c r="Y125" s="1226"/>
      <c r="Z125" s="1227"/>
      <c r="AA125" s="1275"/>
      <c r="AB125" s="1275"/>
      <c r="AC125" s="1212" t="str">
        <f t="shared" si="276"/>
        <v/>
      </c>
      <c r="AD125" s="1213"/>
      <c r="AE125" s="1213"/>
      <c r="AF125" s="1213"/>
      <c r="AG125" s="492" t="str">
        <f t="shared" si="213"/>
        <v/>
      </c>
      <c r="AH125" s="466" t="str">
        <f t="shared" si="214"/>
        <v/>
      </c>
      <c r="AI125" s="466" t="str">
        <f t="shared" si="215"/>
        <v/>
      </c>
      <c r="AJ125" s="466" t="str">
        <f t="shared" si="216"/>
        <v/>
      </c>
      <c r="AK125" s="492" t="str">
        <f t="shared" si="217"/>
        <v>○</v>
      </c>
      <c r="AL125" s="492" t="str">
        <f t="shared" si="218"/>
        <v/>
      </c>
      <c r="AM125" s="492" t="str">
        <f t="shared" si="219"/>
        <v/>
      </c>
      <c r="AN125" s="492" t="str">
        <f t="shared" si="220"/>
        <v/>
      </c>
      <c r="AO125" s="492" t="str">
        <f t="shared" si="221"/>
        <v/>
      </c>
      <c r="AP125" s="492" t="str">
        <f t="shared" si="222"/>
        <v/>
      </c>
      <c r="AQ125" s="492" t="str">
        <f t="shared" si="223"/>
        <v/>
      </c>
      <c r="AR125" s="492" t="str">
        <f t="shared" si="224"/>
        <v/>
      </c>
      <c r="AS125" s="492" t="str">
        <f t="shared" si="225"/>
        <v/>
      </c>
      <c r="AT125" s="492" t="str">
        <f t="shared" si="226"/>
        <v/>
      </c>
      <c r="AU125" s="492" t="str">
        <f t="shared" si="227"/>
        <v/>
      </c>
      <c r="AV125" s="492" t="str">
        <f t="shared" si="228"/>
        <v/>
      </c>
      <c r="AW125" s="492" t="str">
        <f t="shared" si="229"/>
        <v/>
      </c>
      <c r="AX125" s="492" t="str">
        <f t="shared" si="230"/>
        <v/>
      </c>
      <c r="AY125" s="492" t="str">
        <f t="shared" si="231"/>
        <v/>
      </c>
      <c r="AZ125" s="492" t="str">
        <f t="shared" si="232"/>
        <v/>
      </c>
      <c r="BA125" s="492" t="str">
        <f t="shared" si="233"/>
        <v/>
      </c>
      <c r="BB125" s="492" t="str">
        <f t="shared" si="234"/>
        <v/>
      </c>
      <c r="BC125" s="492" t="str">
        <f t="shared" si="235"/>
        <v/>
      </c>
      <c r="BD125" s="492" t="str">
        <f t="shared" si="236"/>
        <v/>
      </c>
      <c r="BE125" s="492" t="str">
        <f t="shared" si="237"/>
        <v/>
      </c>
      <c r="BF125" s="492" t="str">
        <f t="shared" si="238"/>
        <v/>
      </c>
      <c r="BG125" s="492" t="str">
        <f t="shared" si="239"/>
        <v/>
      </c>
      <c r="BH125" s="492" t="str">
        <f t="shared" si="240"/>
        <v/>
      </c>
      <c r="BI125" s="492" t="str">
        <f t="shared" si="241"/>
        <v/>
      </c>
      <c r="BJ125" s="492" t="str">
        <f t="shared" si="242"/>
        <v/>
      </c>
      <c r="BK125" s="492" t="str">
        <f t="shared" si="243"/>
        <v/>
      </c>
      <c r="BL125" s="492" t="str">
        <f t="shared" si="244"/>
        <v/>
      </c>
      <c r="BM125" s="492" t="str">
        <f t="shared" si="245"/>
        <v/>
      </c>
      <c r="BN125" s="492" t="str">
        <f t="shared" si="246"/>
        <v/>
      </c>
      <c r="BO125" s="492" t="str">
        <f t="shared" si="247"/>
        <v/>
      </c>
      <c r="BP125" s="492" t="str">
        <f t="shared" si="248"/>
        <v/>
      </c>
      <c r="BQ125" s="492" t="str">
        <f t="shared" si="249"/>
        <v/>
      </c>
      <c r="BR125" s="492" t="str">
        <f t="shared" si="250"/>
        <v/>
      </c>
      <c r="BS125" s="492" t="str">
        <f t="shared" si="251"/>
        <v/>
      </c>
      <c r="BT125" s="492" t="str">
        <f t="shared" si="252"/>
        <v/>
      </c>
      <c r="BU125" s="492" t="str">
        <f t="shared" si="253"/>
        <v/>
      </c>
      <c r="BV125" s="492" t="str">
        <f t="shared" si="254"/>
        <v/>
      </c>
      <c r="BW125" s="492" t="str">
        <f t="shared" si="255"/>
        <v/>
      </c>
      <c r="BX125" s="492" t="str">
        <f t="shared" si="256"/>
        <v/>
      </c>
      <c r="BY125" s="492" t="str">
        <f t="shared" si="257"/>
        <v/>
      </c>
      <c r="BZ125" s="492" t="str">
        <f t="shared" si="258"/>
        <v/>
      </c>
      <c r="CA125" s="492" t="str">
        <f t="shared" si="259"/>
        <v/>
      </c>
      <c r="CB125" s="492" t="str">
        <f t="shared" si="260"/>
        <v/>
      </c>
      <c r="CC125" s="492" t="str">
        <f t="shared" si="261"/>
        <v/>
      </c>
      <c r="CD125" s="492" t="str">
        <f t="shared" si="262"/>
        <v/>
      </c>
      <c r="CE125" s="492" t="str">
        <f t="shared" si="263"/>
        <v/>
      </c>
      <c r="CF125" s="492" t="str">
        <f t="shared" si="264"/>
        <v/>
      </c>
      <c r="CG125" s="492" t="str">
        <f t="shared" si="265"/>
        <v/>
      </c>
      <c r="CH125" s="492" t="str">
        <f t="shared" si="266"/>
        <v/>
      </c>
      <c r="CI125" s="492" t="str">
        <f t="shared" si="267"/>
        <v/>
      </c>
      <c r="CJ125" s="492" t="str">
        <f t="shared" si="268"/>
        <v/>
      </c>
      <c r="CK125" s="492" t="str">
        <f t="shared" si="269"/>
        <v/>
      </c>
      <c r="CL125" s="492" t="str">
        <f t="shared" si="270"/>
        <v/>
      </c>
      <c r="CM125" s="492" t="str">
        <f t="shared" si="271"/>
        <v/>
      </c>
      <c r="CN125" s="492" t="str">
        <f t="shared" si="272"/>
        <v/>
      </c>
      <c r="CO125" s="492" t="str">
        <f t="shared" si="273"/>
        <v/>
      </c>
      <c r="CP125" s="492" t="str">
        <f t="shared" si="274"/>
        <v/>
      </c>
      <c r="CQ125" s="492" t="str">
        <f t="shared" si="207"/>
        <v/>
      </c>
      <c r="CR125" s="492" t="str">
        <f t="shared" si="208"/>
        <v/>
      </c>
      <c r="CS125" s="492" t="str">
        <f t="shared" si="209"/>
        <v/>
      </c>
      <c r="CT125" s="492" t="str">
        <f t="shared" si="210"/>
        <v/>
      </c>
      <c r="CU125" s="492" t="str">
        <f t="shared" si="211"/>
        <v/>
      </c>
      <c r="CV125" s="492" t="str">
        <f t="shared" si="212"/>
        <v/>
      </c>
      <c r="CW125" s="495">
        <v>1</v>
      </c>
      <c r="CX125" s="496"/>
      <c r="CY125" s="496"/>
      <c r="CZ125" s="496"/>
      <c r="DA125" s="496"/>
      <c r="DB125" s="496"/>
    </row>
    <row r="126" spans="1:106" ht="13.5" customHeight="1">
      <c r="A126" s="1232">
        <v>116</v>
      </c>
      <c r="B126" s="1233"/>
      <c r="C126" s="1230"/>
      <c r="D126" s="1234"/>
      <c r="E126" s="1231"/>
      <c r="F126" s="1230"/>
      <c r="G126" s="1234"/>
      <c r="H126" s="1231"/>
      <c r="I126" s="1230"/>
      <c r="J126" s="1231"/>
      <c r="K126" s="1290"/>
      <c r="L126" s="1291"/>
      <c r="M126" s="1290"/>
      <c r="N126" s="1291"/>
      <c r="O126" s="1290"/>
      <c r="P126" s="1291"/>
      <c r="Q126" s="1230"/>
      <c r="R126" s="1231"/>
      <c r="S126" s="1230"/>
      <c r="T126" s="1231"/>
      <c r="U126" s="1228"/>
      <c r="V126" s="1229"/>
      <c r="W126" s="1230"/>
      <c r="X126" s="1231"/>
      <c r="Y126" s="1226"/>
      <c r="Z126" s="1227"/>
      <c r="AA126" s="1275"/>
      <c r="AB126" s="1275"/>
      <c r="AC126" s="1212" t="str">
        <f t="shared" si="276"/>
        <v/>
      </c>
      <c r="AD126" s="1213"/>
      <c r="AE126" s="1213"/>
      <c r="AF126" s="1213"/>
      <c r="AG126" s="492" t="str">
        <f t="shared" si="213"/>
        <v/>
      </c>
      <c r="AH126" s="466" t="str">
        <f t="shared" si="214"/>
        <v/>
      </c>
      <c r="AI126" s="466" t="str">
        <f t="shared" si="215"/>
        <v/>
      </c>
      <c r="AJ126" s="466" t="str">
        <f t="shared" si="216"/>
        <v/>
      </c>
      <c r="AK126" s="492" t="str">
        <f t="shared" si="217"/>
        <v>○</v>
      </c>
      <c r="AL126" s="492" t="str">
        <f t="shared" si="218"/>
        <v/>
      </c>
      <c r="AM126" s="492" t="str">
        <f t="shared" si="219"/>
        <v/>
      </c>
      <c r="AN126" s="492" t="str">
        <f t="shared" si="220"/>
        <v/>
      </c>
      <c r="AO126" s="492" t="str">
        <f t="shared" si="221"/>
        <v/>
      </c>
      <c r="AP126" s="492" t="str">
        <f t="shared" si="222"/>
        <v/>
      </c>
      <c r="AQ126" s="492" t="str">
        <f t="shared" si="223"/>
        <v/>
      </c>
      <c r="AR126" s="492" t="str">
        <f t="shared" si="224"/>
        <v/>
      </c>
      <c r="AS126" s="492" t="str">
        <f t="shared" si="225"/>
        <v/>
      </c>
      <c r="AT126" s="492" t="str">
        <f t="shared" si="226"/>
        <v/>
      </c>
      <c r="AU126" s="492" t="str">
        <f t="shared" si="227"/>
        <v/>
      </c>
      <c r="AV126" s="492" t="str">
        <f t="shared" si="228"/>
        <v/>
      </c>
      <c r="AW126" s="492" t="str">
        <f t="shared" si="229"/>
        <v/>
      </c>
      <c r="AX126" s="492" t="str">
        <f t="shared" si="230"/>
        <v/>
      </c>
      <c r="AY126" s="492" t="str">
        <f t="shared" si="231"/>
        <v/>
      </c>
      <c r="AZ126" s="492" t="str">
        <f t="shared" si="232"/>
        <v/>
      </c>
      <c r="BA126" s="492" t="str">
        <f t="shared" si="233"/>
        <v/>
      </c>
      <c r="BB126" s="492" t="str">
        <f t="shared" si="234"/>
        <v/>
      </c>
      <c r="BC126" s="492" t="str">
        <f t="shared" si="235"/>
        <v/>
      </c>
      <c r="BD126" s="492" t="str">
        <f t="shared" si="236"/>
        <v/>
      </c>
      <c r="BE126" s="492" t="str">
        <f t="shared" si="237"/>
        <v/>
      </c>
      <c r="BF126" s="492" t="str">
        <f t="shared" si="238"/>
        <v/>
      </c>
      <c r="BG126" s="492" t="str">
        <f t="shared" si="239"/>
        <v/>
      </c>
      <c r="BH126" s="492" t="str">
        <f t="shared" si="240"/>
        <v/>
      </c>
      <c r="BI126" s="492" t="str">
        <f t="shared" si="241"/>
        <v/>
      </c>
      <c r="BJ126" s="492" t="str">
        <f t="shared" si="242"/>
        <v/>
      </c>
      <c r="BK126" s="492" t="str">
        <f t="shared" si="243"/>
        <v/>
      </c>
      <c r="BL126" s="492" t="str">
        <f t="shared" si="244"/>
        <v/>
      </c>
      <c r="BM126" s="492" t="str">
        <f t="shared" si="245"/>
        <v/>
      </c>
      <c r="BN126" s="492" t="str">
        <f t="shared" si="246"/>
        <v/>
      </c>
      <c r="BO126" s="492" t="str">
        <f t="shared" si="247"/>
        <v/>
      </c>
      <c r="BP126" s="492" t="str">
        <f t="shared" si="248"/>
        <v/>
      </c>
      <c r="BQ126" s="492" t="str">
        <f t="shared" si="249"/>
        <v/>
      </c>
      <c r="BR126" s="492" t="str">
        <f t="shared" si="250"/>
        <v/>
      </c>
      <c r="BS126" s="492" t="str">
        <f t="shared" si="251"/>
        <v/>
      </c>
      <c r="BT126" s="492" t="str">
        <f t="shared" si="252"/>
        <v/>
      </c>
      <c r="BU126" s="492" t="str">
        <f t="shared" si="253"/>
        <v/>
      </c>
      <c r="BV126" s="492" t="str">
        <f t="shared" si="254"/>
        <v/>
      </c>
      <c r="BW126" s="492" t="str">
        <f t="shared" si="255"/>
        <v/>
      </c>
      <c r="BX126" s="492" t="str">
        <f t="shared" si="256"/>
        <v/>
      </c>
      <c r="BY126" s="492" t="str">
        <f t="shared" si="257"/>
        <v/>
      </c>
      <c r="BZ126" s="492" t="str">
        <f t="shared" si="258"/>
        <v/>
      </c>
      <c r="CA126" s="492" t="str">
        <f t="shared" si="259"/>
        <v/>
      </c>
      <c r="CB126" s="492" t="str">
        <f t="shared" si="260"/>
        <v/>
      </c>
      <c r="CC126" s="492" t="str">
        <f t="shared" si="261"/>
        <v/>
      </c>
      <c r="CD126" s="492" t="str">
        <f t="shared" si="262"/>
        <v/>
      </c>
      <c r="CE126" s="492" t="str">
        <f t="shared" si="263"/>
        <v/>
      </c>
      <c r="CF126" s="492" t="str">
        <f t="shared" si="264"/>
        <v/>
      </c>
      <c r="CG126" s="492" t="str">
        <f t="shared" si="265"/>
        <v/>
      </c>
      <c r="CH126" s="492" t="str">
        <f t="shared" si="266"/>
        <v/>
      </c>
      <c r="CI126" s="492" t="str">
        <f t="shared" si="267"/>
        <v/>
      </c>
      <c r="CJ126" s="492" t="str">
        <f t="shared" si="268"/>
        <v/>
      </c>
      <c r="CK126" s="492" t="str">
        <f t="shared" si="269"/>
        <v/>
      </c>
      <c r="CL126" s="492" t="str">
        <f t="shared" si="270"/>
        <v/>
      </c>
      <c r="CM126" s="492" t="str">
        <f t="shared" si="271"/>
        <v/>
      </c>
      <c r="CN126" s="492" t="str">
        <f t="shared" si="272"/>
        <v/>
      </c>
      <c r="CO126" s="492" t="str">
        <f t="shared" si="273"/>
        <v/>
      </c>
      <c r="CP126" s="492" t="str">
        <f t="shared" si="274"/>
        <v/>
      </c>
      <c r="CQ126" s="492" t="str">
        <f t="shared" si="207"/>
        <v/>
      </c>
      <c r="CR126" s="492" t="str">
        <f t="shared" si="208"/>
        <v/>
      </c>
      <c r="CS126" s="492" t="str">
        <f t="shared" si="209"/>
        <v/>
      </c>
      <c r="CT126" s="492" t="str">
        <f t="shared" si="210"/>
        <v/>
      </c>
      <c r="CU126" s="492" t="str">
        <f t="shared" si="211"/>
        <v/>
      </c>
      <c r="CV126" s="492" t="str">
        <f t="shared" si="212"/>
        <v/>
      </c>
      <c r="CW126" s="495">
        <v>1</v>
      </c>
      <c r="CX126" s="496"/>
      <c r="CY126" s="496"/>
      <c r="CZ126" s="496"/>
      <c r="DA126" s="496"/>
      <c r="DB126" s="496"/>
    </row>
    <row r="127" spans="1:106" ht="13.5" customHeight="1">
      <c r="A127" s="1232">
        <v>117</v>
      </c>
      <c r="B127" s="1233"/>
      <c r="C127" s="1230"/>
      <c r="D127" s="1234"/>
      <c r="E127" s="1231"/>
      <c r="F127" s="1230"/>
      <c r="G127" s="1234"/>
      <c r="H127" s="1231"/>
      <c r="I127" s="1230"/>
      <c r="J127" s="1231"/>
      <c r="K127" s="1290"/>
      <c r="L127" s="1291"/>
      <c r="M127" s="1290"/>
      <c r="N127" s="1291"/>
      <c r="O127" s="1290"/>
      <c r="P127" s="1291"/>
      <c r="Q127" s="1230"/>
      <c r="R127" s="1231"/>
      <c r="S127" s="1230"/>
      <c r="T127" s="1231"/>
      <c r="U127" s="1228"/>
      <c r="V127" s="1229"/>
      <c r="W127" s="1230"/>
      <c r="X127" s="1231"/>
      <c r="Y127" s="1226"/>
      <c r="Z127" s="1227"/>
      <c r="AA127" s="1275"/>
      <c r="AB127" s="1275"/>
      <c r="AC127" s="1212" t="str">
        <f t="shared" si="276"/>
        <v/>
      </c>
      <c r="AD127" s="1213"/>
      <c r="AE127" s="1213"/>
      <c r="AF127" s="1213"/>
      <c r="AG127" s="492" t="str">
        <f t="shared" si="213"/>
        <v/>
      </c>
      <c r="AH127" s="466" t="str">
        <f t="shared" si="214"/>
        <v/>
      </c>
      <c r="AI127" s="466" t="str">
        <f t="shared" si="215"/>
        <v/>
      </c>
      <c r="AJ127" s="466" t="str">
        <f t="shared" si="216"/>
        <v/>
      </c>
      <c r="AK127" s="492" t="str">
        <f t="shared" si="217"/>
        <v>○</v>
      </c>
      <c r="AL127" s="492" t="str">
        <f t="shared" si="218"/>
        <v/>
      </c>
      <c r="AM127" s="492" t="str">
        <f t="shared" si="219"/>
        <v/>
      </c>
      <c r="AN127" s="492" t="str">
        <f t="shared" si="220"/>
        <v/>
      </c>
      <c r="AO127" s="492" t="str">
        <f t="shared" si="221"/>
        <v/>
      </c>
      <c r="AP127" s="492" t="str">
        <f t="shared" si="222"/>
        <v/>
      </c>
      <c r="AQ127" s="492" t="str">
        <f t="shared" si="223"/>
        <v/>
      </c>
      <c r="AR127" s="492" t="str">
        <f t="shared" si="224"/>
        <v/>
      </c>
      <c r="AS127" s="492" t="str">
        <f t="shared" si="225"/>
        <v/>
      </c>
      <c r="AT127" s="492" t="str">
        <f t="shared" si="226"/>
        <v/>
      </c>
      <c r="AU127" s="492" t="str">
        <f t="shared" si="227"/>
        <v/>
      </c>
      <c r="AV127" s="492" t="str">
        <f t="shared" si="228"/>
        <v/>
      </c>
      <c r="AW127" s="492" t="str">
        <f t="shared" si="229"/>
        <v/>
      </c>
      <c r="AX127" s="492" t="str">
        <f t="shared" si="230"/>
        <v/>
      </c>
      <c r="AY127" s="492" t="str">
        <f t="shared" si="231"/>
        <v/>
      </c>
      <c r="AZ127" s="492" t="str">
        <f t="shared" si="232"/>
        <v/>
      </c>
      <c r="BA127" s="492" t="str">
        <f t="shared" si="233"/>
        <v/>
      </c>
      <c r="BB127" s="492" t="str">
        <f t="shared" si="234"/>
        <v/>
      </c>
      <c r="BC127" s="492" t="str">
        <f t="shared" si="235"/>
        <v/>
      </c>
      <c r="BD127" s="492" t="str">
        <f t="shared" si="236"/>
        <v/>
      </c>
      <c r="BE127" s="492" t="str">
        <f t="shared" si="237"/>
        <v/>
      </c>
      <c r="BF127" s="492" t="str">
        <f t="shared" si="238"/>
        <v/>
      </c>
      <c r="BG127" s="492" t="str">
        <f t="shared" si="239"/>
        <v/>
      </c>
      <c r="BH127" s="492" t="str">
        <f t="shared" si="240"/>
        <v/>
      </c>
      <c r="BI127" s="492" t="str">
        <f t="shared" si="241"/>
        <v/>
      </c>
      <c r="BJ127" s="492" t="str">
        <f t="shared" si="242"/>
        <v/>
      </c>
      <c r="BK127" s="492" t="str">
        <f t="shared" si="243"/>
        <v/>
      </c>
      <c r="BL127" s="492" t="str">
        <f t="shared" si="244"/>
        <v/>
      </c>
      <c r="BM127" s="492" t="str">
        <f t="shared" si="245"/>
        <v/>
      </c>
      <c r="BN127" s="492" t="str">
        <f t="shared" si="246"/>
        <v/>
      </c>
      <c r="BO127" s="492" t="str">
        <f t="shared" si="247"/>
        <v/>
      </c>
      <c r="BP127" s="492" t="str">
        <f t="shared" si="248"/>
        <v/>
      </c>
      <c r="BQ127" s="492" t="str">
        <f t="shared" si="249"/>
        <v/>
      </c>
      <c r="BR127" s="492" t="str">
        <f t="shared" si="250"/>
        <v/>
      </c>
      <c r="BS127" s="492" t="str">
        <f t="shared" si="251"/>
        <v/>
      </c>
      <c r="BT127" s="492" t="str">
        <f t="shared" si="252"/>
        <v/>
      </c>
      <c r="BU127" s="492" t="str">
        <f t="shared" si="253"/>
        <v/>
      </c>
      <c r="BV127" s="492" t="str">
        <f t="shared" si="254"/>
        <v/>
      </c>
      <c r="BW127" s="492" t="str">
        <f t="shared" si="255"/>
        <v/>
      </c>
      <c r="BX127" s="492" t="str">
        <f t="shared" si="256"/>
        <v/>
      </c>
      <c r="BY127" s="492" t="str">
        <f t="shared" si="257"/>
        <v/>
      </c>
      <c r="BZ127" s="492" t="str">
        <f t="shared" si="258"/>
        <v/>
      </c>
      <c r="CA127" s="492" t="str">
        <f t="shared" si="259"/>
        <v/>
      </c>
      <c r="CB127" s="492" t="str">
        <f t="shared" si="260"/>
        <v/>
      </c>
      <c r="CC127" s="492" t="str">
        <f t="shared" si="261"/>
        <v/>
      </c>
      <c r="CD127" s="492" t="str">
        <f t="shared" si="262"/>
        <v/>
      </c>
      <c r="CE127" s="492" t="str">
        <f t="shared" si="263"/>
        <v/>
      </c>
      <c r="CF127" s="492" t="str">
        <f t="shared" si="264"/>
        <v/>
      </c>
      <c r="CG127" s="492" t="str">
        <f t="shared" si="265"/>
        <v/>
      </c>
      <c r="CH127" s="492" t="str">
        <f t="shared" si="266"/>
        <v/>
      </c>
      <c r="CI127" s="492" t="str">
        <f t="shared" si="267"/>
        <v/>
      </c>
      <c r="CJ127" s="492" t="str">
        <f t="shared" si="268"/>
        <v/>
      </c>
      <c r="CK127" s="492" t="str">
        <f t="shared" si="269"/>
        <v/>
      </c>
      <c r="CL127" s="492" t="str">
        <f t="shared" si="270"/>
        <v/>
      </c>
      <c r="CM127" s="492" t="str">
        <f t="shared" si="271"/>
        <v/>
      </c>
      <c r="CN127" s="492" t="str">
        <f t="shared" si="272"/>
        <v/>
      </c>
      <c r="CO127" s="492" t="str">
        <f t="shared" si="273"/>
        <v/>
      </c>
      <c r="CP127" s="492" t="str">
        <f t="shared" si="274"/>
        <v/>
      </c>
      <c r="CQ127" s="492" t="str">
        <f t="shared" si="207"/>
        <v/>
      </c>
      <c r="CR127" s="492" t="str">
        <f t="shared" si="208"/>
        <v/>
      </c>
      <c r="CS127" s="492" t="str">
        <f t="shared" si="209"/>
        <v/>
      </c>
      <c r="CT127" s="492" t="str">
        <f t="shared" si="210"/>
        <v/>
      </c>
      <c r="CU127" s="492" t="str">
        <f t="shared" si="211"/>
        <v/>
      </c>
      <c r="CV127" s="492" t="str">
        <f t="shared" si="212"/>
        <v/>
      </c>
      <c r="CW127" s="495">
        <v>1</v>
      </c>
      <c r="CX127" s="496"/>
      <c r="CY127" s="496"/>
      <c r="CZ127" s="496"/>
      <c r="DA127" s="496"/>
      <c r="DB127" s="496"/>
    </row>
    <row r="128" spans="1:106" ht="13.5" customHeight="1">
      <c r="A128" s="1232">
        <v>118</v>
      </c>
      <c r="B128" s="1233"/>
      <c r="C128" s="1230"/>
      <c r="D128" s="1234"/>
      <c r="E128" s="1231"/>
      <c r="F128" s="1230"/>
      <c r="G128" s="1234"/>
      <c r="H128" s="1231"/>
      <c r="I128" s="1230"/>
      <c r="J128" s="1231"/>
      <c r="K128" s="1290"/>
      <c r="L128" s="1291"/>
      <c r="M128" s="1290"/>
      <c r="N128" s="1291"/>
      <c r="O128" s="1290"/>
      <c r="P128" s="1291"/>
      <c r="Q128" s="1230"/>
      <c r="R128" s="1231"/>
      <c r="S128" s="1230"/>
      <c r="T128" s="1231"/>
      <c r="U128" s="1228"/>
      <c r="V128" s="1229"/>
      <c r="W128" s="1230"/>
      <c r="X128" s="1231"/>
      <c r="Y128" s="1226"/>
      <c r="Z128" s="1227"/>
      <c r="AA128" s="1275"/>
      <c r="AB128" s="1275"/>
      <c r="AC128" s="1212" t="str">
        <f t="shared" si="276"/>
        <v/>
      </c>
      <c r="AD128" s="1213"/>
      <c r="AE128" s="1213"/>
      <c r="AF128" s="1213"/>
      <c r="AG128" s="492" t="str">
        <f t="shared" si="213"/>
        <v/>
      </c>
      <c r="AH128" s="466" t="str">
        <f t="shared" si="214"/>
        <v/>
      </c>
      <c r="AI128" s="466" t="str">
        <f t="shared" si="215"/>
        <v/>
      </c>
      <c r="AJ128" s="466" t="str">
        <f t="shared" si="216"/>
        <v/>
      </c>
      <c r="AK128" s="492" t="str">
        <f t="shared" si="217"/>
        <v>○</v>
      </c>
      <c r="AL128" s="492" t="str">
        <f t="shared" si="218"/>
        <v/>
      </c>
      <c r="AM128" s="492" t="str">
        <f t="shared" si="219"/>
        <v/>
      </c>
      <c r="AN128" s="492" t="str">
        <f t="shared" si="220"/>
        <v/>
      </c>
      <c r="AO128" s="492" t="str">
        <f t="shared" si="221"/>
        <v/>
      </c>
      <c r="AP128" s="492" t="str">
        <f t="shared" si="222"/>
        <v/>
      </c>
      <c r="AQ128" s="492" t="str">
        <f t="shared" si="223"/>
        <v/>
      </c>
      <c r="AR128" s="492" t="str">
        <f t="shared" si="224"/>
        <v/>
      </c>
      <c r="AS128" s="492" t="str">
        <f t="shared" si="225"/>
        <v/>
      </c>
      <c r="AT128" s="492" t="str">
        <f t="shared" si="226"/>
        <v/>
      </c>
      <c r="AU128" s="492" t="str">
        <f t="shared" si="227"/>
        <v/>
      </c>
      <c r="AV128" s="492" t="str">
        <f t="shared" si="228"/>
        <v/>
      </c>
      <c r="AW128" s="492" t="str">
        <f t="shared" si="229"/>
        <v/>
      </c>
      <c r="AX128" s="492" t="str">
        <f t="shared" si="230"/>
        <v/>
      </c>
      <c r="AY128" s="492" t="str">
        <f t="shared" si="231"/>
        <v/>
      </c>
      <c r="AZ128" s="492" t="str">
        <f t="shared" si="232"/>
        <v/>
      </c>
      <c r="BA128" s="492" t="str">
        <f t="shared" si="233"/>
        <v/>
      </c>
      <c r="BB128" s="492" t="str">
        <f t="shared" si="234"/>
        <v/>
      </c>
      <c r="BC128" s="492" t="str">
        <f t="shared" si="235"/>
        <v/>
      </c>
      <c r="BD128" s="492" t="str">
        <f t="shared" si="236"/>
        <v/>
      </c>
      <c r="BE128" s="492" t="str">
        <f t="shared" si="237"/>
        <v/>
      </c>
      <c r="BF128" s="492" t="str">
        <f t="shared" si="238"/>
        <v/>
      </c>
      <c r="BG128" s="492" t="str">
        <f t="shared" si="239"/>
        <v/>
      </c>
      <c r="BH128" s="492" t="str">
        <f t="shared" si="240"/>
        <v/>
      </c>
      <c r="BI128" s="492" t="str">
        <f t="shared" si="241"/>
        <v/>
      </c>
      <c r="BJ128" s="492" t="str">
        <f t="shared" si="242"/>
        <v/>
      </c>
      <c r="BK128" s="492" t="str">
        <f t="shared" si="243"/>
        <v/>
      </c>
      <c r="BL128" s="492" t="str">
        <f t="shared" si="244"/>
        <v/>
      </c>
      <c r="BM128" s="492" t="str">
        <f t="shared" si="245"/>
        <v/>
      </c>
      <c r="BN128" s="492" t="str">
        <f t="shared" si="246"/>
        <v/>
      </c>
      <c r="BO128" s="492" t="str">
        <f t="shared" si="247"/>
        <v/>
      </c>
      <c r="BP128" s="492" t="str">
        <f t="shared" si="248"/>
        <v/>
      </c>
      <c r="BQ128" s="492" t="str">
        <f t="shared" si="249"/>
        <v/>
      </c>
      <c r="BR128" s="492" t="str">
        <f t="shared" si="250"/>
        <v/>
      </c>
      <c r="BS128" s="492" t="str">
        <f t="shared" si="251"/>
        <v/>
      </c>
      <c r="BT128" s="492" t="str">
        <f t="shared" si="252"/>
        <v/>
      </c>
      <c r="BU128" s="492" t="str">
        <f t="shared" si="253"/>
        <v/>
      </c>
      <c r="BV128" s="492" t="str">
        <f t="shared" si="254"/>
        <v/>
      </c>
      <c r="BW128" s="492" t="str">
        <f t="shared" si="255"/>
        <v/>
      </c>
      <c r="BX128" s="492" t="str">
        <f t="shared" si="256"/>
        <v/>
      </c>
      <c r="BY128" s="492" t="str">
        <f t="shared" si="257"/>
        <v/>
      </c>
      <c r="BZ128" s="492" t="str">
        <f t="shared" si="258"/>
        <v/>
      </c>
      <c r="CA128" s="492" t="str">
        <f t="shared" si="259"/>
        <v/>
      </c>
      <c r="CB128" s="492" t="str">
        <f t="shared" si="260"/>
        <v/>
      </c>
      <c r="CC128" s="492" t="str">
        <f t="shared" si="261"/>
        <v/>
      </c>
      <c r="CD128" s="492" t="str">
        <f t="shared" si="262"/>
        <v/>
      </c>
      <c r="CE128" s="492" t="str">
        <f t="shared" si="263"/>
        <v/>
      </c>
      <c r="CF128" s="492" t="str">
        <f t="shared" si="264"/>
        <v/>
      </c>
      <c r="CG128" s="492" t="str">
        <f t="shared" si="265"/>
        <v/>
      </c>
      <c r="CH128" s="492" t="str">
        <f t="shared" si="266"/>
        <v/>
      </c>
      <c r="CI128" s="492" t="str">
        <f t="shared" si="267"/>
        <v/>
      </c>
      <c r="CJ128" s="492" t="str">
        <f t="shared" si="268"/>
        <v/>
      </c>
      <c r="CK128" s="492" t="str">
        <f t="shared" si="269"/>
        <v/>
      </c>
      <c r="CL128" s="492" t="str">
        <f t="shared" si="270"/>
        <v/>
      </c>
      <c r="CM128" s="492" t="str">
        <f t="shared" si="271"/>
        <v/>
      </c>
      <c r="CN128" s="492" t="str">
        <f t="shared" si="272"/>
        <v/>
      </c>
      <c r="CO128" s="492" t="str">
        <f t="shared" si="273"/>
        <v/>
      </c>
      <c r="CP128" s="492" t="str">
        <f t="shared" si="274"/>
        <v/>
      </c>
      <c r="CQ128" s="492" t="str">
        <f t="shared" si="207"/>
        <v/>
      </c>
      <c r="CR128" s="492" t="str">
        <f t="shared" si="208"/>
        <v/>
      </c>
      <c r="CS128" s="492" t="str">
        <f t="shared" si="209"/>
        <v/>
      </c>
      <c r="CT128" s="492" t="str">
        <f t="shared" si="210"/>
        <v/>
      </c>
      <c r="CU128" s="492" t="str">
        <f t="shared" si="211"/>
        <v/>
      </c>
      <c r="CV128" s="492" t="str">
        <f t="shared" si="212"/>
        <v/>
      </c>
      <c r="CW128" s="495">
        <v>1</v>
      </c>
      <c r="CX128" s="496"/>
      <c r="CY128" s="496"/>
      <c r="CZ128" s="496"/>
      <c r="DA128" s="496"/>
      <c r="DB128" s="496"/>
    </row>
    <row r="129" spans="1:106" ht="13.5" customHeight="1">
      <c r="A129" s="1232">
        <v>119</v>
      </c>
      <c r="B129" s="1233"/>
      <c r="C129" s="1230"/>
      <c r="D129" s="1234"/>
      <c r="E129" s="1231"/>
      <c r="F129" s="1230"/>
      <c r="G129" s="1234"/>
      <c r="H129" s="1231"/>
      <c r="I129" s="1230"/>
      <c r="J129" s="1231"/>
      <c r="K129" s="1290"/>
      <c r="L129" s="1291"/>
      <c r="M129" s="1290"/>
      <c r="N129" s="1291"/>
      <c r="O129" s="1290"/>
      <c r="P129" s="1291"/>
      <c r="Q129" s="1230"/>
      <c r="R129" s="1231"/>
      <c r="S129" s="1230"/>
      <c r="T129" s="1231"/>
      <c r="U129" s="1228"/>
      <c r="V129" s="1229"/>
      <c r="W129" s="1230"/>
      <c r="X129" s="1231"/>
      <c r="Y129" s="1226"/>
      <c r="Z129" s="1227"/>
      <c r="AA129" s="1275"/>
      <c r="AB129" s="1275"/>
      <c r="AC129" s="1212" t="str">
        <f t="shared" si="276"/>
        <v/>
      </c>
      <c r="AD129" s="1213"/>
      <c r="AE129" s="1213"/>
      <c r="AF129" s="1213"/>
      <c r="AG129" s="492" t="str">
        <f t="shared" si="213"/>
        <v/>
      </c>
      <c r="AH129" s="466" t="str">
        <f t="shared" si="214"/>
        <v/>
      </c>
      <c r="AI129" s="466" t="str">
        <f t="shared" si="215"/>
        <v/>
      </c>
      <c r="AJ129" s="466" t="str">
        <f t="shared" si="216"/>
        <v/>
      </c>
      <c r="AK129" s="492" t="str">
        <f t="shared" si="217"/>
        <v>○</v>
      </c>
      <c r="AL129" s="492" t="str">
        <f t="shared" si="218"/>
        <v/>
      </c>
      <c r="AM129" s="492" t="str">
        <f t="shared" si="219"/>
        <v/>
      </c>
      <c r="AN129" s="492" t="str">
        <f t="shared" si="220"/>
        <v/>
      </c>
      <c r="AO129" s="492" t="str">
        <f t="shared" si="221"/>
        <v/>
      </c>
      <c r="AP129" s="492" t="str">
        <f t="shared" si="222"/>
        <v/>
      </c>
      <c r="AQ129" s="492" t="str">
        <f t="shared" si="223"/>
        <v/>
      </c>
      <c r="AR129" s="492" t="str">
        <f t="shared" si="224"/>
        <v/>
      </c>
      <c r="AS129" s="492" t="str">
        <f t="shared" si="225"/>
        <v/>
      </c>
      <c r="AT129" s="492" t="str">
        <f t="shared" si="226"/>
        <v/>
      </c>
      <c r="AU129" s="492" t="str">
        <f t="shared" si="227"/>
        <v/>
      </c>
      <c r="AV129" s="492" t="str">
        <f t="shared" si="228"/>
        <v/>
      </c>
      <c r="AW129" s="492" t="str">
        <f t="shared" si="229"/>
        <v/>
      </c>
      <c r="AX129" s="492" t="str">
        <f t="shared" si="230"/>
        <v/>
      </c>
      <c r="AY129" s="492" t="str">
        <f t="shared" si="231"/>
        <v/>
      </c>
      <c r="AZ129" s="492" t="str">
        <f t="shared" si="232"/>
        <v/>
      </c>
      <c r="BA129" s="492" t="str">
        <f t="shared" si="233"/>
        <v/>
      </c>
      <c r="BB129" s="492" t="str">
        <f t="shared" si="234"/>
        <v/>
      </c>
      <c r="BC129" s="492" t="str">
        <f t="shared" si="235"/>
        <v/>
      </c>
      <c r="BD129" s="492" t="str">
        <f t="shared" si="236"/>
        <v/>
      </c>
      <c r="BE129" s="492" t="str">
        <f t="shared" si="237"/>
        <v/>
      </c>
      <c r="BF129" s="492" t="str">
        <f t="shared" si="238"/>
        <v/>
      </c>
      <c r="BG129" s="492" t="str">
        <f t="shared" si="239"/>
        <v/>
      </c>
      <c r="BH129" s="492" t="str">
        <f t="shared" si="240"/>
        <v/>
      </c>
      <c r="BI129" s="492" t="str">
        <f t="shared" si="241"/>
        <v/>
      </c>
      <c r="BJ129" s="492" t="str">
        <f t="shared" si="242"/>
        <v/>
      </c>
      <c r="BK129" s="492" t="str">
        <f t="shared" si="243"/>
        <v/>
      </c>
      <c r="BL129" s="492" t="str">
        <f t="shared" si="244"/>
        <v/>
      </c>
      <c r="BM129" s="492" t="str">
        <f t="shared" si="245"/>
        <v/>
      </c>
      <c r="BN129" s="492" t="str">
        <f t="shared" si="246"/>
        <v/>
      </c>
      <c r="BO129" s="492" t="str">
        <f t="shared" si="247"/>
        <v/>
      </c>
      <c r="BP129" s="492" t="str">
        <f t="shared" si="248"/>
        <v/>
      </c>
      <c r="BQ129" s="492" t="str">
        <f t="shared" si="249"/>
        <v/>
      </c>
      <c r="BR129" s="492" t="str">
        <f t="shared" si="250"/>
        <v/>
      </c>
      <c r="BS129" s="492" t="str">
        <f t="shared" si="251"/>
        <v/>
      </c>
      <c r="BT129" s="492" t="str">
        <f t="shared" si="252"/>
        <v/>
      </c>
      <c r="BU129" s="492" t="str">
        <f t="shared" si="253"/>
        <v/>
      </c>
      <c r="BV129" s="492" t="str">
        <f t="shared" si="254"/>
        <v/>
      </c>
      <c r="BW129" s="492" t="str">
        <f t="shared" si="255"/>
        <v/>
      </c>
      <c r="BX129" s="492" t="str">
        <f t="shared" si="256"/>
        <v/>
      </c>
      <c r="BY129" s="492" t="str">
        <f t="shared" si="257"/>
        <v/>
      </c>
      <c r="BZ129" s="492" t="str">
        <f t="shared" si="258"/>
        <v/>
      </c>
      <c r="CA129" s="492" t="str">
        <f t="shared" si="259"/>
        <v/>
      </c>
      <c r="CB129" s="492" t="str">
        <f t="shared" si="260"/>
        <v/>
      </c>
      <c r="CC129" s="492" t="str">
        <f t="shared" si="261"/>
        <v/>
      </c>
      <c r="CD129" s="492" t="str">
        <f t="shared" si="262"/>
        <v/>
      </c>
      <c r="CE129" s="492" t="str">
        <f t="shared" si="263"/>
        <v/>
      </c>
      <c r="CF129" s="492" t="str">
        <f t="shared" si="264"/>
        <v/>
      </c>
      <c r="CG129" s="492" t="str">
        <f t="shared" si="265"/>
        <v/>
      </c>
      <c r="CH129" s="492" t="str">
        <f t="shared" si="266"/>
        <v/>
      </c>
      <c r="CI129" s="492" t="str">
        <f t="shared" si="267"/>
        <v/>
      </c>
      <c r="CJ129" s="492" t="str">
        <f t="shared" si="268"/>
        <v/>
      </c>
      <c r="CK129" s="492" t="str">
        <f t="shared" si="269"/>
        <v/>
      </c>
      <c r="CL129" s="492" t="str">
        <f t="shared" si="270"/>
        <v/>
      </c>
      <c r="CM129" s="492" t="str">
        <f t="shared" si="271"/>
        <v/>
      </c>
      <c r="CN129" s="492" t="str">
        <f t="shared" si="272"/>
        <v/>
      </c>
      <c r="CO129" s="492" t="str">
        <f t="shared" si="273"/>
        <v/>
      </c>
      <c r="CP129" s="492" t="str">
        <f t="shared" si="274"/>
        <v/>
      </c>
      <c r="CQ129" s="492" t="str">
        <f t="shared" si="207"/>
        <v/>
      </c>
      <c r="CR129" s="492" t="str">
        <f t="shared" si="208"/>
        <v/>
      </c>
      <c r="CS129" s="492" t="str">
        <f t="shared" si="209"/>
        <v/>
      </c>
      <c r="CT129" s="492" t="str">
        <f t="shared" si="210"/>
        <v/>
      </c>
      <c r="CU129" s="492" t="str">
        <f t="shared" si="211"/>
        <v/>
      </c>
      <c r="CV129" s="492" t="str">
        <f t="shared" si="212"/>
        <v/>
      </c>
      <c r="CW129" s="495">
        <v>1</v>
      </c>
      <c r="CX129" s="496"/>
      <c r="CY129" s="496"/>
      <c r="CZ129" s="496"/>
      <c r="DA129" s="496"/>
      <c r="DB129" s="496"/>
    </row>
    <row r="130" spans="1:106" ht="13.5" customHeight="1">
      <c r="A130" s="1232">
        <v>120</v>
      </c>
      <c r="B130" s="1233"/>
      <c r="C130" s="1230"/>
      <c r="D130" s="1234"/>
      <c r="E130" s="1231"/>
      <c r="F130" s="1230"/>
      <c r="G130" s="1234"/>
      <c r="H130" s="1231"/>
      <c r="I130" s="1230"/>
      <c r="J130" s="1231"/>
      <c r="K130" s="1290"/>
      <c r="L130" s="1291"/>
      <c r="M130" s="1290"/>
      <c r="N130" s="1291"/>
      <c r="O130" s="1290"/>
      <c r="P130" s="1291"/>
      <c r="Q130" s="1230"/>
      <c r="R130" s="1231"/>
      <c r="S130" s="1230"/>
      <c r="T130" s="1231"/>
      <c r="U130" s="1228"/>
      <c r="V130" s="1229"/>
      <c r="W130" s="1230"/>
      <c r="X130" s="1231"/>
      <c r="Y130" s="1226"/>
      <c r="Z130" s="1227"/>
      <c r="AA130" s="1275"/>
      <c r="AB130" s="1275"/>
      <c r="AC130" s="1212" t="str">
        <f t="shared" si="276"/>
        <v/>
      </c>
      <c r="AD130" s="1213"/>
      <c r="AE130" s="1213"/>
      <c r="AF130" s="1213"/>
      <c r="AG130" s="492" t="str">
        <f t="shared" si="213"/>
        <v/>
      </c>
      <c r="AH130" s="466" t="str">
        <f t="shared" si="214"/>
        <v/>
      </c>
      <c r="AI130" s="466" t="str">
        <f t="shared" si="215"/>
        <v/>
      </c>
      <c r="AJ130" s="466" t="str">
        <f t="shared" si="216"/>
        <v/>
      </c>
      <c r="AK130" s="492" t="str">
        <f t="shared" si="217"/>
        <v>○</v>
      </c>
      <c r="AL130" s="492" t="str">
        <f t="shared" si="218"/>
        <v/>
      </c>
      <c r="AM130" s="492" t="str">
        <f t="shared" si="219"/>
        <v/>
      </c>
      <c r="AN130" s="492" t="str">
        <f t="shared" si="220"/>
        <v/>
      </c>
      <c r="AO130" s="492" t="str">
        <f t="shared" si="221"/>
        <v/>
      </c>
      <c r="AP130" s="492" t="str">
        <f t="shared" si="222"/>
        <v/>
      </c>
      <c r="AQ130" s="492" t="str">
        <f t="shared" si="223"/>
        <v/>
      </c>
      <c r="AR130" s="492" t="str">
        <f t="shared" si="224"/>
        <v/>
      </c>
      <c r="AS130" s="492" t="str">
        <f t="shared" si="225"/>
        <v/>
      </c>
      <c r="AT130" s="492" t="str">
        <f t="shared" si="226"/>
        <v/>
      </c>
      <c r="AU130" s="492" t="str">
        <f t="shared" si="227"/>
        <v/>
      </c>
      <c r="AV130" s="492" t="str">
        <f t="shared" si="228"/>
        <v/>
      </c>
      <c r="AW130" s="492" t="str">
        <f t="shared" si="229"/>
        <v/>
      </c>
      <c r="AX130" s="492" t="str">
        <f t="shared" si="230"/>
        <v/>
      </c>
      <c r="AY130" s="492" t="str">
        <f t="shared" si="231"/>
        <v/>
      </c>
      <c r="AZ130" s="492" t="str">
        <f t="shared" si="232"/>
        <v/>
      </c>
      <c r="BA130" s="492" t="str">
        <f t="shared" si="233"/>
        <v/>
      </c>
      <c r="BB130" s="492" t="str">
        <f t="shared" si="234"/>
        <v/>
      </c>
      <c r="BC130" s="492" t="str">
        <f t="shared" si="235"/>
        <v/>
      </c>
      <c r="BD130" s="492" t="str">
        <f t="shared" si="236"/>
        <v/>
      </c>
      <c r="BE130" s="492" t="str">
        <f t="shared" si="237"/>
        <v/>
      </c>
      <c r="BF130" s="492" t="str">
        <f t="shared" si="238"/>
        <v/>
      </c>
      <c r="BG130" s="492" t="str">
        <f t="shared" si="239"/>
        <v/>
      </c>
      <c r="BH130" s="492" t="str">
        <f t="shared" si="240"/>
        <v/>
      </c>
      <c r="BI130" s="492" t="str">
        <f t="shared" si="241"/>
        <v/>
      </c>
      <c r="BJ130" s="492" t="str">
        <f t="shared" si="242"/>
        <v/>
      </c>
      <c r="BK130" s="492" t="str">
        <f t="shared" si="243"/>
        <v/>
      </c>
      <c r="BL130" s="492" t="str">
        <f t="shared" si="244"/>
        <v/>
      </c>
      <c r="BM130" s="492" t="str">
        <f t="shared" si="245"/>
        <v/>
      </c>
      <c r="BN130" s="492" t="str">
        <f t="shared" si="246"/>
        <v/>
      </c>
      <c r="BO130" s="492" t="str">
        <f t="shared" si="247"/>
        <v/>
      </c>
      <c r="BP130" s="492" t="str">
        <f t="shared" si="248"/>
        <v/>
      </c>
      <c r="BQ130" s="492" t="str">
        <f t="shared" si="249"/>
        <v/>
      </c>
      <c r="BR130" s="492" t="str">
        <f t="shared" si="250"/>
        <v/>
      </c>
      <c r="BS130" s="492" t="str">
        <f t="shared" si="251"/>
        <v/>
      </c>
      <c r="BT130" s="492" t="str">
        <f t="shared" si="252"/>
        <v/>
      </c>
      <c r="BU130" s="492" t="str">
        <f t="shared" si="253"/>
        <v/>
      </c>
      <c r="BV130" s="492" t="str">
        <f t="shared" si="254"/>
        <v/>
      </c>
      <c r="BW130" s="492" t="str">
        <f t="shared" si="255"/>
        <v/>
      </c>
      <c r="BX130" s="492" t="str">
        <f t="shared" si="256"/>
        <v/>
      </c>
      <c r="BY130" s="492" t="str">
        <f t="shared" si="257"/>
        <v/>
      </c>
      <c r="BZ130" s="492" t="str">
        <f t="shared" si="258"/>
        <v/>
      </c>
      <c r="CA130" s="492" t="str">
        <f t="shared" si="259"/>
        <v/>
      </c>
      <c r="CB130" s="492" t="str">
        <f t="shared" si="260"/>
        <v/>
      </c>
      <c r="CC130" s="492" t="str">
        <f t="shared" si="261"/>
        <v/>
      </c>
      <c r="CD130" s="492" t="str">
        <f t="shared" si="262"/>
        <v/>
      </c>
      <c r="CE130" s="492" t="str">
        <f t="shared" si="263"/>
        <v/>
      </c>
      <c r="CF130" s="492" t="str">
        <f t="shared" si="264"/>
        <v/>
      </c>
      <c r="CG130" s="492" t="str">
        <f t="shared" si="265"/>
        <v/>
      </c>
      <c r="CH130" s="492" t="str">
        <f t="shared" si="266"/>
        <v/>
      </c>
      <c r="CI130" s="492" t="str">
        <f t="shared" si="267"/>
        <v/>
      </c>
      <c r="CJ130" s="492" t="str">
        <f t="shared" si="268"/>
        <v/>
      </c>
      <c r="CK130" s="492" t="str">
        <f t="shared" si="269"/>
        <v/>
      </c>
      <c r="CL130" s="492" t="str">
        <f t="shared" si="270"/>
        <v/>
      </c>
      <c r="CM130" s="492" t="str">
        <f t="shared" si="271"/>
        <v/>
      </c>
      <c r="CN130" s="492" t="str">
        <f t="shared" si="272"/>
        <v/>
      </c>
      <c r="CO130" s="492" t="str">
        <f t="shared" si="273"/>
        <v/>
      </c>
      <c r="CP130" s="492" t="str">
        <f t="shared" si="274"/>
        <v/>
      </c>
      <c r="CQ130" s="492" t="str">
        <f t="shared" si="207"/>
        <v/>
      </c>
      <c r="CR130" s="492" t="str">
        <f t="shared" si="208"/>
        <v/>
      </c>
      <c r="CS130" s="492" t="str">
        <f t="shared" si="209"/>
        <v/>
      </c>
      <c r="CT130" s="492" t="str">
        <f t="shared" si="210"/>
        <v/>
      </c>
      <c r="CU130" s="492" t="str">
        <f t="shared" si="211"/>
        <v/>
      </c>
      <c r="CV130" s="492" t="str">
        <f t="shared" si="212"/>
        <v/>
      </c>
      <c r="CW130" s="495">
        <v>1</v>
      </c>
      <c r="CX130" s="496"/>
      <c r="CY130" s="496"/>
      <c r="CZ130" s="496"/>
      <c r="DA130" s="496"/>
      <c r="DB130" s="496"/>
    </row>
    <row r="131" spans="1:106" ht="13.5" customHeight="1">
      <c r="A131" s="1232">
        <v>121</v>
      </c>
      <c r="B131" s="1233"/>
      <c r="C131" s="1230"/>
      <c r="D131" s="1234"/>
      <c r="E131" s="1231"/>
      <c r="F131" s="1230"/>
      <c r="G131" s="1234"/>
      <c r="H131" s="1231"/>
      <c r="I131" s="1230"/>
      <c r="J131" s="1231"/>
      <c r="K131" s="1290"/>
      <c r="L131" s="1291"/>
      <c r="M131" s="1290"/>
      <c r="N131" s="1291"/>
      <c r="O131" s="1290"/>
      <c r="P131" s="1291"/>
      <c r="Q131" s="1230"/>
      <c r="R131" s="1231"/>
      <c r="S131" s="1230"/>
      <c r="T131" s="1231"/>
      <c r="U131" s="1228"/>
      <c r="V131" s="1229"/>
      <c r="W131" s="1230"/>
      <c r="X131" s="1231"/>
      <c r="Y131" s="1226"/>
      <c r="Z131" s="1227"/>
      <c r="AA131" s="1275"/>
      <c r="AB131" s="1275"/>
      <c r="AC131" s="1212" t="str">
        <f>IF(S131="","",IF(AND(M131="標準",S131="○",O131=""),"※下表に記載必要箇所あり(①)",IF(AND(M131="標準",S131="○",O131="分園"),"※下表に記載必要箇所あり(③)",IF(AND(M131="短時間",S131="○",O131=""),"※下表に記載必要箇所あり(②)","※下表に記載必要箇所あり(④)"))))</f>
        <v/>
      </c>
      <c r="AD131" s="1213"/>
      <c r="AE131" s="1213"/>
      <c r="AF131" s="1213"/>
      <c r="AG131" s="492" t="str">
        <f t="shared" si="213"/>
        <v/>
      </c>
      <c r="AH131" s="466" t="str">
        <f t="shared" si="214"/>
        <v/>
      </c>
      <c r="AI131" s="466" t="str">
        <f t="shared" si="215"/>
        <v/>
      </c>
      <c r="AJ131" s="466" t="str">
        <f t="shared" si="216"/>
        <v/>
      </c>
      <c r="AK131" s="492" t="str">
        <f t="shared" si="217"/>
        <v>○</v>
      </c>
      <c r="AL131" s="492" t="str">
        <f t="shared" si="218"/>
        <v/>
      </c>
      <c r="AM131" s="492" t="str">
        <f t="shared" si="219"/>
        <v/>
      </c>
      <c r="AN131" s="492" t="str">
        <f t="shared" si="220"/>
        <v/>
      </c>
      <c r="AO131" s="492" t="str">
        <f t="shared" si="221"/>
        <v/>
      </c>
      <c r="AP131" s="492" t="str">
        <f t="shared" si="222"/>
        <v/>
      </c>
      <c r="AQ131" s="492" t="str">
        <f t="shared" si="223"/>
        <v/>
      </c>
      <c r="AR131" s="492" t="str">
        <f t="shared" si="224"/>
        <v/>
      </c>
      <c r="AS131" s="492" t="str">
        <f t="shared" si="225"/>
        <v/>
      </c>
      <c r="AT131" s="492" t="str">
        <f t="shared" si="226"/>
        <v/>
      </c>
      <c r="AU131" s="492" t="str">
        <f t="shared" si="227"/>
        <v/>
      </c>
      <c r="AV131" s="492" t="str">
        <f t="shared" si="228"/>
        <v/>
      </c>
      <c r="AW131" s="492" t="str">
        <f t="shared" si="229"/>
        <v/>
      </c>
      <c r="AX131" s="492" t="str">
        <f t="shared" si="230"/>
        <v/>
      </c>
      <c r="AY131" s="492" t="str">
        <f t="shared" si="231"/>
        <v/>
      </c>
      <c r="AZ131" s="492" t="str">
        <f t="shared" si="232"/>
        <v/>
      </c>
      <c r="BA131" s="492" t="str">
        <f t="shared" si="233"/>
        <v/>
      </c>
      <c r="BB131" s="492" t="str">
        <f t="shared" si="234"/>
        <v/>
      </c>
      <c r="BC131" s="492" t="str">
        <f t="shared" si="235"/>
        <v/>
      </c>
      <c r="BD131" s="492" t="str">
        <f t="shared" si="236"/>
        <v/>
      </c>
      <c r="BE131" s="492" t="str">
        <f t="shared" si="237"/>
        <v/>
      </c>
      <c r="BF131" s="492" t="str">
        <f t="shared" si="238"/>
        <v/>
      </c>
      <c r="BG131" s="492" t="str">
        <f t="shared" si="239"/>
        <v/>
      </c>
      <c r="BH131" s="492" t="str">
        <f t="shared" si="240"/>
        <v/>
      </c>
      <c r="BI131" s="492" t="str">
        <f t="shared" si="241"/>
        <v/>
      </c>
      <c r="BJ131" s="492" t="str">
        <f t="shared" si="242"/>
        <v/>
      </c>
      <c r="BK131" s="492" t="str">
        <f t="shared" si="243"/>
        <v/>
      </c>
      <c r="BL131" s="492" t="str">
        <f t="shared" si="244"/>
        <v/>
      </c>
      <c r="BM131" s="492" t="str">
        <f t="shared" si="245"/>
        <v/>
      </c>
      <c r="BN131" s="492" t="str">
        <f t="shared" si="246"/>
        <v/>
      </c>
      <c r="BO131" s="492" t="str">
        <f t="shared" si="247"/>
        <v/>
      </c>
      <c r="BP131" s="492" t="str">
        <f t="shared" si="248"/>
        <v/>
      </c>
      <c r="BQ131" s="492" t="str">
        <f t="shared" si="249"/>
        <v/>
      </c>
      <c r="BR131" s="492" t="str">
        <f t="shared" si="250"/>
        <v/>
      </c>
      <c r="BS131" s="492" t="str">
        <f t="shared" si="251"/>
        <v/>
      </c>
      <c r="BT131" s="492" t="str">
        <f t="shared" si="252"/>
        <v/>
      </c>
      <c r="BU131" s="492" t="str">
        <f t="shared" si="253"/>
        <v/>
      </c>
      <c r="BV131" s="492" t="str">
        <f t="shared" si="254"/>
        <v/>
      </c>
      <c r="BW131" s="492" t="str">
        <f t="shared" si="255"/>
        <v/>
      </c>
      <c r="BX131" s="492" t="str">
        <f t="shared" si="256"/>
        <v/>
      </c>
      <c r="BY131" s="492" t="str">
        <f t="shared" si="257"/>
        <v/>
      </c>
      <c r="BZ131" s="492" t="str">
        <f t="shared" si="258"/>
        <v/>
      </c>
      <c r="CA131" s="492" t="str">
        <f t="shared" si="259"/>
        <v/>
      </c>
      <c r="CB131" s="492" t="str">
        <f t="shared" si="260"/>
        <v/>
      </c>
      <c r="CC131" s="492" t="str">
        <f t="shared" si="261"/>
        <v/>
      </c>
      <c r="CD131" s="492" t="str">
        <f t="shared" si="262"/>
        <v/>
      </c>
      <c r="CE131" s="492" t="str">
        <f t="shared" si="263"/>
        <v/>
      </c>
      <c r="CF131" s="492" t="str">
        <f t="shared" si="264"/>
        <v/>
      </c>
      <c r="CG131" s="492" t="str">
        <f t="shared" si="265"/>
        <v/>
      </c>
      <c r="CH131" s="492" t="str">
        <f t="shared" si="266"/>
        <v/>
      </c>
      <c r="CI131" s="492" t="str">
        <f t="shared" si="267"/>
        <v/>
      </c>
      <c r="CJ131" s="492" t="str">
        <f t="shared" si="268"/>
        <v/>
      </c>
      <c r="CK131" s="492" t="str">
        <f t="shared" si="269"/>
        <v/>
      </c>
      <c r="CL131" s="492" t="str">
        <f t="shared" si="270"/>
        <v/>
      </c>
      <c r="CM131" s="492" t="str">
        <f t="shared" si="271"/>
        <v/>
      </c>
      <c r="CN131" s="492" t="str">
        <f t="shared" si="272"/>
        <v/>
      </c>
      <c r="CO131" s="492" t="str">
        <f t="shared" si="273"/>
        <v/>
      </c>
      <c r="CP131" s="492" t="str">
        <f t="shared" si="274"/>
        <v/>
      </c>
      <c r="CQ131" s="492" t="str">
        <f t="shared" si="207"/>
        <v/>
      </c>
      <c r="CR131" s="492" t="str">
        <f t="shared" si="208"/>
        <v/>
      </c>
      <c r="CS131" s="492" t="str">
        <f t="shared" si="209"/>
        <v/>
      </c>
      <c r="CT131" s="492" t="str">
        <f t="shared" si="210"/>
        <v/>
      </c>
      <c r="CU131" s="492" t="str">
        <f t="shared" si="211"/>
        <v/>
      </c>
      <c r="CV131" s="492" t="str">
        <f t="shared" si="212"/>
        <v/>
      </c>
      <c r="CW131" s="495">
        <v>1</v>
      </c>
      <c r="CX131" s="496"/>
      <c r="CY131" s="496"/>
      <c r="CZ131" s="496"/>
      <c r="DA131" s="496"/>
      <c r="DB131" s="496"/>
    </row>
    <row r="132" spans="1:106" ht="13.5" customHeight="1">
      <c r="A132" s="1232">
        <v>122</v>
      </c>
      <c r="B132" s="1233"/>
      <c r="C132" s="1230"/>
      <c r="D132" s="1234"/>
      <c r="E132" s="1231"/>
      <c r="F132" s="1230"/>
      <c r="G132" s="1234"/>
      <c r="H132" s="1231"/>
      <c r="I132" s="1230"/>
      <c r="J132" s="1231"/>
      <c r="K132" s="1290"/>
      <c r="L132" s="1291"/>
      <c r="M132" s="1290"/>
      <c r="N132" s="1291"/>
      <c r="O132" s="1290"/>
      <c r="P132" s="1291"/>
      <c r="Q132" s="1230"/>
      <c r="R132" s="1231"/>
      <c r="S132" s="1230"/>
      <c r="T132" s="1231"/>
      <c r="U132" s="1228"/>
      <c r="V132" s="1229"/>
      <c r="W132" s="1230"/>
      <c r="X132" s="1231"/>
      <c r="Y132" s="1226"/>
      <c r="Z132" s="1227"/>
      <c r="AA132" s="1275"/>
      <c r="AB132" s="1275"/>
      <c r="AC132" s="1212" t="str">
        <f>IF(S132="","",IF(AND(M132="標準",S132="○",O132=""),"※下表に記載必要箇所あり(①)",IF(AND(M132="標準",S132="○",O132="分園"),"※下表に記載必要箇所あり(③)",IF(AND(M132="短時間",S132="○",O132=""),"※下表に記載必要箇所あり(②)","※下表に記載必要箇所あり(④)"))))</f>
        <v/>
      </c>
      <c r="AD132" s="1213"/>
      <c r="AE132" s="1213"/>
      <c r="AF132" s="1213"/>
      <c r="AG132" s="492" t="str">
        <f t="shared" si="213"/>
        <v/>
      </c>
      <c r="AH132" s="466" t="str">
        <f t="shared" si="214"/>
        <v/>
      </c>
      <c r="AI132" s="466" t="str">
        <f t="shared" si="215"/>
        <v/>
      </c>
      <c r="AJ132" s="466" t="str">
        <f t="shared" si="216"/>
        <v/>
      </c>
      <c r="AK132" s="492" t="str">
        <f t="shared" si="217"/>
        <v>○</v>
      </c>
      <c r="AL132" s="492" t="str">
        <f t="shared" si="218"/>
        <v/>
      </c>
      <c r="AM132" s="492" t="str">
        <f t="shared" si="219"/>
        <v/>
      </c>
      <c r="AN132" s="492" t="str">
        <f t="shared" si="220"/>
        <v/>
      </c>
      <c r="AO132" s="492" t="str">
        <f t="shared" si="221"/>
        <v/>
      </c>
      <c r="AP132" s="492" t="str">
        <f t="shared" si="222"/>
        <v/>
      </c>
      <c r="AQ132" s="492" t="str">
        <f t="shared" si="223"/>
        <v/>
      </c>
      <c r="AR132" s="492" t="str">
        <f t="shared" si="224"/>
        <v/>
      </c>
      <c r="AS132" s="492" t="str">
        <f t="shared" si="225"/>
        <v/>
      </c>
      <c r="AT132" s="492" t="str">
        <f t="shared" si="226"/>
        <v/>
      </c>
      <c r="AU132" s="492" t="str">
        <f t="shared" si="227"/>
        <v/>
      </c>
      <c r="AV132" s="492" t="str">
        <f t="shared" si="228"/>
        <v/>
      </c>
      <c r="AW132" s="492" t="str">
        <f t="shared" si="229"/>
        <v/>
      </c>
      <c r="AX132" s="492" t="str">
        <f t="shared" si="230"/>
        <v/>
      </c>
      <c r="AY132" s="492" t="str">
        <f t="shared" si="231"/>
        <v/>
      </c>
      <c r="AZ132" s="492" t="str">
        <f t="shared" si="232"/>
        <v/>
      </c>
      <c r="BA132" s="492" t="str">
        <f t="shared" si="233"/>
        <v/>
      </c>
      <c r="BB132" s="492" t="str">
        <f t="shared" si="234"/>
        <v/>
      </c>
      <c r="BC132" s="492" t="str">
        <f t="shared" si="235"/>
        <v/>
      </c>
      <c r="BD132" s="492" t="str">
        <f t="shared" si="236"/>
        <v/>
      </c>
      <c r="BE132" s="492" t="str">
        <f t="shared" si="237"/>
        <v/>
      </c>
      <c r="BF132" s="492" t="str">
        <f t="shared" si="238"/>
        <v/>
      </c>
      <c r="BG132" s="492" t="str">
        <f t="shared" si="239"/>
        <v/>
      </c>
      <c r="BH132" s="492" t="str">
        <f t="shared" si="240"/>
        <v/>
      </c>
      <c r="BI132" s="492" t="str">
        <f t="shared" si="241"/>
        <v/>
      </c>
      <c r="BJ132" s="492" t="str">
        <f t="shared" si="242"/>
        <v/>
      </c>
      <c r="BK132" s="492" t="str">
        <f t="shared" si="243"/>
        <v/>
      </c>
      <c r="BL132" s="492" t="str">
        <f t="shared" si="244"/>
        <v/>
      </c>
      <c r="BM132" s="492" t="str">
        <f t="shared" si="245"/>
        <v/>
      </c>
      <c r="BN132" s="492" t="str">
        <f t="shared" si="246"/>
        <v/>
      </c>
      <c r="BO132" s="492" t="str">
        <f t="shared" si="247"/>
        <v/>
      </c>
      <c r="BP132" s="492" t="str">
        <f t="shared" si="248"/>
        <v/>
      </c>
      <c r="BQ132" s="492" t="str">
        <f t="shared" si="249"/>
        <v/>
      </c>
      <c r="BR132" s="492" t="str">
        <f t="shared" si="250"/>
        <v/>
      </c>
      <c r="BS132" s="492" t="str">
        <f t="shared" si="251"/>
        <v/>
      </c>
      <c r="BT132" s="492" t="str">
        <f t="shared" si="252"/>
        <v/>
      </c>
      <c r="BU132" s="492" t="str">
        <f t="shared" si="253"/>
        <v/>
      </c>
      <c r="BV132" s="492" t="str">
        <f t="shared" si="254"/>
        <v/>
      </c>
      <c r="BW132" s="492" t="str">
        <f t="shared" si="255"/>
        <v/>
      </c>
      <c r="BX132" s="492" t="str">
        <f t="shared" si="256"/>
        <v/>
      </c>
      <c r="BY132" s="492" t="str">
        <f t="shared" si="257"/>
        <v/>
      </c>
      <c r="BZ132" s="492" t="str">
        <f t="shared" si="258"/>
        <v/>
      </c>
      <c r="CA132" s="492" t="str">
        <f t="shared" si="259"/>
        <v/>
      </c>
      <c r="CB132" s="492" t="str">
        <f t="shared" si="260"/>
        <v/>
      </c>
      <c r="CC132" s="492" t="str">
        <f t="shared" si="261"/>
        <v/>
      </c>
      <c r="CD132" s="492" t="str">
        <f t="shared" si="262"/>
        <v/>
      </c>
      <c r="CE132" s="492" t="str">
        <f t="shared" si="263"/>
        <v/>
      </c>
      <c r="CF132" s="492" t="str">
        <f t="shared" si="264"/>
        <v/>
      </c>
      <c r="CG132" s="492" t="str">
        <f t="shared" si="265"/>
        <v/>
      </c>
      <c r="CH132" s="492" t="str">
        <f t="shared" si="266"/>
        <v/>
      </c>
      <c r="CI132" s="492" t="str">
        <f t="shared" si="267"/>
        <v/>
      </c>
      <c r="CJ132" s="492" t="str">
        <f t="shared" si="268"/>
        <v/>
      </c>
      <c r="CK132" s="492" t="str">
        <f t="shared" si="269"/>
        <v/>
      </c>
      <c r="CL132" s="492" t="str">
        <f t="shared" si="270"/>
        <v/>
      </c>
      <c r="CM132" s="492" t="str">
        <f t="shared" si="271"/>
        <v/>
      </c>
      <c r="CN132" s="492" t="str">
        <f t="shared" si="272"/>
        <v/>
      </c>
      <c r="CO132" s="492" t="str">
        <f t="shared" si="273"/>
        <v/>
      </c>
      <c r="CP132" s="492" t="str">
        <f t="shared" si="274"/>
        <v/>
      </c>
      <c r="CQ132" s="492" t="str">
        <f t="shared" si="207"/>
        <v/>
      </c>
      <c r="CR132" s="492" t="str">
        <f t="shared" si="208"/>
        <v/>
      </c>
      <c r="CS132" s="492" t="str">
        <f t="shared" si="209"/>
        <v/>
      </c>
      <c r="CT132" s="492" t="str">
        <f t="shared" si="210"/>
        <v/>
      </c>
      <c r="CU132" s="492" t="str">
        <f t="shared" si="211"/>
        <v/>
      </c>
      <c r="CV132" s="492" t="str">
        <f t="shared" si="212"/>
        <v/>
      </c>
      <c r="CW132" s="495">
        <v>1</v>
      </c>
      <c r="CX132" s="496"/>
      <c r="CY132" s="496"/>
      <c r="CZ132" s="496"/>
      <c r="DA132" s="496"/>
      <c r="DB132" s="496"/>
    </row>
    <row r="133" spans="1:106" ht="13.5" customHeight="1">
      <c r="A133" s="1232">
        <v>123</v>
      </c>
      <c r="B133" s="1233"/>
      <c r="C133" s="1230"/>
      <c r="D133" s="1234"/>
      <c r="E133" s="1231"/>
      <c r="F133" s="1230"/>
      <c r="G133" s="1234"/>
      <c r="H133" s="1231"/>
      <c r="I133" s="1230"/>
      <c r="J133" s="1231"/>
      <c r="K133" s="1290"/>
      <c r="L133" s="1291"/>
      <c r="M133" s="1290"/>
      <c r="N133" s="1291"/>
      <c r="O133" s="1290"/>
      <c r="P133" s="1291"/>
      <c r="Q133" s="1230"/>
      <c r="R133" s="1231"/>
      <c r="S133" s="1230"/>
      <c r="T133" s="1231"/>
      <c r="U133" s="1228"/>
      <c r="V133" s="1229"/>
      <c r="W133" s="1230"/>
      <c r="X133" s="1231"/>
      <c r="Y133" s="1226"/>
      <c r="Z133" s="1227"/>
      <c r="AA133" s="1275"/>
      <c r="AB133" s="1275"/>
      <c r="AC133" s="1212" t="str">
        <f t="shared" ref="AC133:AC140" si="277">IF(S133="","",IF(AND(M133="標準",S133="○",O133=""),"※下表に記載必要箇所あり(①)",IF(AND(M133="標準",S133="○",O133="分園"),"※下表に記載必要箇所あり(③)",IF(AND(M133="短時間",S133="○",O133=""),"※下表に記載必要箇所あり(②)","※下表に記載必要箇所あり(④)"))))</f>
        <v/>
      </c>
      <c r="AD133" s="1213"/>
      <c r="AE133" s="1213"/>
      <c r="AF133" s="1213"/>
      <c r="AG133" s="492" t="str">
        <f t="shared" si="213"/>
        <v/>
      </c>
      <c r="AH133" s="466" t="str">
        <f t="shared" si="214"/>
        <v/>
      </c>
      <c r="AI133" s="466" t="str">
        <f t="shared" si="215"/>
        <v/>
      </c>
      <c r="AJ133" s="466" t="str">
        <f t="shared" si="216"/>
        <v/>
      </c>
      <c r="AK133" s="492" t="str">
        <f t="shared" si="217"/>
        <v>○</v>
      </c>
      <c r="AL133" s="492" t="str">
        <f t="shared" si="218"/>
        <v/>
      </c>
      <c r="AM133" s="492" t="str">
        <f t="shared" si="219"/>
        <v/>
      </c>
      <c r="AN133" s="492" t="str">
        <f t="shared" si="220"/>
        <v/>
      </c>
      <c r="AO133" s="492" t="str">
        <f t="shared" si="221"/>
        <v/>
      </c>
      <c r="AP133" s="492" t="str">
        <f t="shared" si="222"/>
        <v/>
      </c>
      <c r="AQ133" s="492" t="str">
        <f t="shared" si="223"/>
        <v/>
      </c>
      <c r="AR133" s="492" t="str">
        <f t="shared" si="224"/>
        <v/>
      </c>
      <c r="AS133" s="492" t="str">
        <f t="shared" si="225"/>
        <v/>
      </c>
      <c r="AT133" s="492" t="str">
        <f t="shared" si="226"/>
        <v/>
      </c>
      <c r="AU133" s="492" t="str">
        <f t="shared" si="227"/>
        <v/>
      </c>
      <c r="AV133" s="492" t="str">
        <f t="shared" si="228"/>
        <v/>
      </c>
      <c r="AW133" s="492" t="str">
        <f t="shared" si="229"/>
        <v/>
      </c>
      <c r="AX133" s="492" t="str">
        <f t="shared" si="230"/>
        <v/>
      </c>
      <c r="AY133" s="492" t="str">
        <f t="shared" si="231"/>
        <v/>
      </c>
      <c r="AZ133" s="492" t="str">
        <f t="shared" si="232"/>
        <v/>
      </c>
      <c r="BA133" s="492" t="str">
        <f t="shared" si="233"/>
        <v/>
      </c>
      <c r="BB133" s="492" t="str">
        <f t="shared" si="234"/>
        <v/>
      </c>
      <c r="BC133" s="492" t="str">
        <f t="shared" si="235"/>
        <v/>
      </c>
      <c r="BD133" s="492" t="str">
        <f t="shared" si="236"/>
        <v/>
      </c>
      <c r="BE133" s="492" t="str">
        <f t="shared" si="237"/>
        <v/>
      </c>
      <c r="BF133" s="492" t="str">
        <f t="shared" si="238"/>
        <v/>
      </c>
      <c r="BG133" s="492" t="str">
        <f t="shared" si="239"/>
        <v/>
      </c>
      <c r="BH133" s="492" t="str">
        <f t="shared" si="240"/>
        <v/>
      </c>
      <c r="BI133" s="492" t="str">
        <f t="shared" si="241"/>
        <v/>
      </c>
      <c r="BJ133" s="492" t="str">
        <f t="shared" si="242"/>
        <v/>
      </c>
      <c r="BK133" s="492" t="str">
        <f t="shared" si="243"/>
        <v/>
      </c>
      <c r="BL133" s="492" t="str">
        <f t="shared" si="244"/>
        <v/>
      </c>
      <c r="BM133" s="492" t="str">
        <f t="shared" si="245"/>
        <v/>
      </c>
      <c r="BN133" s="492" t="str">
        <f t="shared" si="246"/>
        <v/>
      </c>
      <c r="BO133" s="492" t="str">
        <f t="shared" si="247"/>
        <v/>
      </c>
      <c r="BP133" s="492" t="str">
        <f t="shared" si="248"/>
        <v/>
      </c>
      <c r="BQ133" s="492" t="str">
        <f t="shared" si="249"/>
        <v/>
      </c>
      <c r="BR133" s="492" t="str">
        <f t="shared" si="250"/>
        <v/>
      </c>
      <c r="BS133" s="492" t="str">
        <f t="shared" si="251"/>
        <v/>
      </c>
      <c r="BT133" s="492" t="str">
        <f t="shared" si="252"/>
        <v/>
      </c>
      <c r="BU133" s="492" t="str">
        <f t="shared" si="253"/>
        <v/>
      </c>
      <c r="BV133" s="492" t="str">
        <f t="shared" si="254"/>
        <v/>
      </c>
      <c r="BW133" s="492" t="str">
        <f t="shared" si="255"/>
        <v/>
      </c>
      <c r="BX133" s="492" t="str">
        <f t="shared" si="256"/>
        <v/>
      </c>
      <c r="BY133" s="492" t="str">
        <f t="shared" si="257"/>
        <v/>
      </c>
      <c r="BZ133" s="492" t="str">
        <f t="shared" si="258"/>
        <v/>
      </c>
      <c r="CA133" s="492" t="str">
        <f t="shared" si="259"/>
        <v/>
      </c>
      <c r="CB133" s="492" t="str">
        <f t="shared" si="260"/>
        <v/>
      </c>
      <c r="CC133" s="492" t="str">
        <f t="shared" si="261"/>
        <v/>
      </c>
      <c r="CD133" s="492" t="str">
        <f t="shared" si="262"/>
        <v/>
      </c>
      <c r="CE133" s="492" t="str">
        <f t="shared" si="263"/>
        <v/>
      </c>
      <c r="CF133" s="492" t="str">
        <f t="shared" si="264"/>
        <v/>
      </c>
      <c r="CG133" s="492" t="str">
        <f t="shared" si="265"/>
        <v/>
      </c>
      <c r="CH133" s="492" t="str">
        <f t="shared" si="266"/>
        <v/>
      </c>
      <c r="CI133" s="492" t="str">
        <f t="shared" si="267"/>
        <v/>
      </c>
      <c r="CJ133" s="492" t="str">
        <f t="shared" si="268"/>
        <v/>
      </c>
      <c r="CK133" s="492" t="str">
        <f t="shared" si="269"/>
        <v/>
      </c>
      <c r="CL133" s="492" t="str">
        <f t="shared" si="270"/>
        <v/>
      </c>
      <c r="CM133" s="492" t="str">
        <f t="shared" si="271"/>
        <v/>
      </c>
      <c r="CN133" s="492" t="str">
        <f t="shared" si="272"/>
        <v/>
      </c>
      <c r="CO133" s="492" t="str">
        <f t="shared" si="273"/>
        <v/>
      </c>
      <c r="CP133" s="492" t="str">
        <f t="shared" si="274"/>
        <v/>
      </c>
      <c r="CQ133" s="492" t="str">
        <f t="shared" si="207"/>
        <v/>
      </c>
      <c r="CR133" s="492" t="str">
        <f t="shared" si="208"/>
        <v/>
      </c>
      <c r="CS133" s="492" t="str">
        <f t="shared" si="209"/>
        <v/>
      </c>
      <c r="CT133" s="492" t="str">
        <f t="shared" si="210"/>
        <v/>
      </c>
      <c r="CU133" s="492" t="str">
        <f t="shared" si="211"/>
        <v/>
      </c>
      <c r="CV133" s="492" t="str">
        <f t="shared" si="212"/>
        <v/>
      </c>
      <c r="CW133" s="495">
        <v>1</v>
      </c>
      <c r="CX133" s="496"/>
      <c r="CY133" s="496"/>
      <c r="CZ133" s="496"/>
      <c r="DA133" s="496"/>
      <c r="DB133" s="496"/>
    </row>
    <row r="134" spans="1:106" ht="13.5" customHeight="1">
      <c r="A134" s="1232">
        <v>124</v>
      </c>
      <c r="B134" s="1233"/>
      <c r="C134" s="1230"/>
      <c r="D134" s="1234"/>
      <c r="E134" s="1231"/>
      <c r="F134" s="1230"/>
      <c r="G134" s="1234"/>
      <c r="H134" s="1231"/>
      <c r="I134" s="1230"/>
      <c r="J134" s="1231"/>
      <c r="K134" s="1290"/>
      <c r="L134" s="1291"/>
      <c r="M134" s="1290"/>
      <c r="N134" s="1291"/>
      <c r="O134" s="1290"/>
      <c r="P134" s="1291"/>
      <c r="Q134" s="1230"/>
      <c r="R134" s="1231"/>
      <c r="S134" s="1230"/>
      <c r="T134" s="1231"/>
      <c r="U134" s="1228"/>
      <c r="V134" s="1229"/>
      <c r="W134" s="1230"/>
      <c r="X134" s="1231"/>
      <c r="Y134" s="1226"/>
      <c r="Z134" s="1227"/>
      <c r="AA134" s="1275"/>
      <c r="AB134" s="1275"/>
      <c r="AC134" s="1212" t="str">
        <f t="shared" si="277"/>
        <v/>
      </c>
      <c r="AD134" s="1213"/>
      <c r="AE134" s="1213"/>
      <c r="AF134" s="1213"/>
      <c r="AG134" s="492" t="str">
        <f t="shared" si="213"/>
        <v/>
      </c>
      <c r="AH134" s="466" t="str">
        <f t="shared" si="214"/>
        <v/>
      </c>
      <c r="AI134" s="466" t="str">
        <f t="shared" si="215"/>
        <v/>
      </c>
      <c r="AJ134" s="466" t="str">
        <f t="shared" si="216"/>
        <v/>
      </c>
      <c r="AK134" s="492" t="str">
        <f t="shared" si="217"/>
        <v>○</v>
      </c>
      <c r="AL134" s="492" t="str">
        <f t="shared" si="218"/>
        <v/>
      </c>
      <c r="AM134" s="492" t="str">
        <f t="shared" si="219"/>
        <v/>
      </c>
      <c r="AN134" s="492" t="str">
        <f t="shared" si="220"/>
        <v/>
      </c>
      <c r="AO134" s="492" t="str">
        <f t="shared" si="221"/>
        <v/>
      </c>
      <c r="AP134" s="492" t="str">
        <f t="shared" si="222"/>
        <v/>
      </c>
      <c r="AQ134" s="492" t="str">
        <f t="shared" si="223"/>
        <v/>
      </c>
      <c r="AR134" s="492" t="str">
        <f t="shared" si="224"/>
        <v/>
      </c>
      <c r="AS134" s="492" t="str">
        <f t="shared" si="225"/>
        <v/>
      </c>
      <c r="AT134" s="492" t="str">
        <f t="shared" si="226"/>
        <v/>
      </c>
      <c r="AU134" s="492" t="str">
        <f t="shared" si="227"/>
        <v/>
      </c>
      <c r="AV134" s="492" t="str">
        <f t="shared" si="228"/>
        <v/>
      </c>
      <c r="AW134" s="492" t="str">
        <f t="shared" si="229"/>
        <v/>
      </c>
      <c r="AX134" s="492" t="str">
        <f t="shared" si="230"/>
        <v/>
      </c>
      <c r="AY134" s="492" t="str">
        <f t="shared" si="231"/>
        <v/>
      </c>
      <c r="AZ134" s="492" t="str">
        <f t="shared" si="232"/>
        <v/>
      </c>
      <c r="BA134" s="492" t="str">
        <f t="shared" si="233"/>
        <v/>
      </c>
      <c r="BB134" s="492" t="str">
        <f t="shared" si="234"/>
        <v/>
      </c>
      <c r="BC134" s="492" t="str">
        <f t="shared" si="235"/>
        <v/>
      </c>
      <c r="BD134" s="492" t="str">
        <f t="shared" si="236"/>
        <v/>
      </c>
      <c r="BE134" s="492" t="str">
        <f t="shared" si="237"/>
        <v/>
      </c>
      <c r="BF134" s="492" t="str">
        <f t="shared" si="238"/>
        <v/>
      </c>
      <c r="BG134" s="492" t="str">
        <f t="shared" si="239"/>
        <v/>
      </c>
      <c r="BH134" s="492" t="str">
        <f t="shared" si="240"/>
        <v/>
      </c>
      <c r="BI134" s="492" t="str">
        <f t="shared" si="241"/>
        <v/>
      </c>
      <c r="BJ134" s="492" t="str">
        <f t="shared" si="242"/>
        <v/>
      </c>
      <c r="BK134" s="492" t="str">
        <f t="shared" si="243"/>
        <v/>
      </c>
      <c r="BL134" s="492" t="str">
        <f t="shared" si="244"/>
        <v/>
      </c>
      <c r="BM134" s="492" t="str">
        <f t="shared" si="245"/>
        <v/>
      </c>
      <c r="BN134" s="492" t="str">
        <f t="shared" si="246"/>
        <v/>
      </c>
      <c r="BO134" s="492" t="str">
        <f t="shared" si="247"/>
        <v/>
      </c>
      <c r="BP134" s="492" t="str">
        <f t="shared" si="248"/>
        <v/>
      </c>
      <c r="BQ134" s="492" t="str">
        <f t="shared" si="249"/>
        <v/>
      </c>
      <c r="BR134" s="492" t="str">
        <f t="shared" si="250"/>
        <v/>
      </c>
      <c r="BS134" s="492" t="str">
        <f t="shared" si="251"/>
        <v/>
      </c>
      <c r="BT134" s="492" t="str">
        <f t="shared" si="252"/>
        <v/>
      </c>
      <c r="BU134" s="492" t="str">
        <f t="shared" si="253"/>
        <v/>
      </c>
      <c r="BV134" s="492" t="str">
        <f t="shared" si="254"/>
        <v/>
      </c>
      <c r="BW134" s="492" t="str">
        <f t="shared" si="255"/>
        <v/>
      </c>
      <c r="BX134" s="492" t="str">
        <f t="shared" si="256"/>
        <v/>
      </c>
      <c r="BY134" s="492" t="str">
        <f t="shared" si="257"/>
        <v/>
      </c>
      <c r="BZ134" s="492" t="str">
        <f t="shared" si="258"/>
        <v/>
      </c>
      <c r="CA134" s="492" t="str">
        <f t="shared" si="259"/>
        <v/>
      </c>
      <c r="CB134" s="492" t="str">
        <f t="shared" si="260"/>
        <v/>
      </c>
      <c r="CC134" s="492" t="str">
        <f t="shared" si="261"/>
        <v/>
      </c>
      <c r="CD134" s="492" t="str">
        <f t="shared" si="262"/>
        <v/>
      </c>
      <c r="CE134" s="492" t="str">
        <f t="shared" si="263"/>
        <v/>
      </c>
      <c r="CF134" s="492" t="str">
        <f t="shared" si="264"/>
        <v/>
      </c>
      <c r="CG134" s="492" t="str">
        <f t="shared" si="265"/>
        <v/>
      </c>
      <c r="CH134" s="492" t="str">
        <f t="shared" si="266"/>
        <v/>
      </c>
      <c r="CI134" s="492" t="str">
        <f t="shared" si="267"/>
        <v/>
      </c>
      <c r="CJ134" s="492" t="str">
        <f t="shared" si="268"/>
        <v/>
      </c>
      <c r="CK134" s="492" t="str">
        <f t="shared" si="269"/>
        <v/>
      </c>
      <c r="CL134" s="492" t="str">
        <f t="shared" si="270"/>
        <v/>
      </c>
      <c r="CM134" s="492" t="str">
        <f t="shared" si="271"/>
        <v/>
      </c>
      <c r="CN134" s="492" t="str">
        <f t="shared" si="272"/>
        <v/>
      </c>
      <c r="CO134" s="492" t="str">
        <f t="shared" si="273"/>
        <v/>
      </c>
      <c r="CP134" s="492" t="str">
        <f t="shared" si="274"/>
        <v/>
      </c>
      <c r="CQ134" s="492" t="str">
        <f t="shared" si="207"/>
        <v/>
      </c>
      <c r="CR134" s="492" t="str">
        <f t="shared" si="208"/>
        <v/>
      </c>
      <c r="CS134" s="492" t="str">
        <f t="shared" si="209"/>
        <v/>
      </c>
      <c r="CT134" s="492" t="str">
        <f t="shared" si="210"/>
        <v/>
      </c>
      <c r="CU134" s="492" t="str">
        <f t="shared" si="211"/>
        <v/>
      </c>
      <c r="CV134" s="492" t="str">
        <f t="shared" si="212"/>
        <v/>
      </c>
      <c r="CW134" s="495">
        <v>1</v>
      </c>
      <c r="CX134" s="496"/>
      <c r="CY134" s="496"/>
      <c r="CZ134" s="496"/>
      <c r="DA134" s="496"/>
      <c r="DB134" s="496"/>
    </row>
    <row r="135" spans="1:106" ht="13.5" customHeight="1">
      <c r="A135" s="1232">
        <v>125</v>
      </c>
      <c r="B135" s="1233"/>
      <c r="C135" s="1230"/>
      <c r="D135" s="1234"/>
      <c r="E135" s="1231"/>
      <c r="F135" s="1230"/>
      <c r="G135" s="1234"/>
      <c r="H135" s="1231"/>
      <c r="I135" s="1230"/>
      <c r="J135" s="1231"/>
      <c r="K135" s="1290"/>
      <c r="L135" s="1291"/>
      <c r="M135" s="1290"/>
      <c r="N135" s="1291"/>
      <c r="O135" s="1290"/>
      <c r="P135" s="1291"/>
      <c r="Q135" s="1230"/>
      <c r="R135" s="1231"/>
      <c r="S135" s="1230"/>
      <c r="T135" s="1231"/>
      <c r="U135" s="1228"/>
      <c r="V135" s="1229"/>
      <c r="W135" s="1230"/>
      <c r="X135" s="1231"/>
      <c r="Y135" s="1226"/>
      <c r="Z135" s="1227"/>
      <c r="AA135" s="1275"/>
      <c r="AB135" s="1275"/>
      <c r="AC135" s="1212" t="str">
        <f t="shared" si="277"/>
        <v/>
      </c>
      <c r="AD135" s="1213"/>
      <c r="AE135" s="1213"/>
      <c r="AF135" s="1213"/>
      <c r="AG135" s="492" t="str">
        <f t="shared" si="213"/>
        <v/>
      </c>
      <c r="AH135" s="466" t="str">
        <f t="shared" si="214"/>
        <v/>
      </c>
      <c r="AI135" s="466" t="str">
        <f t="shared" si="215"/>
        <v/>
      </c>
      <c r="AJ135" s="466" t="str">
        <f t="shared" si="216"/>
        <v/>
      </c>
      <c r="AK135" s="492" t="str">
        <f t="shared" si="217"/>
        <v>○</v>
      </c>
      <c r="AL135" s="492" t="str">
        <f t="shared" si="218"/>
        <v/>
      </c>
      <c r="AM135" s="492" t="str">
        <f t="shared" si="219"/>
        <v/>
      </c>
      <c r="AN135" s="492" t="str">
        <f t="shared" si="220"/>
        <v/>
      </c>
      <c r="AO135" s="492" t="str">
        <f t="shared" si="221"/>
        <v/>
      </c>
      <c r="AP135" s="492" t="str">
        <f t="shared" si="222"/>
        <v/>
      </c>
      <c r="AQ135" s="492" t="str">
        <f t="shared" si="223"/>
        <v/>
      </c>
      <c r="AR135" s="492" t="str">
        <f t="shared" si="224"/>
        <v/>
      </c>
      <c r="AS135" s="492" t="str">
        <f t="shared" si="225"/>
        <v/>
      </c>
      <c r="AT135" s="492" t="str">
        <f t="shared" si="226"/>
        <v/>
      </c>
      <c r="AU135" s="492" t="str">
        <f t="shared" si="227"/>
        <v/>
      </c>
      <c r="AV135" s="492" t="str">
        <f t="shared" si="228"/>
        <v/>
      </c>
      <c r="AW135" s="492" t="str">
        <f t="shared" si="229"/>
        <v/>
      </c>
      <c r="AX135" s="492" t="str">
        <f t="shared" si="230"/>
        <v/>
      </c>
      <c r="AY135" s="492" t="str">
        <f t="shared" si="231"/>
        <v/>
      </c>
      <c r="AZ135" s="492" t="str">
        <f t="shared" si="232"/>
        <v/>
      </c>
      <c r="BA135" s="492" t="str">
        <f t="shared" si="233"/>
        <v/>
      </c>
      <c r="BB135" s="492" t="str">
        <f t="shared" si="234"/>
        <v/>
      </c>
      <c r="BC135" s="492" t="str">
        <f t="shared" si="235"/>
        <v/>
      </c>
      <c r="BD135" s="492" t="str">
        <f t="shared" si="236"/>
        <v/>
      </c>
      <c r="BE135" s="492" t="str">
        <f t="shared" si="237"/>
        <v/>
      </c>
      <c r="BF135" s="492" t="str">
        <f t="shared" si="238"/>
        <v/>
      </c>
      <c r="BG135" s="492" t="str">
        <f t="shared" si="239"/>
        <v/>
      </c>
      <c r="BH135" s="492" t="str">
        <f t="shared" si="240"/>
        <v/>
      </c>
      <c r="BI135" s="492" t="str">
        <f t="shared" si="241"/>
        <v/>
      </c>
      <c r="BJ135" s="492" t="str">
        <f t="shared" si="242"/>
        <v/>
      </c>
      <c r="BK135" s="492" t="str">
        <f t="shared" si="243"/>
        <v/>
      </c>
      <c r="BL135" s="492" t="str">
        <f t="shared" si="244"/>
        <v/>
      </c>
      <c r="BM135" s="492" t="str">
        <f t="shared" si="245"/>
        <v/>
      </c>
      <c r="BN135" s="492" t="str">
        <f t="shared" si="246"/>
        <v/>
      </c>
      <c r="BO135" s="492" t="str">
        <f t="shared" si="247"/>
        <v/>
      </c>
      <c r="BP135" s="492" t="str">
        <f t="shared" si="248"/>
        <v/>
      </c>
      <c r="BQ135" s="492" t="str">
        <f t="shared" si="249"/>
        <v/>
      </c>
      <c r="BR135" s="492" t="str">
        <f t="shared" si="250"/>
        <v/>
      </c>
      <c r="BS135" s="492" t="str">
        <f t="shared" si="251"/>
        <v/>
      </c>
      <c r="BT135" s="492" t="str">
        <f t="shared" si="252"/>
        <v/>
      </c>
      <c r="BU135" s="492" t="str">
        <f t="shared" si="253"/>
        <v/>
      </c>
      <c r="BV135" s="492" t="str">
        <f t="shared" si="254"/>
        <v/>
      </c>
      <c r="BW135" s="492" t="str">
        <f t="shared" si="255"/>
        <v/>
      </c>
      <c r="BX135" s="492" t="str">
        <f t="shared" si="256"/>
        <v/>
      </c>
      <c r="BY135" s="492" t="str">
        <f t="shared" si="257"/>
        <v/>
      </c>
      <c r="BZ135" s="492" t="str">
        <f t="shared" si="258"/>
        <v/>
      </c>
      <c r="CA135" s="492" t="str">
        <f t="shared" si="259"/>
        <v/>
      </c>
      <c r="CB135" s="492" t="str">
        <f t="shared" si="260"/>
        <v/>
      </c>
      <c r="CC135" s="492" t="str">
        <f t="shared" si="261"/>
        <v/>
      </c>
      <c r="CD135" s="492" t="str">
        <f t="shared" si="262"/>
        <v/>
      </c>
      <c r="CE135" s="492" t="str">
        <f t="shared" si="263"/>
        <v/>
      </c>
      <c r="CF135" s="492" t="str">
        <f t="shared" si="264"/>
        <v/>
      </c>
      <c r="CG135" s="492" t="str">
        <f t="shared" si="265"/>
        <v/>
      </c>
      <c r="CH135" s="492" t="str">
        <f t="shared" si="266"/>
        <v/>
      </c>
      <c r="CI135" s="492" t="str">
        <f t="shared" si="267"/>
        <v/>
      </c>
      <c r="CJ135" s="492" t="str">
        <f t="shared" si="268"/>
        <v/>
      </c>
      <c r="CK135" s="492" t="str">
        <f t="shared" si="269"/>
        <v/>
      </c>
      <c r="CL135" s="492" t="str">
        <f t="shared" si="270"/>
        <v/>
      </c>
      <c r="CM135" s="492" t="str">
        <f t="shared" si="271"/>
        <v/>
      </c>
      <c r="CN135" s="492" t="str">
        <f t="shared" si="272"/>
        <v/>
      </c>
      <c r="CO135" s="492" t="str">
        <f t="shared" si="273"/>
        <v/>
      </c>
      <c r="CP135" s="492" t="str">
        <f t="shared" si="274"/>
        <v/>
      </c>
      <c r="CQ135" s="492" t="str">
        <f t="shared" si="207"/>
        <v/>
      </c>
      <c r="CR135" s="492" t="str">
        <f t="shared" si="208"/>
        <v/>
      </c>
      <c r="CS135" s="492" t="str">
        <f t="shared" si="209"/>
        <v/>
      </c>
      <c r="CT135" s="492" t="str">
        <f t="shared" si="210"/>
        <v/>
      </c>
      <c r="CU135" s="492" t="str">
        <f t="shared" si="211"/>
        <v/>
      </c>
      <c r="CV135" s="492" t="str">
        <f t="shared" si="212"/>
        <v/>
      </c>
      <c r="CW135" s="495">
        <v>1</v>
      </c>
      <c r="CX135" s="496"/>
      <c r="CY135" s="496"/>
      <c r="CZ135" s="496"/>
      <c r="DA135" s="496"/>
      <c r="DB135" s="496"/>
    </row>
    <row r="136" spans="1:106" ht="13.5" customHeight="1">
      <c r="A136" s="1232">
        <v>126</v>
      </c>
      <c r="B136" s="1233"/>
      <c r="C136" s="1230"/>
      <c r="D136" s="1234"/>
      <c r="E136" s="1231"/>
      <c r="F136" s="1230"/>
      <c r="G136" s="1234"/>
      <c r="H136" s="1231"/>
      <c r="I136" s="1230"/>
      <c r="J136" s="1231"/>
      <c r="K136" s="1290"/>
      <c r="L136" s="1291"/>
      <c r="M136" s="1290"/>
      <c r="N136" s="1291"/>
      <c r="O136" s="1290"/>
      <c r="P136" s="1291"/>
      <c r="Q136" s="1230"/>
      <c r="R136" s="1231"/>
      <c r="S136" s="1230"/>
      <c r="T136" s="1231"/>
      <c r="U136" s="1228"/>
      <c r="V136" s="1229"/>
      <c r="W136" s="1230"/>
      <c r="X136" s="1231"/>
      <c r="Y136" s="1226"/>
      <c r="Z136" s="1227"/>
      <c r="AA136" s="1275"/>
      <c r="AB136" s="1275"/>
      <c r="AC136" s="1212" t="str">
        <f t="shared" si="277"/>
        <v/>
      </c>
      <c r="AD136" s="1213"/>
      <c r="AE136" s="1213"/>
      <c r="AF136" s="1213"/>
      <c r="AG136" s="492" t="str">
        <f t="shared" si="213"/>
        <v/>
      </c>
      <c r="AH136" s="466" t="str">
        <f t="shared" si="214"/>
        <v/>
      </c>
      <c r="AI136" s="466" t="str">
        <f t="shared" si="215"/>
        <v/>
      </c>
      <c r="AJ136" s="466" t="str">
        <f t="shared" si="216"/>
        <v/>
      </c>
      <c r="AK136" s="492" t="str">
        <f t="shared" si="217"/>
        <v>○</v>
      </c>
      <c r="AL136" s="492" t="str">
        <f t="shared" si="218"/>
        <v/>
      </c>
      <c r="AM136" s="492" t="str">
        <f t="shared" si="219"/>
        <v/>
      </c>
      <c r="AN136" s="492" t="str">
        <f t="shared" si="220"/>
        <v/>
      </c>
      <c r="AO136" s="492" t="str">
        <f t="shared" si="221"/>
        <v/>
      </c>
      <c r="AP136" s="492" t="str">
        <f t="shared" si="222"/>
        <v/>
      </c>
      <c r="AQ136" s="492" t="str">
        <f t="shared" si="223"/>
        <v/>
      </c>
      <c r="AR136" s="492" t="str">
        <f t="shared" si="224"/>
        <v/>
      </c>
      <c r="AS136" s="492" t="str">
        <f t="shared" si="225"/>
        <v/>
      </c>
      <c r="AT136" s="492" t="str">
        <f t="shared" si="226"/>
        <v/>
      </c>
      <c r="AU136" s="492" t="str">
        <f t="shared" si="227"/>
        <v/>
      </c>
      <c r="AV136" s="492" t="str">
        <f t="shared" si="228"/>
        <v/>
      </c>
      <c r="AW136" s="492" t="str">
        <f t="shared" si="229"/>
        <v/>
      </c>
      <c r="AX136" s="492" t="str">
        <f t="shared" si="230"/>
        <v/>
      </c>
      <c r="AY136" s="492" t="str">
        <f t="shared" si="231"/>
        <v/>
      </c>
      <c r="AZ136" s="492" t="str">
        <f t="shared" si="232"/>
        <v/>
      </c>
      <c r="BA136" s="492" t="str">
        <f t="shared" si="233"/>
        <v/>
      </c>
      <c r="BB136" s="492" t="str">
        <f t="shared" si="234"/>
        <v/>
      </c>
      <c r="BC136" s="492" t="str">
        <f t="shared" si="235"/>
        <v/>
      </c>
      <c r="BD136" s="492" t="str">
        <f t="shared" si="236"/>
        <v/>
      </c>
      <c r="BE136" s="492" t="str">
        <f t="shared" si="237"/>
        <v/>
      </c>
      <c r="BF136" s="492" t="str">
        <f t="shared" si="238"/>
        <v/>
      </c>
      <c r="BG136" s="492" t="str">
        <f t="shared" si="239"/>
        <v/>
      </c>
      <c r="BH136" s="492" t="str">
        <f t="shared" si="240"/>
        <v/>
      </c>
      <c r="BI136" s="492" t="str">
        <f t="shared" si="241"/>
        <v/>
      </c>
      <c r="BJ136" s="492" t="str">
        <f t="shared" si="242"/>
        <v/>
      </c>
      <c r="BK136" s="492" t="str">
        <f t="shared" si="243"/>
        <v/>
      </c>
      <c r="BL136" s="492" t="str">
        <f t="shared" si="244"/>
        <v/>
      </c>
      <c r="BM136" s="492" t="str">
        <f t="shared" si="245"/>
        <v/>
      </c>
      <c r="BN136" s="492" t="str">
        <f t="shared" si="246"/>
        <v/>
      </c>
      <c r="BO136" s="492" t="str">
        <f t="shared" si="247"/>
        <v/>
      </c>
      <c r="BP136" s="492" t="str">
        <f t="shared" si="248"/>
        <v/>
      </c>
      <c r="BQ136" s="492" t="str">
        <f t="shared" si="249"/>
        <v/>
      </c>
      <c r="BR136" s="492" t="str">
        <f t="shared" si="250"/>
        <v/>
      </c>
      <c r="BS136" s="492" t="str">
        <f t="shared" si="251"/>
        <v/>
      </c>
      <c r="BT136" s="492" t="str">
        <f t="shared" si="252"/>
        <v/>
      </c>
      <c r="BU136" s="492" t="str">
        <f t="shared" si="253"/>
        <v/>
      </c>
      <c r="BV136" s="492" t="str">
        <f t="shared" si="254"/>
        <v/>
      </c>
      <c r="BW136" s="492" t="str">
        <f t="shared" si="255"/>
        <v/>
      </c>
      <c r="BX136" s="492" t="str">
        <f t="shared" si="256"/>
        <v/>
      </c>
      <c r="BY136" s="492" t="str">
        <f t="shared" si="257"/>
        <v/>
      </c>
      <c r="BZ136" s="492" t="str">
        <f t="shared" si="258"/>
        <v/>
      </c>
      <c r="CA136" s="492" t="str">
        <f t="shared" si="259"/>
        <v/>
      </c>
      <c r="CB136" s="492" t="str">
        <f t="shared" si="260"/>
        <v/>
      </c>
      <c r="CC136" s="492" t="str">
        <f t="shared" si="261"/>
        <v/>
      </c>
      <c r="CD136" s="492" t="str">
        <f t="shared" si="262"/>
        <v/>
      </c>
      <c r="CE136" s="492" t="str">
        <f t="shared" si="263"/>
        <v/>
      </c>
      <c r="CF136" s="492" t="str">
        <f t="shared" si="264"/>
        <v/>
      </c>
      <c r="CG136" s="492" t="str">
        <f t="shared" si="265"/>
        <v/>
      </c>
      <c r="CH136" s="492" t="str">
        <f t="shared" si="266"/>
        <v/>
      </c>
      <c r="CI136" s="492" t="str">
        <f t="shared" si="267"/>
        <v/>
      </c>
      <c r="CJ136" s="492" t="str">
        <f t="shared" si="268"/>
        <v/>
      </c>
      <c r="CK136" s="492" t="str">
        <f t="shared" si="269"/>
        <v/>
      </c>
      <c r="CL136" s="492" t="str">
        <f t="shared" si="270"/>
        <v/>
      </c>
      <c r="CM136" s="492" t="str">
        <f t="shared" si="271"/>
        <v/>
      </c>
      <c r="CN136" s="492" t="str">
        <f t="shared" si="272"/>
        <v/>
      </c>
      <c r="CO136" s="492" t="str">
        <f t="shared" si="273"/>
        <v/>
      </c>
      <c r="CP136" s="492" t="str">
        <f t="shared" si="274"/>
        <v/>
      </c>
      <c r="CQ136" s="492" t="str">
        <f t="shared" si="207"/>
        <v/>
      </c>
      <c r="CR136" s="492" t="str">
        <f t="shared" si="208"/>
        <v/>
      </c>
      <c r="CS136" s="492" t="str">
        <f t="shared" si="209"/>
        <v/>
      </c>
      <c r="CT136" s="492" t="str">
        <f t="shared" si="210"/>
        <v/>
      </c>
      <c r="CU136" s="492" t="str">
        <f t="shared" si="211"/>
        <v/>
      </c>
      <c r="CV136" s="492" t="str">
        <f t="shared" si="212"/>
        <v/>
      </c>
      <c r="CW136" s="495">
        <v>1</v>
      </c>
      <c r="CX136" s="496"/>
      <c r="CY136" s="496"/>
      <c r="CZ136" s="496"/>
      <c r="DA136" s="496"/>
      <c r="DB136" s="496"/>
    </row>
    <row r="137" spans="1:106" ht="13.5" customHeight="1">
      <c r="A137" s="1232">
        <v>127</v>
      </c>
      <c r="B137" s="1233"/>
      <c r="C137" s="1230"/>
      <c r="D137" s="1234"/>
      <c r="E137" s="1231"/>
      <c r="F137" s="1230"/>
      <c r="G137" s="1234"/>
      <c r="H137" s="1231"/>
      <c r="I137" s="1230"/>
      <c r="J137" s="1231"/>
      <c r="K137" s="1290"/>
      <c r="L137" s="1291"/>
      <c r="M137" s="1290"/>
      <c r="N137" s="1291"/>
      <c r="O137" s="1290"/>
      <c r="P137" s="1291"/>
      <c r="Q137" s="1230"/>
      <c r="R137" s="1231"/>
      <c r="S137" s="1230"/>
      <c r="T137" s="1231"/>
      <c r="U137" s="1228"/>
      <c r="V137" s="1229"/>
      <c r="W137" s="1230"/>
      <c r="X137" s="1231"/>
      <c r="Y137" s="1226"/>
      <c r="Z137" s="1227"/>
      <c r="AA137" s="1275"/>
      <c r="AB137" s="1275"/>
      <c r="AC137" s="1212" t="str">
        <f t="shared" si="277"/>
        <v/>
      </c>
      <c r="AD137" s="1213"/>
      <c r="AE137" s="1213"/>
      <c r="AF137" s="1213"/>
      <c r="AG137" s="492" t="str">
        <f t="shared" si="213"/>
        <v/>
      </c>
      <c r="AH137" s="466" t="str">
        <f t="shared" si="214"/>
        <v/>
      </c>
      <c r="AI137" s="466" t="str">
        <f t="shared" si="215"/>
        <v/>
      </c>
      <c r="AJ137" s="466" t="str">
        <f t="shared" si="216"/>
        <v/>
      </c>
      <c r="AK137" s="492" t="str">
        <f t="shared" si="217"/>
        <v>○</v>
      </c>
      <c r="AL137" s="492" t="str">
        <f t="shared" si="218"/>
        <v/>
      </c>
      <c r="AM137" s="492" t="str">
        <f t="shared" si="219"/>
        <v/>
      </c>
      <c r="AN137" s="492" t="str">
        <f t="shared" si="220"/>
        <v/>
      </c>
      <c r="AO137" s="492" t="str">
        <f t="shared" si="221"/>
        <v/>
      </c>
      <c r="AP137" s="492" t="str">
        <f t="shared" si="222"/>
        <v/>
      </c>
      <c r="AQ137" s="492" t="str">
        <f t="shared" si="223"/>
        <v/>
      </c>
      <c r="AR137" s="492" t="str">
        <f t="shared" si="224"/>
        <v/>
      </c>
      <c r="AS137" s="492" t="str">
        <f t="shared" si="225"/>
        <v/>
      </c>
      <c r="AT137" s="492" t="str">
        <f t="shared" si="226"/>
        <v/>
      </c>
      <c r="AU137" s="492" t="str">
        <f t="shared" si="227"/>
        <v/>
      </c>
      <c r="AV137" s="492" t="str">
        <f t="shared" si="228"/>
        <v/>
      </c>
      <c r="AW137" s="492" t="str">
        <f t="shared" si="229"/>
        <v/>
      </c>
      <c r="AX137" s="492" t="str">
        <f t="shared" si="230"/>
        <v/>
      </c>
      <c r="AY137" s="492" t="str">
        <f t="shared" si="231"/>
        <v/>
      </c>
      <c r="AZ137" s="492" t="str">
        <f t="shared" si="232"/>
        <v/>
      </c>
      <c r="BA137" s="492" t="str">
        <f t="shared" si="233"/>
        <v/>
      </c>
      <c r="BB137" s="492" t="str">
        <f t="shared" si="234"/>
        <v/>
      </c>
      <c r="BC137" s="492" t="str">
        <f t="shared" si="235"/>
        <v/>
      </c>
      <c r="BD137" s="492" t="str">
        <f t="shared" si="236"/>
        <v/>
      </c>
      <c r="BE137" s="492" t="str">
        <f t="shared" si="237"/>
        <v/>
      </c>
      <c r="BF137" s="492" t="str">
        <f t="shared" si="238"/>
        <v/>
      </c>
      <c r="BG137" s="492" t="str">
        <f t="shared" si="239"/>
        <v/>
      </c>
      <c r="BH137" s="492" t="str">
        <f t="shared" si="240"/>
        <v/>
      </c>
      <c r="BI137" s="492" t="str">
        <f t="shared" si="241"/>
        <v/>
      </c>
      <c r="BJ137" s="492" t="str">
        <f t="shared" si="242"/>
        <v/>
      </c>
      <c r="BK137" s="492" t="str">
        <f t="shared" si="243"/>
        <v/>
      </c>
      <c r="BL137" s="492" t="str">
        <f t="shared" si="244"/>
        <v/>
      </c>
      <c r="BM137" s="492" t="str">
        <f t="shared" si="245"/>
        <v/>
      </c>
      <c r="BN137" s="492" t="str">
        <f t="shared" si="246"/>
        <v/>
      </c>
      <c r="BO137" s="492" t="str">
        <f t="shared" si="247"/>
        <v/>
      </c>
      <c r="BP137" s="492" t="str">
        <f t="shared" si="248"/>
        <v/>
      </c>
      <c r="BQ137" s="492" t="str">
        <f t="shared" si="249"/>
        <v/>
      </c>
      <c r="BR137" s="492" t="str">
        <f t="shared" si="250"/>
        <v/>
      </c>
      <c r="BS137" s="492" t="str">
        <f t="shared" si="251"/>
        <v/>
      </c>
      <c r="BT137" s="492" t="str">
        <f t="shared" si="252"/>
        <v/>
      </c>
      <c r="BU137" s="492" t="str">
        <f t="shared" si="253"/>
        <v/>
      </c>
      <c r="BV137" s="492" t="str">
        <f t="shared" si="254"/>
        <v/>
      </c>
      <c r="BW137" s="492" t="str">
        <f t="shared" si="255"/>
        <v/>
      </c>
      <c r="BX137" s="492" t="str">
        <f t="shared" si="256"/>
        <v/>
      </c>
      <c r="BY137" s="492" t="str">
        <f t="shared" si="257"/>
        <v/>
      </c>
      <c r="BZ137" s="492" t="str">
        <f t="shared" si="258"/>
        <v/>
      </c>
      <c r="CA137" s="492" t="str">
        <f t="shared" si="259"/>
        <v/>
      </c>
      <c r="CB137" s="492" t="str">
        <f t="shared" si="260"/>
        <v/>
      </c>
      <c r="CC137" s="492" t="str">
        <f t="shared" si="261"/>
        <v/>
      </c>
      <c r="CD137" s="492" t="str">
        <f t="shared" si="262"/>
        <v/>
      </c>
      <c r="CE137" s="492" t="str">
        <f t="shared" si="263"/>
        <v/>
      </c>
      <c r="CF137" s="492" t="str">
        <f t="shared" si="264"/>
        <v/>
      </c>
      <c r="CG137" s="492" t="str">
        <f t="shared" si="265"/>
        <v/>
      </c>
      <c r="CH137" s="492" t="str">
        <f t="shared" si="266"/>
        <v/>
      </c>
      <c r="CI137" s="492" t="str">
        <f t="shared" si="267"/>
        <v/>
      </c>
      <c r="CJ137" s="492" t="str">
        <f t="shared" si="268"/>
        <v/>
      </c>
      <c r="CK137" s="492" t="str">
        <f t="shared" si="269"/>
        <v/>
      </c>
      <c r="CL137" s="492" t="str">
        <f t="shared" si="270"/>
        <v/>
      </c>
      <c r="CM137" s="492" t="str">
        <f t="shared" si="271"/>
        <v/>
      </c>
      <c r="CN137" s="492" t="str">
        <f t="shared" si="272"/>
        <v/>
      </c>
      <c r="CO137" s="492" t="str">
        <f t="shared" si="273"/>
        <v/>
      </c>
      <c r="CP137" s="492" t="str">
        <f t="shared" si="274"/>
        <v/>
      </c>
      <c r="CQ137" s="492" t="str">
        <f t="shared" si="207"/>
        <v/>
      </c>
      <c r="CR137" s="492" t="str">
        <f t="shared" si="208"/>
        <v/>
      </c>
      <c r="CS137" s="492" t="str">
        <f t="shared" si="209"/>
        <v/>
      </c>
      <c r="CT137" s="492" t="str">
        <f t="shared" si="210"/>
        <v/>
      </c>
      <c r="CU137" s="492" t="str">
        <f t="shared" si="211"/>
        <v/>
      </c>
      <c r="CV137" s="492" t="str">
        <f t="shared" si="212"/>
        <v/>
      </c>
      <c r="CW137" s="495">
        <v>1</v>
      </c>
      <c r="CX137" s="496"/>
      <c r="CY137" s="496"/>
      <c r="CZ137" s="496"/>
      <c r="DA137" s="496"/>
      <c r="DB137" s="496"/>
    </row>
    <row r="138" spans="1:106" ht="13.5" customHeight="1">
      <c r="A138" s="1232">
        <v>128</v>
      </c>
      <c r="B138" s="1233"/>
      <c r="C138" s="1230"/>
      <c r="D138" s="1234"/>
      <c r="E138" s="1231"/>
      <c r="F138" s="1230"/>
      <c r="G138" s="1234"/>
      <c r="H138" s="1231"/>
      <c r="I138" s="1230"/>
      <c r="J138" s="1231"/>
      <c r="K138" s="1290"/>
      <c r="L138" s="1291"/>
      <c r="M138" s="1290"/>
      <c r="N138" s="1291"/>
      <c r="O138" s="1290"/>
      <c r="P138" s="1291"/>
      <c r="Q138" s="1230"/>
      <c r="R138" s="1231"/>
      <c r="S138" s="1230"/>
      <c r="T138" s="1231"/>
      <c r="U138" s="1228"/>
      <c r="V138" s="1229"/>
      <c r="W138" s="1230"/>
      <c r="X138" s="1231"/>
      <c r="Y138" s="1226"/>
      <c r="Z138" s="1227"/>
      <c r="AA138" s="1275"/>
      <c r="AB138" s="1275"/>
      <c r="AC138" s="1212" t="str">
        <f t="shared" si="277"/>
        <v/>
      </c>
      <c r="AD138" s="1213"/>
      <c r="AE138" s="1213"/>
      <c r="AF138" s="1213"/>
      <c r="AG138" s="492" t="str">
        <f t="shared" si="213"/>
        <v/>
      </c>
      <c r="AH138" s="466" t="str">
        <f t="shared" si="214"/>
        <v/>
      </c>
      <c r="AI138" s="466" t="str">
        <f t="shared" si="215"/>
        <v/>
      </c>
      <c r="AJ138" s="466" t="str">
        <f t="shared" si="216"/>
        <v/>
      </c>
      <c r="AK138" s="492" t="str">
        <f t="shared" si="217"/>
        <v>○</v>
      </c>
      <c r="AL138" s="492" t="str">
        <f t="shared" si="218"/>
        <v/>
      </c>
      <c r="AM138" s="492" t="str">
        <f t="shared" si="219"/>
        <v/>
      </c>
      <c r="AN138" s="492" t="str">
        <f t="shared" si="220"/>
        <v/>
      </c>
      <c r="AO138" s="492" t="str">
        <f t="shared" si="221"/>
        <v/>
      </c>
      <c r="AP138" s="492" t="str">
        <f t="shared" si="222"/>
        <v/>
      </c>
      <c r="AQ138" s="492" t="str">
        <f t="shared" si="223"/>
        <v/>
      </c>
      <c r="AR138" s="492" t="str">
        <f t="shared" si="224"/>
        <v/>
      </c>
      <c r="AS138" s="492" t="str">
        <f t="shared" si="225"/>
        <v/>
      </c>
      <c r="AT138" s="492" t="str">
        <f t="shared" si="226"/>
        <v/>
      </c>
      <c r="AU138" s="492" t="str">
        <f t="shared" si="227"/>
        <v/>
      </c>
      <c r="AV138" s="492" t="str">
        <f t="shared" si="228"/>
        <v/>
      </c>
      <c r="AW138" s="492" t="str">
        <f t="shared" si="229"/>
        <v/>
      </c>
      <c r="AX138" s="492" t="str">
        <f t="shared" si="230"/>
        <v/>
      </c>
      <c r="AY138" s="492" t="str">
        <f t="shared" si="231"/>
        <v/>
      </c>
      <c r="AZ138" s="492" t="str">
        <f t="shared" si="232"/>
        <v/>
      </c>
      <c r="BA138" s="492" t="str">
        <f t="shared" si="233"/>
        <v/>
      </c>
      <c r="BB138" s="492" t="str">
        <f t="shared" si="234"/>
        <v/>
      </c>
      <c r="BC138" s="492" t="str">
        <f t="shared" si="235"/>
        <v/>
      </c>
      <c r="BD138" s="492" t="str">
        <f t="shared" si="236"/>
        <v/>
      </c>
      <c r="BE138" s="492" t="str">
        <f t="shared" si="237"/>
        <v/>
      </c>
      <c r="BF138" s="492" t="str">
        <f t="shared" si="238"/>
        <v/>
      </c>
      <c r="BG138" s="492" t="str">
        <f t="shared" si="239"/>
        <v/>
      </c>
      <c r="BH138" s="492" t="str">
        <f t="shared" si="240"/>
        <v/>
      </c>
      <c r="BI138" s="492" t="str">
        <f t="shared" si="241"/>
        <v/>
      </c>
      <c r="BJ138" s="492" t="str">
        <f t="shared" si="242"/>
        <v/>
      </c>
      <c r="BK138" s="492" t="str">
        <f t="shared" si="243"/>
        <v/>
      </c>
      <c r="BL138" s="492" t="str">
        <f t="shared" si="244"/>
        <v/>
      </c>
      <c r="BM138" s="492" t="str">
        <f t="shared" si="245"/>
        <v/>
      </c>
      <c r="BN138" s="492" t="str">
        <f t="shared" si="246"/>
        <v/>
      </c>
      <c r="BO138" s="492" t="str">
        <f t="shared" si="247"/>
        <v/>
      </c>
      <c r="BP138" s="492" t="str">
        <f t="shared" si="248"/>
        <v/>
      </c>
      <c r="BQ138" s="492" t="str">
        <f t="shared" si="249"/>
        <v/>
      </c>
      <c r="BR138" s="492" t="str">
        <f t="shared" si="250"/>
        <v/>
      </c>
      <c r="BS138" s="492" t="str">
        <f t="shared" si="251"/>
        <v/>
      </c>
      <c r="BT138" s="492" t="str">
        <f t="shared" si="252"/>
        <v/>
      </c>
      <c r="BU138" s="492" t="str">
        <f t="shared" si="253"/>
        <v/>
      </c>
      <c r="BV138" s="492" t="str">
        <f t="shared" si="254"/>
        <v/>
      </c>
      <c r="BW138" s="492" t="str">
        <f t="shared" si="255"/>
        <v/>
      </c>
      <c r="BX138" s="492" t="str">
        <f t="shared" si="256"/>
        <v/>
      </c>
      <c r="BY138" s="492" t="str">
        <f t="shared" si="257"/>
        <v/>
      </c>
      <c r="BZ138" s="492" t="str">
        <f t="shared" si="258"/>
        <v/>
      </c>
      <c r="CA138" s="492" t="str">
        <f t="shared" si="259"/>
        <v/>
      </c>
      <c r="CB138" s="492" t="str">
        <f t="shared" si="260"/>
        <v/>
      </c>
      <c r="CC138" s="492" t="str">
        <f t="shared" si="261"/>
        <v/>
      </c>
      <c r="CD138" s="492" t="str">
        <f t="shared" si="262"/>
        <v/>
      </c>
      <c r="CE138" s="492" t="str">
        <f t="shared" si="263"/>
        <v/>
      </c>
      <c r="CF138" s="492" t="str">
        <f t="shared" si="264"/>
        <v/>
      </c>
      <c r="CG138" s="492" t="str">
        <f t="shared" si="265"/>
        <v/>
      </c>
      <c r="CH138" s="492" t="str">
        <f t="shared" si="266"/>
        <v/>
      </c>
      <c r="CI138" s="492" t="str">
        <f t="shared" si="267"/>
        <v/>
      </c>
      <c r="CJ138" s="492" t="str">
        <f t="shared" si="268"/>
        <v/>
      </c>
      <c r="CK138" s="492" t="str">
        <f t="shared" si="269"/>
        <v/>
      </c>
      <c r="CL138" s="492" t="str">
        <f t="shared" si="270"/>
        <v/>
      </c>
      <c r="CM138" s="492" t="str">
        <f t="shared" si="271"/>
        <v/>
      </c>
      <c r="CN138" s="492" t="str">
        <f t="shared" si="272"/>
        <v/>
      </c>
      <c r="CO138" s="492" t="str">
        <f t="shared" si="273"/>
        <v/>
      </c>
      <c r="CP138" s="492" t="str">
        <f t="shared" si="274"/>
        <v/>
      </c>
      <c r="CQ138" s="492" t="str">
        <f t="shared" si="207"/>
        <v/>
      </c>
      <c r="CR138" s="492" t="str">
        <f t="shared" si="208"/>
        <v/>
      </c>
      <c r="CS138" s="492" t="str">
        <f t="shared" si="209"/>
        <v/>
      </c>
      <c r="CT138" s="492" t="str">
        <f t="shared" si="210"/>
        <v/>
      </c>
      <c r="CU138" s="492" t="str">
        <f t="shared" si="211"/>
        <v/>
      </c>
      <c r="CV138" s="492" t="str">
        <f t="shared" si="212"/>
        <v/>
      </c>
      <c r="CW138" s="495">
        <v>1</v>
      </c>
      <c r="CX138" s="496"/>
      <c r="CY138" s="496"/>
      <c r="CZ138" s="496"/>
      <c r="DA138" s="496"/>
      <c r="DB138" s="496"/>
    </row>
    <row r="139" spans="1:106" ht="13.5" customHeight="1">
      <c r="A139" s="1232">
        <v>129</v>
      </c>
      <c r="B139" s="1233"/>
      <c r="C139" s="1230"/>
      <c r="D139" s="1234"/>
      <c r="E139" s="1231"/>
      <c r="F139" s="1230"/>
      <c r="G139" s="1234"/>
      <c r="H139" s="1231"/>
      <c r="I139" s="1230"/>
      <c r="J139" s="1231"/>
      <c r="K139" s="1290"/>
      <c r="L139" s="1291"/>
      <c r="M139" s="1290"/>
      <c r="N139" s="1291"/>
      <c r="O139" s="1290"/>
      <c r="P139" s="1291"/>
      <c r="Q139" s="1230"/>
      <c r="R139" s="1231"/>
      <c r="S139" s="1230"/>
      <c r="T139" s="1231"/>
      <c r="U139" s="1228"/>
      <c r="V139" s="1229"/>
      <c r="W139" s="1230"/>
      <c r="X139" s="1231"/>
      <c r="Y139" s="1226"/>
      <c r="Z139" s="1227"/>
      <c r="AA139" s="1275"/>
      <c r="AB139" s="1275"/>
      <c r="AC139" s="1212" t="str">
        <f t="shared" si="277"/>
        <v/>
      </c>
      <c r="AD139" s="1213"/>
      <c r="AE139" s="1213"/>
      <c r="AF139" s="1213"/>
      <c r="AG139" s="492" t="str">
        <f t="shared" ref="AG139:AG160" si="278">IF(AND(Q139="○",W139=""),"A","")</f>
        <v/>
      </c>
      <c r="AH139" s="466" t="str">
        <f t="shared" ref="AH139:AH160" si="279">IF(AND(Q139="○",W139="○"),"B","")</f>
        <v/>
      </c>
      <c r="AI139" s="466" t="str">
        <f t="shared" ref="AI139:AI160" si="280">IF(AND(Q139="",S139="○",W139=""),"C","")</f>
        <v/>
      </c>
      <c r="AJ139" s="466" t="str">
        <f t="shared" ref="AJ139:AJ160" si="281">IF(AND(Q139="",S139="○",W139="○"),"D","")</f>
        <v/>
      </c>
      <c r="AK139" s="492" t="str">
        <f t="shared" ref="AK139:AK160" si="282">IF(U139&gt;0,"","○")</f>
        <v>○</v>
      </c>
      <c r="AL139" s="492" t="str">
        <f t="shared" ref="AL139:AL160" si="283">IF(AND(I139="５歳",M139="標準",O139="",AK139="○",W139=""),"○","")</f>
        <v/>
      </c>
      <c r="AM139" s="492" t="str">
        <f t="shared" ref="AM139:AM160" si="284">IF(AND(I139="４歳",M139="標準",O139="",AK139="○",W139=""),"○","")</f>
        <v/>
      </c>
      <c r="AN139" s="492" t="str">
        <f t="shared" ref="AN139:AN160" si="285">IF(AND(I139="３歳",M139="標準",O139="",AK139="○",W139=""),"○","")</f>
        <v/>
      </c>
      <c r="AO139" s="492" t="str">
        <f t="shared" ref="AO139:AO160" si="286">IF(AND(I139="２歳",M139="標準",O139="",AK139="○",W139=""),"○","")</f>
        <v/>
      </c>
      <c r="AP139" s="492" t="str">
        <f t="shared" ref="AP139:AP160" si="287">IF(AND(I139="１歳",M139="標準",O139="",AK139="○",W139=""),"○","")</f>
        <v/>
      </c>
      <c r="AQ139" s="492" t="str">
        <f t="shared" ref="AQ139:AQ160" si="288">IF(AND(I139="乳児",M139="標準",O139="",AK139="○",W139=""),"○","")</f>
        <v/>
      </c>
      <c r="AR139" s="492" t="str">
        <f t="shared" ref="AR139:AR160" si="289">IF(AND(I139="５歳",M139="標準",O139="",AK139="○",W139="○"),"○","")</f>
        <v/>
      </c>
      <c r="AS139" s="492" t="str">
        <f t="shared" ref="AS139:AS160" si="290">IF(AND(I139="４歳",M139="標準",O139="",AK139="○",W139="○"),"○","")</f>
        <v/>
      </c>
      <c r="AT139" s="492" t="str">
        <f t="shared" ref="AT139:AT160" si="291">IF(AND(I139="３歳",M139="標準",O139="",AK139="○",W139="○"),"○","")</f>
        <v/>
      </c>
      <c r="AU139" s="492" t="str">
        <f t="shared" ref="AU139:AU160" si="292">IF(AND(I139="５歳",M139="標準",U139&gt;0),"○","")</f>
        <v/>
      </c>
      <c r="AV139" s="492" t="str">
        <f t="shared" ref="AV139:AV160" si="293">IF(AND(I139="４歳",M139="標準",U139&gt;0),"○","")</f>
        <v/>
      </c>
      <c r="AW139" s="492" t="str">
        <f t="shared" ref="AW139:AW160" si="294">IF(AND(I139="３歳",M139="標準",U139&gt;0),"○","")</f>
        <v/>
      </c>
      <c r="AX139" s="492" t="str">
        <f t="shared" ref="AX139:AX160" si="295">IF(AND(I139="２歳",M139="標準",U139&gt;0),"○","")</f>
        <v/>
      </c>
      <c r="AY139" s="492" t="str">
        <f t="shared" ref="AY139:AY160" si="296">IF(AND(I139="１歳",M139="標準",U139&gt;0),"○","")</f>
        <v/>
      </c>
      <c r="AZ139" s="492" t="str">
        <f t="shared" ref="AZ139:AZ160" si="297">IF(AND(I139="乳児",M139="標準",U139&gt;0),"○","")</f>
        <v/>
      </c>
      <c r="BA139" s="492" t="str">
        <f t="shared" ref="BA139:BA160" si="298">IF(AND(I139="５歳",M139="短時間",O139="",AK139="○",W139=""),"○","")</f>
        <v/>
      </c>
      <c r="BB139" s="492" t="str">
        <f t="shared" ref="BB139:BB160" si="299">IF(AND(I139="４歳",M139="短時間",O139="",AK139="○",W139=""),"○","")</f>
        <v/>
      </c>
      <c r="BC139" s="492" t="str">
        <f t="shared" ref="BC139:BC160" si="300">IF(AND(I139="３歳",M139="短時間",O139="",AK139="○",W139=""),"○","")</f>
        <v/>
      </c>
      <c r="BD139" s="492" t="str">
        <f t="shared" ref="BD139:BD160" si="301">IF(AND(I139="２歳",M139="短時間",O139="",AK139="○",W139=""),"○","")</f>
        <v/>
      </c>
      <c r="BE139" s="492" t="str">
        <f t="shared" ref="BE139:BE160" si="302">IF(AND(I139="１歳",M139="短時間",O139="",AK139="○",W139=""),"○","")</f>
        <v/>
      </c>
      <c r="BF139" s="492" t="str">
        <f t="shared" ref="BF139:BF160" si="303">IF(AND(I139="乳児",M139="短時間",O139="",AK139="○",W139=""),"○","")</f>
        <v/>
      </c>
      <c r="BG139" s="492" t="str">
        <f t="shared" ref="BG139:BG160" si="304">IF(AND(I139="５歳",M139="短時間",O139="",AK139="○",W139="○"),"○","")</f>
        <v/>
      </c>
      <c r="BH139" s="492" t="str">
        <f t="shared" ref="BH139:BH160" si="305">IF(AND(I139="４歳",M139="短時間",O139="",AK139="○",W139="○"),"○","")</f>
        <v/>
      </c>
      <c r="BI139" s="492" t="str">
        <f t="shared" ref="BI139:BI160" si="306">IF(AND(I139="３歳",M139="短時間",O139="",AK139="○",W139="○"),"○","")</f>
        <v/>
      </c>
      <c r="BJ139" s="492" t="str">
        <f t="shared" ref="BJ139:BJ160" si="307">IF(AND(I139="２歳",M139="短時間",O139="",AK139="○",W139="○"),"○","")</f>
        <v/>
      </c>
      <c r="BK139" s="492" t="str">
        <f t="shared" ref="BK139:BK160" si="308">IF(AND(I139="１歳",M139="短時間",O139="",AK139="○",W139="○"),"○","")</f>
        <v/>
      </c>
      <c r="BL139" s="492" t="str">
        <f t="shared" ref="BL139:BL160" si="309">IF(AND(I139="乳児",M139="短時間",O139="",AK139="○",W139="○"),"○","")</f>
        <v/>
      </c>
      <c r="BM139" s="492" t="str">
        <f t="shared" ref="BM139:BM160" si="310">IF(AND(I139="５歳",M139="短時間",O139="",U139&gt;0),"○","")</f>
        <v/>
      </c>
      <c r="BN139" s="492" t="str">
        <f t="shared" ref="BN139:BN160" si="311">IF(AND(I139="４歳",M139="短時間",O139="",U139&gt;0),"○","")</f>
        <v/>
      </c>
      <c r="BO139" s="492" t="str">
        <f t="shared" ref="BO139:BO160" si="312">IF(AND(I139="３歳",M139="短時間",O139="",U139&gt;0),"○","")</f>
        <v/>
      </c>
      <c r="BP139" s="492" t="str">
        <f t="shared" ref="BP139:BP160" si="313">IF(AND(I139="２歳",M139="短時間",O139="",U139&gt;0),"○","")</f>
        <v/>
      </c>
      <c r="BQ139" s="492" t="str">
        <f t="shared" ref="BQ139:BQ160" si="314">IF(AND(I139="１歳",M139="短時間",O139="",U139&gt;0),"○","")</f>
        <v/>
      </c>
      <c r="BR139" s="492" t="str">
        <f t="shared" ref="BR139:BR160" si="315">IF(AND(I139="乳児",M139="短時間",O139="",U139&gt;0),"○","")</f>
        <v/>
      </c>
      <c r="BS139" s="492" t="str">
        <f t="shared" ref="BS139:BS160" si="316">IF(AND(I139="５歳",M139="標準",O139="分園",AK139="○",W139=""),"○","")</f>
        <v/>
      </c>
      <c r="BT139" s="492" t="str">
        <f t="shared" ref="BT139:BT160" si="317">IF(AND(I139="４歳",M139="標準",O139="分園",AK139="○",W139=""),"○","")</f>
        <v/>
      </c>
      <c r="BU139" s="492" t="str">
        <f t="shared" ref="BU139:BU160" si="318">IF(AND(I139="３歳",M139="標準",O139="分園",AK139="○",W139=""),"○","")</f>
        <v/>
      </c>
      <c r="BV139" s="492" t="str">
        <f t="shared" ref="BV139:BV160" si="319">IF(AND(I139="２歳",M139="標準",O139="分園",AK139="○",W139=""),"○","")</f>
        <v/>
      </c>
      <c r="BW139" s="492" t="str">
        <f t="shared" ref="BW139:BW160" si="320">IF(AND(I139="１歳",M139="標準",O139="分園",AK139="○",W139=""),"○","")</f>
        <v/>
      </c>
      <c r="BX139" s="492" t="str">
        <f t="shared" ref="BX139:BX160" si="321">IF(AND(I139="乳児",M139="標準",O139="分園",AK139="○",W139=""),"○","")</f>
        <v/>
      </c>
      <c r="BY139" s="492" t="str">
        <f t="shared" ref="BY139:BY160" si="322">IF(AND(I139="５歳",M139="標準",O139="分園",AK139="○",W139="○"),"○","")</f>
        <v/>
      </c>
      <c r="BZ139" s="492" t="str">
        <f t="shared" ref="BZ139:BZ160" si="323">IF(AND(I139="４歳",M139="標準",O139="分園",AK139="○",W139="○"),"○","")</f>
        <v/>
      </c>
      <c r="CA139" s="492" t="str">
        <f t="shared" ref="CA139:CA160" si="324">IF(AND(I139="３歳",M139="標準",O139="分園",AK139="○",W139="○"),"○","")</f>
        <v/>
      </c>
      <c r="CB139" s="492" t="str">
        <f t="shared" ref="CB139:CB160" si="325">IF(AND(I1565="５歳",M139="教育",O139="分園",U139&gt;0),"○","")</f>
        <v/>
      </c>
      <c r="CC139" s="492" t="str">
        <f t="shared" ref="CC139:CC160" si="326">IF(AND(I1565="４歳",M139="教育",O139="分園",U139&gt;0),"○","")</f>
        <v/>
      </c>
      <c r="CD139" s="492" t="str">
        <f t="shared" ref="CD139:CD160" si="327">IF(AND(I1565="３歳",M139="教育",O139="分園",U139&gt;0),"○","")</f>
        <v/>
      </c>
      <c r="CE139" s="492" t="str">
        <f t="shared" ref="CE139:CE160" si="328">IF(AND(I1565="２歳",M139="教育",O139="分園",U139&gt;0),"○","")</f>
        <v/>
      </c>
      <c r="CF139" s="492" t="str">
        <f t="shared" ref="CF139:CF160" si="329">IF(AND(I1565="１歳",M139="教育",O139="分園",U139&gt;0),"○","")</f>
        <v/>
      </c>
      <c r="CG139" s="492" t="str">
        <f t="shared" ref="CG139:CG160" si="330">IF(AND(I1565="乳児",M139="教育",O139="分園",U139&gt;0),"○","")</f>
        <v/>
      </c>
      <c r="CH139" s="492" t="str">
        <f t="shared" ref="CH139:CH160" si="331">IF(AND(I139="５歳",M139="短時間",O139="分園",AK139="○",W139=""),"○","")</f>
        <v/>
      </c>
      <c r="CI139" s="492" t="str">
        <f t="shared" ref="CI139:CI160" si="332">IF(AND(I139="４歳",M139="短時間",O139="分園",AK139="○",W139=""),"○","")</f>
        <v/>
      </c>
      <c r="CJ139" s="492" t="str">
        <f t="shared" ref="CJ139:CJ160" si="333">IF(AND(I139="３歳",M139="短時間",O139="分園",AK139="○",W139=""),"○","")</f>
        <v/>
      </c>
      <c r="CK139" s="492" t="str">
        <f t="shared" ref="CK139:CK160" si="334">IF(AND(I139="２歳",M139="短時間",O139="分園",AK139="○",W139=""),"○","")</f>
        <v/>
      </c>
      <c r="CL139" s="492" t="str">
        <f t="shared" ref="CL139:CL160" si="335">IF(AND(I139="１歳",M139="短時間",O139="分園",AK139="○",W139=""),"○","")</f>
        <v/>
      </c>
      <c r="CM139" s="492" t="str">
        <f t="shared" ref="CM139:CM160" si="336">IF(AND(I139="乳児",M139="短時間",O139="分園",AK139="○",W139=""),"○","")</f>
        <v/>
      </c>
      <c r="CN139" s="492" t="str">
        <f t="shared" ref="CN139:CN160" si="337">IF(AND(I139="５歳",M139="短時間",O139="分園",AK139="○",W139="○"),"○","")</f>
        <v/>
      </c>
      <c r="CO139" s="492" t="str">
        <f t="shared" ref="CO139:CO160" si="338">IF(AND(I139="４歳",M139="短時間",O139="分園",AK139="○",W139="○"),"○","")</f>
        <v/>
      </c>
      <c r="CP139" s="492" t="str">
        <f t="shared" ref="CP139:CP160" si="339">IF(AND(I139="３歳",M139="短時間",O139="分園",AK139="○",W139="○"),"○","")</f>
        <v/>
      </c>
      <c r="CQ139" s="492" t="str">
        <f t="shared" si="207"/>
        <v/>
      </c>
      <c r="CR139" s="492" t="str">
        <f t="shared" si="208"/>
        <v/>
      </c>
      <c r="CS139" s="492" t="str">
        <f t="shared" si="209"/>
        <v/>
      </c>
      <c r="CT139" s="492" t="str">
        <f t="shared" si="210"/>
        <v/>
      </c>
      <c r="CU139" s="492" t="str">
        <f t="shared" si="211"/>
        <v/>
      </c>
      <c r="CV139" s="492" t="str">
        <f t="shared" si="212"/>
        <v/>
      </c>
      <c r="CW139" s="495">
        <v>1</v>
      </c>
      <c r="CX139" s="496"/>
      <c r="CY139" s="496"/>
      <c r="CZ139" s="496"/>
      <c r="DA139" s="496"/>
      <c r="DB139" s="496"/>
    </row>
    <row r="140" spans="1:106" ht="13.5" customHeight="1">
      <c r="A140" s="1232">
        <v>130</v>
      </c>
      <c r="B140" s="1233"/>
      <c r="C140" s="1230"/>
      <c r="D140" s="1234"/>
      <c r="E140" s="1231"/>
      <c r="F140" s="1230"/>
      <c r="G140" s="1234"/>
      <c r="H140" s="1231"/>
      <c r="I140" s="1230"/>
      <c r="J140" s="1231"/>
      <c r="K140" s="1290"/>
      <c r="L140" s="1291"/>
      <c r="M140" s="1290"/>
      <c r="N140" s="1291"/>
      <c r="O140" s="1290"/>
      <c r="P140" s="1291"/>
      <c r="Q140" s="1230"/>
      <c r="R140" s="1231"/>
      <c r="S140" s="1230"/>
      <c r="T140" s="1231"/>
      <c r="U140" s="1228"/>
      <c r="V140" s="1229"/>
      <c r="W140" s="1230"/>
      <c r="X140" s="1231"/>
      <c r="Y140" s="1226"/>
      <c r="Z140" s="1227"/>
      <c r="AA140" s="1275"/>
      <c r="AB140" s="1275"/>
      <c r="AC140" s="1212" t="str">
        <f t="shared" si="277"/>
        <v/>
      </c>
      <c r="AD140" s="1213"/>
      <c r="AE140" s="1213"/>
      <c r="AF140" s="1213"/>
      <c r="AG140" s="492" t="str">
        <f t="shared" si="278"/>
        <v/>
      </c>
      <c r="AH140" s="466" t="str">
        <f t="shared" si="279"/>
        <v/>
      </c>
      <c r="AI140" s="466" t="str">
        <f t="shared" si="280"/>
        <v/>
      </c>
      <c r="AJ140" s="466" t="str">
        <f t="shared" si="281"/>
        <v/>
      </c>
      <c r="AK140" s="492" t="str">
        <f t="shared" si="282"/>
        <v>○</v>
      </c>
      <c r="AL140" s="492" t="str">
        <f t="shared" si="283"/>
        <v/>
      </c>
      <c r="AM140" s="492" t="str">
        <f t="shared" si="284"/>
        <v/>
      </c>
      <c r="AN140" s="492" t="str">
        <f t="shared" si="285"/>
        <v/>
      </c>
      <c r="AO140" s="492" t="str">
        <f t="shared" si="286"/>
        <v/>
      </c>
      <c r="AP140" s="492" t="str">
        <f t="shared" si="287"/>
        <v/>
      </c>
      <c r="AQ140" s="492" t="str">
        <f t="shared" si="288"/>
        <v/>
      </c>
      <c r="AR140" s="492" t="str">
        <f t="shared" si="289"/>
        <v/>
      </c>
      <c r="AS140" s="492" t="str">
        <f t="shared" si="290"/>
        <v/>
      </c>
      <c r="AT140" s="492" t="str">
        <f t="shared" si="291"/>
        <v/>
      </c>
      <c r="AU140" s="492" t="str">
        <f t="shared" si="292"/>
        <v/>
      </c>
      <c r="AV140" s="492" t="str">
        <f t="shared" si="293"/>
        <v/>
      </c>
      <c r="AW140" s="492" t="str">
        <f t="shared" si="294"/>
        <v/>
      </c>
      <c r="AX140" s="492" t="str">
        <f t="shared" si="295"/>
        <v/>
      </c>
      <c r="AY140" s="492" t="str">
        <f t="shared" si="296"/>
        <v/>
      </c>
      <c r="AZ140" s="492" t="str">
        <f t="shared" si="297"/>
        <v/>
      </c>
      <c r="BA140" s="492" t="str">
        <f t="shared" si="298"/>
        <v/>
      </c>
      <c r="BB140" s="492" t="str">
        <f t="shared" si="299"/>
        <v/>
      </c>
      <c r="BC140" s="492" t="str">
        <f t="shared" si="300"/>
        <v/>
      </c>
      <c r="BD140" s="492" t="str">
        <f t="shared" si="301"/>
        <v/>
      </c>
      <c r="BE140" s="492" t="str">
        <f t="shared" si="302"/>
        <v/>
      </c>
      <c r="BF140" s="492" t="str">
        <f t="shared" si="303"/>
        <v/>
      </c>
      <c r="BG140" s="492" t="str">
        <f t="shared" si="304"/>
        <v/>
      </c>
      <c r="BH140" s="492" t="str">
        <f t="shared" si="305"/>
        <v/>
      </c>
      <c r="BI140" s="492" t="str">
        <f t="shared" si="306"/>
        <v/>
      </c>
      <c r="BJ140" s="492" t="str">
        <f t="shared" si="307"/>
        <v/>
      </c>
      <c r="BK140" s="492" t="str">
        <f t="shared" si="308"/>
        <v/>
      </c>
      <c r="BL140" s="492" t="str">
        <f t="shared" si="309"/>
        <v/>
      </c>
      <c r="BM140" s="492" t="str">
        <f t="shared" si="310"/>
        <v/>
      </c>
      <c r="BN140" s="492" t="str">
        <f t="shared" si="311"/>
        <v/>
      </c>
      <c r="BO140" s="492" t="str">
        <f t="shared" si="312"/>
        <v/>
      </c>
      <c r="BP140" s="492" t="str">
        <f t="shared" si="313"/>
        <v/>
      </c>
      <c r="BQ140" s="492" t="str">
        <f t="shared" si="314"/>
        <v/>
      </c>
      <c r="BR140" s="492" t="str">
        <f t="shared" si="315"/>
        <v/>
      </c>
      <c r="BS140" s="492" t="str">
        <f t="shared" si="316"/>
        <v/>
      </c>
      <c r="BT140" s="492" t="str">
        <f t="shared" si="317"/>
        <v/>
      </c>
      <c r="BU140" s="492" t="str">
        <f t="shared" si="318"/>
        <v/>
      </c>
      <c r="BV140" s="492" t="str">
        <f t="shared" si="319"/>
        <v/>
      </c>
      <c r="BW140" s="492" t="str">
        <f t="shared" si="320"/>
        <v/>
      </c>
      <c r="BX140" s="492" t="str">
        <f t="shared" si="321"/>
        <v/>
      </c>
      <c r="BY140" s="492" t="str">
        <f t="shared" si="322"/>
        <v/>
      </c>
      <c r="BZ140" s="492" t="str">
        <f t="shared" si="323"/>
        <v/>
      </c>
      <c r="CA140" s="492" t="str">
        <f t="shared" si="324"/>
        <v/>
      </c>
      <c r="CB140" s="492" t="str">
        <f t="shared" si="325"/>
        <v/>
      </c>
      <c r="CC140" s="492" t="str">
        <f t="shared" si="326"/>
        <v/>
      </c>
      <c r="CD140" s="492" t="str">
        <f t="shared" si="327"/>
        <v/>
      </c>
      <c r="CE140" s="492" t="str">
        <f t="shared" si="328"/>
        <v/>
      </c>
      <c r="CF140" s="492" t="str">
        <f t="shared" si="329"/>
        <v/>
      </c>
      <c r="CG140" s="492" t="str">
        <f t="shared" si="330"/>
        <v/>
      </c>
      <c r="CH140" s="492" t="str">
        <f t="shared" si="331"/>
        <v/>
      </c>
      <c r="CI140" s="492" t="str">
        <f t="shared" si="332"/>
        <v/>
      </c>
      <c r="CJ140" s="492" t="str">
        <f t="shared" si="333"/>
        <v/>
      </c>
      <c r="CK140" s="492" t="str">
        <f t="shared" si="334"/>
        <v/>
      </c>
      <c r="CL140" s="492" t="str">
        <f t="shared" si="335"/>
        <v/>
      </c>
      <c r="CM140" s="492" t="str">
        <f t="shared" si="336"/>
        <v/>
      </c>
      <c r="CN140" s="492" t="str">
        <f t="shared" si="337"/>
        <v/>
      </c>
      <c r="CO140" s="492" t="str">
        <f t="shared" si="338"/>
        <v/>
      </c>
      <c r="CP140" s="492" t="str">
        <f t="shared" si="339"/>
        <v/>
      </c>
      <c r="CQ140" s="492" t="str">
        <f t="shared" si="207"/>
        <v/>
      </c>
      <c r="CR140" s="492" t="str">
        <f t="shared" si="208"/>
        <v/>
      </c>
      <c r="CS140" s="492" t="str">
        <f t="shared" si="209"/>
        <v/>
      </c>
      <c r="CT140" s="492" t="str">
        <f t="shared" si="210"/>
        <v/>
      </c>
      <c r="CU140" s="492" t="str">
        <f t="shared" si="211"/>
        <v/>
      </c>
      <c r="CV140" s="492" t="str">
        <f t="shared" si="212"/>
        <v/>
      </c>
      <c r="CW140" s="495">
        <v>1</v>
      </c>
      <c r="CX140" s="496"/>
      <c r="CY140" s="496"/>
      <c r="CZ140" s="496"/>
      <c r="DA140" s="496"/>
      <c r="DB140" s="496"/>
    </row>
    <row r="141" spans="1:106" ht="13.5" customHeight="1">
      <c r="A141" s="1232">
        <v>131</v>
      </c>
      <c r="B141" s="1233"/>
      <c r="C141" s="1230"/>
      <c r="D141" s="1234"/>
      <c r="E141" s="1231"/>
      <c r="F141" s="1230"/>
      <c r="G141" s="1234"/>
      <c r="H141" s="1231"/>
      <c r="I141" s="1230"/>
      <c r="J141" s="1231"/>
      <c r="K141" s="1290"/>
      <c r="L141" s="1291"/>
      <c r="M141" s="1290"/>
      <c r="N141" s="1291"/>
      <c r="O141" s="1290"/>
      <c r="P141" s="1291"/>
      <c r="Q141" s="1230"/>
      <c r="R141" s="1231"/>
      <c r="S141" s="1230"/>
      <c r="T141" s="1231"/>
      <c r="U141" s="1228"/>
      <c r="V141" s="1229"/>
      <c r="W141" s="1230"/>
      <c r="X141" s="1231"/>
      <c r="Y141" s="1226"/>
      <c r="Z141" s="1227"/>
      <c r="AA141" s="1275"/>
      <c r="AB141" s="1275"/>
      <c r="AC141" s="1212" t="str">
        <f>IF(S141="","",IF(AND(M141="標準",S141="○",O141=""),"※下表に記載必要箇所あり(①)",IF(AND(M141="標準",S141="○",O141="分園"),"※下表に記載必要箇所あり(③)",IF(AND(M141="短時間",S141="○",O141=""),"※下表に記載必要箇所あり(②)","※下表に記載必要箇所あり(④)"))))</f>
        <v/>
      </c>
      <c r="AD141" s="1213"/>
      <c r="AE141" s="1213"/>
      <c r="AF141" s="1213"/>
      <c r="AG141" s="492" t="str">
        <f t="shared" si="278"/>
        <v/>
      </c>
      <c r="AH141" s="466" t="str">
        <f t="shared" si="279"/>
        <v/>
      </c>
      <c r="AI141" s="466" t="str">
        <f t="shared" si="280"/>
        <v/>
      </c>
      <c r="AJ141" s="466" t="str">
        <f t="shared" si="281"/>
        <v/>
      </c>
      <c r="AK141" s="492" t="str">
        <f t="shared" si="282"/>
        <v>○</v>
      </c>
      <c r="AL141" s="492" t="str">
        <f t="shared" si="283"/>
        <v/>
      </c>
      <c r="AM141" s="492" t="str">
        <f t="shared" si="284"/>
        <v/>
      </c>
      <c r="AN141" s="492" t="str">
        <f t="shared" si="285"/>
        <v/>
      </c>
      <c r="AO141" s="492" t="str">
        <f t="shared" si="286"/>
        <v/>
      </c>
      <c r="AP141" s="492" t="str">
        <f t="shared" si="287"/>
        <v/>
      </c>
      <c r="AQ141" s="492" t="str">
        <f t="shared" si="288"/>
        <v/>
      </c>
      <c r="AR141" s="492" t="str">
        <f t="shared" si="289"/>
        <v/>
      </c>
      <c r="AS141" s="492" t="str">
        <f t="shared" si="290"/>
        <v/>
      </c>
      <c r="AT141" s="492" t="str">
        <f t="shared" si="291"/>
        <v/>
      </c>
      <c r="AU141" s="492" t="str">
        <f t="shared" si="292"/>
        <v/>
      </c>
      <c r="AV141" s="492" t="str">
        <f t="shared" si="293"/>
        <v/>
      </c>
      <c r="AW141" s="492" t="str">
        <f t="shared" si="294"/>
        <v/>
      </c>
      <c r="AX141" s="492" t="str">
        <f t="shared" si="295"/>
        <v/>
      </c>
      <c r="AY141" s="492" t="str">
        <f t="shared" si="296"/>
        <v/>
      </c>
      <c r="AZ141" s="492" t="str">
        <f t="shared" si="297"/>
        <v/>
      </c>
      <c r="BA141" s="492" t="str">
        <f t="shared" si="298"/>
        <v/>
      </c>
      <c r="BB141" s="492" t="str">
        <f t="shared" si="299"/>
        <v/>
      </c>
      <c r="BC141" s="492" t="str">
        <f t="shared" si="300"/>
        <v/>
      </c>
      <c r="BD141" s="492" t="str">
        <f t="shared" si="301"/>
        <v/>
      </c>
      <c r="BE141" s="492" t="str">
        <f t="shared" si="302"/>
        <v/>
      </c>
      <c r="BF141" s="492" t="str">
        <f t="shared" si="303"/>
        <v/>
      </c>
      <c r="BG141" s="492" t="str">
        <f t="shared" si="304"/>
        <v/>
      </c>
      <c r="BH141" s="492" t="str">
        <f t="shared" si="305"/>
        <v/>
      </c>
      <c r="BI141" s="492" t="str">
        <f t="shared" si="306"/>
        <v/>
      </c>
      <c r="BJ141" s="492" t="str">
        <f t="shared" si="307"/>
        <v/>
      </c>
      <c r="BK141" s="492" t="str">
        <f t="shared" si="308"/>
        <v/>
      </c>
      <c r="BL141" s="492" t="str">
        <f t="shared" si="309"/>
        <v/>
      </c>
      <c r="BM141" s="492" t="str">
        <f t="shared" si="310"/>
        <v/>
      </c>
      <c r="BN141" s="492" t="str">
        <f t="shared" si="311"/>
        <v/>
      </c>
      <c r="BO141" s="492" t="str">
        <f t="shared" si="312"/>
        <v/>
      </c>
      <c r="BP141" s="492" t="str">
        <f t="shared" si="313"/>
        <v/>
      </c>
      <c r="BQ141" s="492" t="str">
        <f t="shared" si="314"/>
        <v/>
      </c>
      <c r="BR141" s="492" t="str">
        <f t="shared" si="315"/>
        <v/>
      </c>
      <c r="BS141" s="492" t="str">
        <f t="shared" si="316"/>
        <v/>
      </c>
      <c r="BT141" s="492" t="str">
        <f t="shared" si="317"/>
        <v/>
      </c>
      <c r="BU141" s="492" t="str">
        <f t="shared" si="318"/>
        <v/>
      </c>
      <c r="BV141" s="492" t="str">
        <f t="shared" si="319"/>
        <v/>
      </c>
      <c r="BW141" s="492" t="str">
        <f t="shared" si="320"/>
        <v/>
      </c>
      <c r="BX141" s="492" t="str">
        <f t="shared" si="321"/>
        <v/>
      </c>
      <c r="BY141" s="492" t="str">
        <f t="shared" si="322"/>
        <v/>
      </c>
      <c r="BZ141" s="492" t="str">
        <f t="shared" si="323"/>
        <v/>
      </c>
      <c r="CA141" s="492" t="str">
        <f t="shared" si="324"/>
        <v/>
      </c>
      <c r="CB141" s="492" t="str">
        <f t="shared" si="325"/>
        <v/>
      </c>
      <c r="CC141" s="492" t="str">
        <f t="shared" si="326"/>
        <v/>
      </c>
      <c r="CD141" s="492" t="str">
        <f t="shared" si="327"/>
        <v/>
      </c>
      <c r="CE141" s="492" t="str">
        <f t="shared" si="328"/>
        <v/>
      </c>
      <c r="CF141" s="492" t="str">
        <f t="shared" si="329"/>
        <v/>
      </c>
      <c r="CG141" s="492" t="str">
        <f t="shared" si="330"/>
        <v/>
      </c>
      <c r="CH141" s="492" t="str">
        <f t="shared" si="331"/>
        <v/>
      </c>
      <c r="CI141" s="492" t="str">
        <f t="shared" si="332"/>
        <v/>
      </c>
      <c r="CJ141" s="492" t="str">
        <f t="shared" si="333"/>
        <v/>
      </c>
      <c r="CK141" s="492" t="str">
        <f t="shared" si="334"/>
        <v/>
      </c>
      <c r="CL141" s="492" t="str">
        <f t="shared" si="335"/>
        <v/>
      </c>
      <c r="CM141" s="492" t="str">
        <f t="shared" si="336"/>
        <v/>
      </c>
      <c r="CN141" s="492" t="str">
        <f t="shared" si="337"/>
        <v/>
      </c>
      <c r="CO141" s="492" t="str">
        <f t="shared" si="338"/>
        <v/>
      </c>
      <c r="CP141" s="492" t="str">
        <f t="shared" si="339"/>
        <v/>
      </c>
      <c r="CQ141" s="492" t="str">
        <f t="shared" si="207"/>
        <v/>
      </c>
      <c r="CR141" s="492" t="str">
        <f t="shared" si="208"/>
        <v/>
      </c>
      <c r="CS141" s="492" t="str">
        <f t="shared" si="209"/>
        <v/>
      </c>
      <c r="CT141" s="492" t="str">
        <f t="shared" si="210"/>
        <v/>
      </c>
      <c r="CU141" s="492" t="str">
        <f t="shared" si="211"/>
        <v/>
      </c>
      <c r="CV141" s="492" t="str">
        <f t="shared" si="212"/>
        <v/>
      </c>
      <c r="CW141" s="495">
        <v>1</v>
      </c>
      <c r="CX141" s="496"/>
      <c r="CY141" s="496"/>
      <c r="CZ141" s="496"/>
      <c r="DA141" s="496"/>
      <c r="DB141" s="496"/>
    </row>
    <row r="142" spans="1:106" ht="13.5" customHeight="1">
      <c r="A142" s="1232">
        <v>132</v>
      </c>
      <c r="B142" s="1233"/>
      <c r="C142" s="1230"/>
      <c r="D142" s="1234"/>
      <c r="E142" s="1231"/>
      <c r="F142" s="1230"/>
      <c r="G142" s="1234"/>
      <c r="H142" s="1231"/>
      <c r="I142" s="1230"/>
      <c r="J142" s="1231"/>
      <c r="K142" s="1290"/>
      <c r="L142" s="1291"/>
      <c r="M142" s="1290"/>
      <c r="N142" s="1291"/>
      <c r="O142" s="1290"/>
      <c r="P142" s="1291"/>
      <c r="Q142" s="1230"/>
      <c r="R142" s="1231"/>
      <c r="S142" s="1230"/>
      <c r="T142" s="1231"/>
      <c r="U142" s="1228"/>
      <c r="V142" s="1229"/>
      <c r="W142" s="1230"/>
      <c r="X142" s="1231"/>
      <c r="Y142" s="1226"/>
      <c r="Z142" s="1227"/>
      <c r="AA142" s="1275"/>
      <c r="AB142" s="1275"/>
      <c r="AC142" s="1212" t="str">
        <f t="shared" ref="AC142:AC154" si="340">IF(S142="","",IF(AND(M142="標準",S142="○",O142=""),"※下表に記載必要箇所あり(①)",IF(AND(M142="標準",S142="○",O142="分園"),"※下表に記載必要箇所あり(③)",IF(AND(M142="短時間",S142="○",O142=""),"※下表に記載必要箇所あり(②)","※下表に記載必要箇所あり(④)"))))</f>
        <v/>
      </c>
      <c r="AD142" s="1213"/>
      <c r="AE142" s="1213"/>
      <c r="AF142" s="1213"/>
      <c r="AG142" s="492" t="str">
        <f t="shared" si="278"/>
        <v/>
      </c>
      <c r="AH142" s="466" t="str">
        <f t="shared" si="279"/>
        <v/>
      </c>
      <c r="AI142" s="466" t="str">
        <f t="shared" si="280"/>
        <v/>
      </c>
      <c r="AJ142" s="466" t="str">
        <f t="shared" si="281"/>
        <v/>
      </c>
      <c r="AK142" s="492" t="str">
        <f t="shared" si="282"/>
        <v>○</v>
      </c>
      <c r="AL142" s="492" t="str">
        <f t="shared" si="283"/>
        <v/>
      </c>
      <c r="AM142" s="492" t="str">
        <f t="shared" si="284"/>
        <v/>
      </c>
      <c r="AN142" s="492" t="str">
        <f t="shared" si="285"/>
        <v/>
      </c>
      <c r="AO142" s="492" t="str">
        <f t="shared" si="286"/>
        <v/>
      </c>
      <c r="AP142" s="492" t="str">
        <f t="shared" si="287"/>
        <v/>
      </c>
      <c r="AQ142" s="492" t="str">
        <f t="shared" si="288"/>
        <v/>
      </c>
      <c r="AR142" s="492" t="str">
        <f t="shared" si="289"/>
        <v/>
      </c>
      <c r="AS142" s="492" t="str">
        <f t="shared" si="290"/>
        <v/>
      </c>
      <c r="AT142" s="492" t="str">
        <f t="shared" si="291"/>
        <v/>
      </c>
      <c r="AU142" s="492" t="str">
        <f t="shared" si="292"/>
        <v/>
      </c>
      <c r="AV142" s="492" t="str">
        <f t="shared" si="293"/>
        <v/>
      </c>
      <c r="AW142" s="492" t="str">
        <f t="shared" si="294"/>
        <v/>
      </c>
      <c r="AX142" s="492" t="str">
        <f t="shared" si="295"/>
        <v/>
      </c>
      <c r="AY142" s="492" t="str">
        <f t="shared" si="296"/>
        <v/>
      </c>
      <c r="AZ142" s="492" t="str">
        <f t="shared" si="297"/>
        <v/>
      </c>
      <c r="BA142" s="492" t="str">
        <f t="shared" si="298"/>
        <v/>
      </c>
      <c r="BB142" s="492" t="str">
        <f t="shared" si="299"/>
        <v/>
      </c>
      <c r="BC142" s="492" t="str">
        <f t="shared" si="300"/>
        <v/>
      </c>
      <c r="BD142" s="492" t="str">
        <f t="shared" si="301"/>
        <v/>
      </c>
      <c r="BE142" s="492" t="str">
        <f t="shared" si="302"/>
        <v/>
      </c>
      <c r="BF142" s="492" t="str">
        <f t="shared" si="303"/>
        <v/>
      </c>
      <c r="BG142" s="492" t="str">
        <f t="shared" si="304"/>
        <v/>
      </c>
      <c r="BH142" s="492" t="str">
        <f t="shared" si="305"/>
        <v/>
      </c>
      <c r="BI142" s="492" t="str">
        <f t="shared" si="306"/>
        <v/>
      </c>
      <c r="BJ142" s="492" t="str">
        <f t="shared" si="307"/>
        <v/>
      </c>
      <c r="BK142" s="492" t="str">
        <f t="shared" si="308"/>
        <v/>
      </c>
      <c r="BL142" s="492" t="str">
        <f t="shared" si="309"/>
        <v/>
      </c>
      <c r="BM142" s="492" t="str">
        <f t="shared" si="310"/>
        <v/>
      </c>
      <c r="BN142" s="492" t="str">
        <f t="shared" si="311"/>
        <v/>
      </c>
      <c r="BO142" s="492" t="str">
        <f t="shared" si="312"/>
        <v/>
      </c>
      <c r="BP142" s="492" t="str">
        <f t="shared" si="313"/>
        <v/>
      </c>
      <c r="BQ142" s="492" t="str">
        <f t="shared" si="314"/>
        <v/>
      </c>
      <c r="BR142" s="492" t="str">
        <f t="shared" si="315"/>
        <v/>
      </c>
      <c r="BS142" s="492" t="str">
        <f t="shared" si="316"/>
        <v/>
      </c>
      <c r="BT142" s="492" t="str">
        <f t="shared" si="317"/>
        <v/>
      </c>
      <c r="BU142" s="492" t="str">
        <f t="shared" si="318"/>
        <v/>
      </c>
      <c r="BV142" s="492" t="str">
        <f t="shared" si="319"/>
        <v/>
      </c>
      <c r="BW142" s="492" t="str">
        <f t="shared" si="320"/>
        <v/>
      </c>
      <c r="BX142" s="492" t="str">
        <f t="shared" si="321"/>
        <v/>
      </c>
      <c r="BY142" s="492" t="str">
        <f t="shared" si="322"/>
        <v/>
      </c>
      <c r="BZ142" s="492" t="str">
        <f t="shared" si="323"/>
        <v/>
      </c>
      <c r="CA142" s="492" t="str">
        <f t="shared" si="324"/>
        <v/>
      </c>
      <c r="CB142" s="492" t="str">
        <f t="shared" si="325"/>
        <v/>
      </c>
      <c r="CC142" s="492" t="str">
        <f t="shared" si="326"/>
        <v/>
      </c>
      <c r="CD142" s="492" t="str">
        <f t="shared" si="327"/>
        <v/>
      </c>
      <c r="CE142" s="492" t="str">
        <f t="shared" si="328"/>
        <v/>
      </c>
      <c r="CF142" s="492" t="str">
        <f t="shared" si="329"/>
        <v/>
      </c>
      <c r="CG142" s="492" t="str">
        <f t="shared" si="330"/>
        <v/>
      </c>
      <c r="CH142" s="492" t="str">
        <f t="shared" si="331"/>
        <v/>
      </c>
      <c r="CI142" s="492" t="str">
        <f t="shared" si="332"/>
        <v/>
      </c>
      <c r="CJ142" s="492" t="str">
        <f t="shared" si="333"/>
        <v/>
      </c>
      <c r="CK142" s="492" t="str">
        <f t="shared" si="334"/>
        <v/>
      </c>
      <c r="CL142" s="492" t="str">
        <f t="shared" si="335"/>
        <v/>
      </c>
      <c r="CM142" s="492" t="str">
        <f t="shared" si="336"/>
        <v/>
      </c>
      <c r="CN142" s="492" t="str">
        <f t="shared" si="337"/>
        <v/>
      </c>
      <c r="CO142" s="492" t="str">
        <f t="shared" si="338"/>
        <v/>
      </c>
      <c r="CP142" s="492" t="str">
        <f t="shared" si="339"/>
        <v/>
      </c>
      <c r="CQ142" s="492" t="str">
        <f t="shared" si="207"/>
        <v/>
      </c>
      <c r="CR142" s="492" t="str">
        <f t="shared" si="208"/>
        <v/>
      </c>
      <c r="CS142" s="492" t="str">
        <f t="shared" si="209"/>
        <v/>
      </c>
      <c r="CT142" s="492" t="str">
        <f t="shared" si="210"/>
        <v/>
      </c>
      <c r="CU142" s="492" t="str">
        <f t="shared" si="211"/>
        <v/>
      </c>
      <c r="CV142" s="492" t="str">
        <f t="shared" si="212"/>
        <v/>
      </c>
      <c r="CW142" s="495">
        <v>1</v>
      </c>
      <c r="CX142" s="496"/>
      <c r="CY142" s="496"/>
      <c r="CZ142" s="496"/>
      <c r="DA142" s="496"/>
      <c r="DB142" s="496"/>
    </row>
    <row r="143" spans="1:106" ht="13.5" customHeight="1">
      <c r="A143" s="1232">
        <v>133</v>
      </c>
      <c r="B143" s="1233"/>
      <c r="C143" s="1230"/>
      <c r="D143" s="1234"/>
      <c r="E143" s="1231"/>
      <c r="F143" s="1230"/>
      <c r="G143" s="1234"/>
      <c r="H143" s="1231"/>
      <c r="I143" s="1230"/>
      <c r="J143" s="1231"/>
      <c r="K143" s="1290"/>
      <c r="L143" s="1291"/>
      <c r="M143" s="1290"/>
      <c r="N143" s="1291"/>
      <c r="O143" s="1290"/>
      <c r="P143" s="1291"/>
      <c r="Q143" s="1230"/>
      <c r="R143" s="1231"/>
      <c r="S143" s="1230"/>
      <c r="T143" s="1231"/>
      <c r="U143" s="1228"/>
      <c r="V143" s="1229"/>
      <c r="W143" s="1230"/>
      <c r="X143" s="1231"/>
      <c r="Y143" s="1226"/>
      <c r="Z143" s="1227"/>
      <c r="AA143" s="1275"/>
      <c r="AB143" s="1275"/>
      <c r="AC143" s="1212" t="str">
        <f t="shared" si="340"/>
        <v/>
      </c>
      <c r="AD143" s="1213"/>
      <c r="AE143" s="1213"/>
      <c r="AF143" s="1213"/>
      <c r="AG143" s="492" t="str">
        <f t="shared" si="278"/>
        <v/>
      </c>
      <c r="AH143" s="466" t="str">
        <f t="shared" si="279"/>
        <v/>
      </c>
      <c r="AI143" s="466" t="str">
        <f t="shared" si="280"/>
        <v/>
      </c>
      <c r="AJ143" s="466" t="str">
        <f t="shared" si="281"/>
        <v/>
      </c>
      <c r="AK143" s="492" t="str">
        <f t="shared" si="282"/>
        <v>○</v>
      </c>
      <c r="AL143" s="492" t="str">
        <f t="shared" si="283"/>
        <v/>
      </c>
      <c r="AM143" s="492" t="str">
        <f t="shared" si="284"/>
        <v/>
      </c>
      <c r="AN143" s="492" t="str">
        <f t="shared" si="285"/>
        <v/>
      </c>
      <c r="AO143" s="492" t="str">
        <f t="shared" si="286"/>
        <v/>
      </c>
      <c r="AP143" s="492" t="str">
        <f t="shared" si="287"/>
        <v/>
      </c>
      <c r="AQ143" s="492" t="str">
        <f t="shared" si="288"/>
        <v/>
      </c>
      <c r="AR143" s="492" t="str">
        <f t="shared" si="289"/>
        <v/>
      </c>
      <c r="AS143" s="492" t="str">
        <f t="shared" si="290"/>
        <v/>
      </c>
      <c r="AT143" s="492" t="str">
        <f t="shared" si="291"/>
        <v/>
      </c>
      <c r="AU143" s="492" t="str">
        <f t="shared" si="292"/>
        <v/>
      </c>
      <c r="AV143" s="492" t="str">
        <f t="shared" si="293"/>
        <v/>
      </c>
      <c r="AW143" s="492" t="str">
        <f t="shared" si="294"/>
        <v/>
      </c>
      <c r="AX143" s="492" t="str">
        <f t="shared" si="295"/>
        <v/>
      </c>
      <c r="AY143" s="492" t="str">
        <f t="shared" si="296"/>
        <v/>
      </c>
      <c r="AZ143" s="492" t="str">
        <f t="shared" si="297"/>
        <v/>
      </c>
      <c r="BA143" s="492" t="str">
        <f t="shared" si="298"/>
        <v/>
      </c>
      <c r="BB143" s="492" t="str">
        <f t="shared" si="299"/>
        <v/>
      </c>
      <c r="BC143" s="492" t="str">
        <f t="shared" si="300"/>
        <v/>
      </c>
      <c r="BD143" s="492" t="str">
        <f t="shared" si="301"/>
        <v/>
      </c>
      <c r="BE143" s="492" t="str">
        <f t="shared" si="302"/>
        <v/>
      </c>
      <c r="BF143" s="492" t="str">
        <f t="shared" si="303"/>
        <v/>
      </c>
      <c r="BG143" s="492" t="str">
        <f t="shared" si="304"/>
        <v/>
      </c>
      <c r="BH143" s="492" t="str">
        <f t="shared" si="305"/>
        <v/>
      </c>
      <c r="BI143" s="492" t="str">
        <f t="shared" si="306"/>
        <v/>
      </c>
      <c r="BJ143" s="492" t="str">
        <f t="shared" si="307"/>
        <v/>
      </c>
      <c r="BK143" s="492" t="str">
        <f t="shared" si="308"/>
        <v/>
      </c>
      <c r="BL143" s="492" t="str">
        <f t="shared" si="309"/>
        <v/>
      </c>
      <c r="BM143" s="492" t="str">
        <f t="shared" si="310"/>
        <v/>
      </c>
      <c r="BN143" s="492" t="str">
        <f t="shared" si="311"/>
        <v/>
      </c>
      <c r="BO143" s="492" t="str">
        <f t="shared" si="312"/>
        <v/>
      </c>
      <c r="BP143" s="492" t="str">
        <f t="shared" si="313"/>
        <v/>
      </c>
      <c r="BQ143" s="492" t="str">
        <f t="shared" si="314"/>
        <v/>
      </c>
      <c r="BR143" s="492" t="str">
        <f t="shared" si="315"/>
        <v/>
      </c>
      <c r="BS143" s="492" t="str">
        <f t="shared" si="316"/>
        <v/>
      </c>
      <c r="BT143" s="492" t="str">
        <f t="shared" si="317"/>
        <v/>
      </c>
      <c r="BU143" s="492" t="str">
        <f t="shared" si="318"/>
        <v/>
      </c>
      <c r="BV143" s="492" t="str">
        <f t="shared" si="319"/>
        <v/>
      </c>
      <c r="BW143" s="492" t="str">
        <f t="shared" si="320"/>
        <v/>
      </c>
      <c r="BX143" s="492" t="str">
        <f t="shared" si="321"/>
        <v/>
      </c>
      <c r="BY143" s="492" t="str">
        <f t="shared" si="322"/>
        <v/>
      </c>
      <c r="BZ143" s="492" t="str">
        <f t="shared" si="323"/>
        <v/>
      </c>
      <c r="CA143" s="492" t="str">
        <f t="shared" si="324"/>
        <v/>
      </c>
      <c r="CB143" s="492" t="str">
        <f t="shared" si="325"/>
        <v/>
      </c>
      <c r="CC143" s="492" t="str">
        <f t="shared" si="326"/>
        <v/>
      </c>
      <c r="CD143" s="492" t="str">
        <f t="shared" si="327"/>
        <v/>
      </c>
      <c r="CE143" s="492" t="str">
        <f t="shared" si="328"/>
        <v/>
      </c>
      <c r="CF143" s="492" t="str">
        <f t="shared" si="329"/>
        <v/>
      </c>
      <c r="CG143" s="492" t="str">
        <f t="shared" si="330"/>
        <v/>
      </c>
      <c r="CH143" s="492" t="str">
        <f t="shared" si="331"/>
        <v/>
      </c>
      <c r="CI143" s="492" t="str">
        <f t="shared" si="332"/>
        <v/>
      </c>
      <c r="CJ143" s="492" t="str">
        <f t="shared" si="333"/>
        <v/>
      </c>
      <c r="CK143" s="492" t="str">
        <f t="shared" si="334"/>
        <v/>
      </c>
      <c r="CL143" s="492" t="str">
        <f t="shared" si="335"/>
        <v/>
      </c>
      <c r="CM143" s="492" t="str">
        <f t="shared" si="336"/>
        <v/>
      </c>
      <c r="CN143" s="492" t="str">
        <f t="shared" si="337"/>
        <v/>
      </c>
      <c r="CO143" s="492" t="str">
        <f t="shared" si="338"/>
        <v/>
      </c>
      <c r="CP143" s="492" t="str">
        <f t="shared" si="339"/>
        <v/>
      </c>
      <c r="CQ143" s="492" t="str">
        <f t="shared" si="207"/>
        <v/>
      </c>
      <c r="CR143" s="492" t="str">
        <f t="shared" si="208"/>
        <v/>
      </c>
      <c r="CS143" s="492" t="str">
        <f t="shared" si="209"/>
        <v/>
      </c>
      <c r="CT143" s="492" t="str">
        <f t="shared" si="210"/>
        <v/>
      </c>
      <c r="CU143" s="492" t="str">
        <f t="shared" si="211"/>
        <v/>
      </c>
      <c r="CV143" s="492" t="str">
        <f t="shared" si="212"/>
        <v/>
      </c>
      <c r="CW143" s="495">
        <v>1</v>
      </c>
      <c r="CX143" s="496"/>
      <c r="CY143" s="496"/>
      <c r="CZ143" s="496"/>
      <c r="DA143" s="496"/>
      <c r="DB143" s="496"/>
    </row>
    <row r="144" spans="1:106" ht="13.5" customHeight="1">
      <c r="A144" s="1232">
        <v>134</v>
      </c>
      <c r="B144" s="1233"/>
      <c r="C144" s="1230"/>
      <c r="D144" s="1234"/>
      <c r="E144" s="1231"/>
      <c r="F144" s="1230"/>
      <c r="G144" s="1234"/>
      <c r="H144" s="1231"/>
      <c r="I144" s="1230"/>
      <c r="J144" s="1231"/>
      <c r="K144" s="1290"/>
      <c r="L144" s="1291"/>
      <c r="M144" s="1290"/>
      <c r="N144" s="1291"/>
      <c r="O144" s="1290"/>
      <c r="P144" s="1291"/>
      <c r="Q144" s="1230"/>
      <c r="R144" s="1231"/>
      <c r="S144" s="1230"/>
      <c r="T144" s="1231"/>
      <c r="U144" s="1228"/>
      <c r="V144" s="1229"/>
      <c r="W144" s="1230"/>
      <c r="X144" s="1231"/>
      <c r="Y144" s="1226"/>
      <c r="Z144" s="1227"/>
      <c r="AA144" s="1275"/>
      <c r="AB144" s="1275"/>
      <c r="AC144" s="1212" t="str">
        <f t="shared" si="340"/>
        <v/>
      </c>
      <c r="AD144" s="1213"/>
      <c r="AE144" s="1213"/>
      <c r="AF144" s="1213"/>
      <c r="AG144" s="492" t="str">
        <f t="shared" si="278"/>
        <v/>
      </c>
      <c r="AH144" s="466" t="str">
        <f t="shared" si="279"/>
        <v/>
      </c>
      <c r="AI144" s="466" t="str">
        <f t="shared" si="280"/>
        <v/>
      </c>
      <c r="AJ144" s="466" t="str">
        <f t="shared" si="281"/>
        <v/>
      </c>
      <c r="AK144" s="492" t="str">
        <f t="shared" si="282"/>
        <v>○</v>
      </c>
      <c r="AL144" s="492" t="str">
        <f t="shared" si="283"/>
        <v/>
      </c>
      <c r="AM144" s="492" t="str">
        <f t="shared" si="284"/>
        <v/>
      </c>
      <c r="AN144" s="492" t="str">
        <f t="shared" si="285"/>
        <v/>
      </c>
      <c r="AO144" s="492" t="str">
        <f t="shared" si="286"/>
        <v/>
      </c>
      <c r="AP144" s="492" t="str">
        <f t="shared" si="287"/>
        <v/>
      </c>
      <c r="AQ144" s="492" t="str">
        <f t="shared" si="288"/>
        <v/>
      </c>
      <c r="AR144" s="492" t="str">
        <f t="shared" si="289"/>
        <v/>
      </c>
      <c r="AS144" s="492" t="str">
        <f t="shared" si="290"/>
        <v/>
      </c>
      <c r="AT144" s="492" t="str">
        <f t="shared" si="291"/>
        <v/>
      </c>
      <c r="AU144" s="492" t="str">
        <f t="shared" si="292"/>
        <v/>
      </c>
      <c r="AV144" s="492" t="str">
        <f t="shared" si="293"/>
        <v/>
      </c>
      <c r="AW144" s="492" t="str">
        <f t="shared" si="294"/>
        <v/>
      </c>
      <c r="AX144" s="492" t="str">
        <f t="shared" si="295"/>
        <v/>
      </c>
      <c r="AY144" s="492" t="str">
        <f t="shared" si="296"/>
        <v/>
      </c>
      <c r="AZ144" s="492" t="str">
        <f t="shared" si="297"/>
        <v/>
      </c>
      <c r="BA144" s="492" t="str">
        <f t="shared" si="298"/>
        <v/>
      </c>
      <c r="BB144" s="492" t="str">
        <f t="shared" si="299"/>
        <v/>
      </c>
      <c r="BC144" s="492" t="str">
        <f t="shared" si="300"/>
        <v/>
      </c>
      <c r="BD144" s="492" t="str">
        <f t="shared" si="301"/>
        <v/>
      </c>
      <c r="BE144" s="492" t="str">
        <f t="shared" si="302"/>
        <v/>
      </c>
      <c r="BF144" s="492" t="str">
        <f t="shared" si="303"/>
        <v/>
      </c>
      <c r="BG144" s="492" t="str">
        <f t="shared" si="304"/>
        <v/>
      </c>
      <c r="BH144" s="492" t="str">
        <f t="shared" si="305"/>
        <v/>
      </c>
      <c r="BI144" s="492" t="str">
        <f t="shared" si="306"/>
        <v/>
      </c>
      <c r="BJ144" s="492" t="str">
        <f t="shared" si="307"/>
        <v/>
      </c>
      <c r="BK144" s="492" t="str">
        <f t="shared" si="308"/>
        <v/>
      </c>
      <c r="BL144" s="492" t="str">
        <f t="shared" si="309"/>
        <v/>
      </c>
      <c r="BM144" s="492" t="str">
        <f t="shared" si="310"/>
        <v/>
      </c>
      <c r="BN144" s="492" t="str">
        <f t="shared" si="311"/>
        <v/>
      </c>
      <c r="BO144" s="492" t="str">
        <f t="shared" si="312"/>
        <v/>
      </c>
      <c r="BP144" s="492" t="str">
        <f t="shared" si="313"/>
        <v/>
      </c>
      <c r="BQ144" s="492" t="str">
        <f t="shared" si="314"/>
        <v/>
      </c>
      <c r="BR144" s="492" t="str">
        <f t="shared" si="315"/>
        <v/>
      </c>
      <c r="BS144" s="492" t="str">
        <f t="shared" si="316"/>
        <v/>
      </c>
      <c r="BT144" s="492" t="str">
        <f t="shared" si="317"/>
        <v/>
      </c>
      <c r="BU144" s="492" t="str">
        <f t="shared" si="318"/>
        <v/>
      </c>
      <c r="BV144" s="492" t="str">
        <f t="shared" si="319"/>
        <v/>
      </c>
      <c r="BW144" s="492" t="str">
        <f t="shared" si="320"/>
        <v/>
      </c>
      <c r="BX144" s="492" t="str">
        <f t="shared" si="321"/>
        <v/>
      </c>
      <c r="BY144" s="492" t="str">
        <f t="shared" si="322"/>
        <v/>
      </c>
      <c r="BZ144" s="492" t="str">
        <f t="shared" si="323"/>
        <v/>
      </c>
      <c r="CA144" s="492" t="str">
        <f t="shared" si="324"/>
        <v/>
      </c>
      <c r="CB144" s="492" t="str">
        <f t="shared" si="325"/>
        <v/>
      </c>
      <c r="CC144" s="492" t="str">
        <f t="shared" si="326"/>
        <v/>
      </c>
      <c r="CD144" s="492" t="str">
        <f t="shared" si="327"/>
        <v/>
      </c>
      <c r="CE144" s="492" t="str">
        <f t="shared" si="328"/>
        <v/>
      </c>
      <c r="CF144" s="492" t="str">
        <f t="shared" si="329"/>
        <v/>
      </c>
      <c r="CG144" s="492" t="str">
        <f t="shared" si="330"/>
        <v/>
      </c>
      <c r="CH144" s="492" t="str">
        <f t="shared" si="331"/>
        <v/>
      </c>
      <c r="CI144" s="492" t="str">
        <f t="shared" si="332"/>
        <v/>
      </c>
      <c r="CJ144" s="492" t="str">
        <f t="shared" si="333"/>
        <v/>
      </c>
      <c r="CK144" s="492" t="str">
        <f t="shared" si="334"/>
        <v/>
      </c>
      <c r="CL144" s="492" t="str">
        <f t="shared" si="335"/>
        <v/>
      </c>
      <c r="CM144" s="492" t="str">
        <f t="shared" si="336"/>
        <v/>
      </c>
      <c r="CN144" s="492" t="str">
        <f t="shared" si="337"/>
        <v/>
      </c>
      <c r="CO144" s="492" t="str">
        <f t="shared" si="338"/>
        <v/>
      </c>
      <c r="CP144" s="492" t="str">
        <f t="shared" si="339"/>
        <v/>
      </c>
      <c r="CQ144" s="492" t="str">
        <f t="shared" si="207"/>
        <v/>
      </c>
      <c r="CR144" s="492" t="str">
        <f t="shared" si="208"/>
        <v/>
      </c>
      <c r="CS144" s="492" t="str">
        <f t="shared" si="209"/>
        <v/>
      </c>
      <c r="CT144" s="492" t="str">
        <f t="shared" si="210"/>
        <v/>
      </c>
      <c r="CU144" s="492" t="str">
        <f t="shared" si="211"/>
        <v/>
      </c>
      <c r="CV144" s="492" t="str">
        <f t="shared" si="212"/>
        <v/>
      </c>
      <c r="CW144" s="495">
        <v>1</v>
      </c>
      <c r="CX144" s="496"/>
      <c r="CY144" s="496"/>
      <c r="CZ144" s="496"/>
      <c r="DA144" s="496"/>
      <c r="DB144" s="496"/>
    </row>
    <row r="145" spans="1:106" ht="13.5" customHeight="1">
      <c r="A145" s="1232">
        <v>135</v>
      </c>
      <c r="B145" s="1233"/>
      <c r="C145" s="1230"/>
      <c r="D145" s="1234"/>
      <c r="E145" s="1231"/>
      <c r="F145" s="1230"/>
      <c r="G145" s="1234"/>
      <c r="H145" s="1231"/>
      <c r="I145" s="1230"/>
      <c r="J145" s="1231"/>
      <c r="K145" s="1290"/>
      <c r="L145" s="1291"/>
      <c r="M145" s="1290"/>
      <c r="N145" s="1291"/>
      <c r="O145" s="1290"/>
      <c r="P145" s="1291"/>
      <c r="Q145" s="1230"/>
      <c r="R145" s="1231"/>
      <c r="S145" s="1230"/>
      <c r="T145" s="1231"/>
      <c r="U145" s="1228"/>
      <c r="V145" s="1229"/>
      <c r="W145" s="1230"/>
      <c r="X145" s="1231"/>
      <c r="Y145" s="1226"/>
      <c r="Z145" s="1227"/>
      <c r="AA145" s="1275"/>
      <c r="AB145" s="1275"/>
      <c r="AC145" s="1212" t="str">
        <f t="shared" si="340"/>
        <v/>
      </c>
      <c r="AD145" s="1213"/>
      <c r="AE145" s="1213"/>
      <c r="AF145" s="1213"/>
      <c r="AG145" s="492" t="str">
        <f t="shared" si="278"/>
        <v/>
      </c>
      <c r="AH145" s="466" t="str">
        <f t="shared" si="279"/>
        <v/>
      </c>
      <c r="AI145" s="466" t="str">
        <f t="shared" si="280"/>
        <v/>
      </c>
      <c r="AJ145" s="466" t="str">
        <f t="shared" si="281"/>
        <v/>
      </c>
      <c r="AK145" s="492" t="str">
        <f t="shared" si="282"/>
        <v>○</v>
      </c>
      <c r="AL145" s="492" t="str">
        <f t="shared" si="283"/>
        <v/>
      </c>
      <c r="AM145" s="492" t="str">
        <f t="shared" si="284"/>
        <v/>
      </c>
      <c r="AN145" s="492" t="str">
        <f t="shared" si="285"/>
        <v/>
      </c>
      <c r="AO145" s="492" t="str">
        <f t="shared" si="286"/>
        <v/>
      </c>
      <c r="AP145" s="492" t="str">
        <f t="shared" si="287"/>
        <v/>
      </c>
      <c r="AQ145" s="492" t="str">
        <f t="shared" si="288"/>
        <v/>
      </c>
      <c r="AR145" s="492" t="str">
        <f t="shared" si="289"/>
        <v/>
      </c>
      <c r="AS145" s="492" t="str">
        <f t="shared" si="290"/>
        <v/>
      </c>
      <c r="AT145" s="492" t="str">
        <f t="shared" si="291"/>
        <v/>
      </c>
      <c r="AU145" s="492" t="str">
        <f t="shared" si="292"/>
        <v/>
      </c>
      <c r="AV145" s="492" t="str">
        <f t="shared" si="293"/>
        <v/>
      </c>
      <c r="AW145" s="492" t="str">
        <f t="shared" si="294"/>
        <v/>
      </c>
      <c r="AX145" s="492" t="str">
        <f t="shared" si="295"/>
        <v/>
      </c>
      <c r="AY145" s="492" t="str">
        <f t="shared" si="296"/>
        <v/>
      </c>
      <c r="AZ145" s="492" t="str">
        <f t="shared" si="297"/>
        <v/>
      </c>
      <c r="BA145" s="492" t="str">
        <f t="shared" si="298"/>
        <v/>
      </c>
      <c r="BB145" s="492" t="str">
        <f t="shared" si="299"/>
        <v/>
      </c>
      <c r="BC145" s="492" t="str">
        <f t="shared" si="300"/>
        <v/>
      </c>
      <c r="BD145" s="492" t="str">
        <f t="shared" si="301"/>
        <v/>
      </c>
      <c r="BE145" s="492" t="str">
        <f t="shared" si="302"/>
        <v/>
      </c>
      <c r="BF145" s="492" t="str">
        <f t="shared" si="303"/>
        <v/>
      </c>
      <c r="BG145" s="492" t="str">
        <f t="shared" si="304"/>
        <v/>
      </c>
      <c r="BH145" s="492" t="str">
        <f t="shared" si="305"/>
        <v/>
      </c>
      <c r="BI145" s="492" t="str">
        <f t="shared" si="306"/>
        <v/>
      </c>
      <c r="BJ145" s="492" t="str">
        <f t="shared" si="307"/>
        <v/>
      </c>
      <c r="BK145" s="492" t="str">
        <f t="shared" si="308"/>
        <v/>
      </c>
      <c r="BL145" s="492" t="str">
        <f t="shared" si="309"/>
        <v/>
      </c>
      <c r="BM145" s="492" t="str">
        <f t="shared" si="310"/>
        <v/>
      </c>
      <c r="BN145" s="492" t="str">
        <f t="shared" si="311"/>
        <v/>
      </c>
      <c r="BO145" s="492" t="str">
        <f t="shared" si="312"/>
        <v/>
      </c>
      <c r="BP145" s="492" t="str">
        <f t="shared" si="313"/>
        <v/>
      </c>
      <c r="BQ145" s="492" t="str">
        <f t="shared" si="314"/>
        <v/>
      </c>
      <c r="BR145" s="492" t="str">
        <f t="shared" si="315"/>
        <v/>
      </c>
      <c r="BS145" s="492" t="str">
        <f t="shared" si="316"/>
        <v/>
      </c>
      <c r="BT145" s="492" t="str">
        <f t="shared" si="317"/>
        <v/>
      </c>
      <c r="BU145" s="492" t="str">
        <f t="shared" si="318"/>
        <v/>
      </c>
      <c r="BV145" s="492" t="str">
        <f t="shared" si="319"/>
        <v/>
      </c>
      <c r="BW145" s="492" t="str">
        <f t="shared" si="320"/>
        <v/>
      </c>
      <c r="BX145" s="492" t="str">
        <f t="shared" si="321"/>
        <v/>
      </c>
      <c r="BY145" s="492" t="str">
        <f t="shared" si="322"/>
        <v/>
      </c>
      <c r="BZ145" s="492" t="str">
        <f t="shared" si="323"/>
        <v/>
      </c>
      <c r="CA145" s="492" t="str">
        <f t="shared" si="324"/>
        <v/>
      </c>
      <c r="CB145" s="492" t="str">
        <f t="shared" si="325"/>
        <v/>
      </c>
      <c r="CC145" s="492" t="str">
        <f t="shared" si="326"/>
        <v/>
      </c>
      <c r="CD145" s="492" t="str">
        <f t="shared" si="327"/>
        <v/>
      </c>
      <c r="CE145" s="492" t="str">
        <f t="shared" si="328"/>
        <v/>
      </c>
      <c r="CF145" s="492" t="str">
        <f t="shared" si="329"/>
        <v/>
      </c>
      <c r="CG145" s="492" t="str">
        <f t="shared" si="330"/>
        <v/>
      </c>
      <c r="CH145" s="492" t="str">
        <f t="shared" si="331"/>
        <v/>
      </c>
      <c r="CI145" s="492" t="str">
        <f t="shared" si="332"/>
        <v/>
      </c>
      <c r="CJ145" s="492" t="str">
        <f t="shared" si="333"/>
        <v/>
      </c>
      <c r="CK145" s="492" t="str">
        <f t="shared" si="334"/>
        <v/>
      </c>
      <c r="CL145" s="492" t="str">
        <f t="shared" si="335"/>
        <v/>
      </c>
      <c r="CM145" s="492" t="str">
        <f t="shared" si="336"/>
        <v/>
      </c>
      <c r="CN145" s="492" t="str">
        <f t="shared" si="337"/>
        <v/>
      </c>
      <c r="CO145" s="492" t="str">
        <f t="shared" si="338"/>
        <v/>
      </c>
      <c r="CP145" s="492" t="str">
        <f t="shared" si="339"/>
        <v/>
      </c>
      <c r="CQ145" s="492" t="str">
        <f t="shared" si="207"/>
        <v/>
      </c>
      <c r="CR145" s="492" t="str">
        <f t="shared" si="208"/>
        <v/>
      </c>
      <c r="CS145" s="492" t="str">
        <f t="shared" si="209"/>
        <v/>
      </c>
      <c r="CT145" s="492" t="str">
        <f t="shared" si="210"/>
        <v/>
      </c>
      <c r="CU145" s="492" t="str">
        <f t="shared" si="211"/>
        <v/>
      </c>
      <c r="CV145" s="492" t="str">
        <f t="shared" si="212"/>
        <v/>
      </c>
      <c r="CW145" s="495">
        <v>1</v>
      </c>
      <c r="CX145" s="496"/>
      <c r="CY145" s="496"/>
      <c r="CZ145" s="496"/>
      <c r="DA145" s="496"/>
      <c r="DB145" s="496"/>
    </row>
    <row r="146" spans="1:106" ht="13.5" customHeight="1">
      <c r="A146" s="1232">
        <v>136</v>
      </c>
      <c r="B146" s="1233"/>
      <c r="C146" s="1230"/>
      <c r="D146" s="1234"/>
      <c r="E146" s="1231"/>
      <c r="F146" s="1230"/>
      <c r="G146" s="1234"/>
      <c r="H146" s="1231"/>
      <c r="I146" s="1230"/>
      <c r="J146" s="1231"/>
      <c r="K146" s="1290"/>
      <c r="L146" s="1291"/>
      <c r="M146" s="1290"/>
      <c r="N146" s="1291"/>
      <c r="O146" s="1290"/>
      <c r="P146" s="1291"/>
      <c r="Q146" s="1230"/>
      <c r="R146" s="1231"/>
      <c r="S146" s="1230"/>
      <c r="T146" s="1231"/>
      <c r="U146" s="1228"/>
      <c r="V146" s="1229"/>
      <c r="W146" s="1230"/>
      <c r="X146" s="1231"/>
      <c r="Y146" s="1226"/>
      <c r="Z146" s="1227"/>
      <c r="AA146" s="1275"/>
      <c r="AB146" s="1275"/>
      <c r="AC146" s="1212" t="str">
        <f t="shared" si="340"/>
        <v/>
      </c>
      <c r="AD146" s="1213"/>
      <c r="AE146" s="1213"/>
      <c r="AF146" s="1213"/>
      <c r="AG146" s="492" t="str">
        <f t="shared" si="278"/>
        <v/>
      </c>
      <c r="AH146" s="466" t="str">
        <f t="shared" si="279"/>
        <v/>
      </c>
      <c r="AI146" s="466" t="str">
        <f t="shared" si="280"/>
        <v/>
      </c>
      <c r="AJ146" s="466" t="str">
        <f t="shared" si="281"/>
        <v/>
      </c>
      <c r="AK146" s="492" t="str">
        <f t="shared" si="282"/>
        <v>○</v>
      </c>
      <c r="AL146" s="492" t="str">
        <f t="shared" si="283"/>
        <v/>
      </c>
      <c r="AM146" s="492" t="str">
        <f t="shared" si="284"/>
        <v/>
      </c>
      <c r="AN146" s="492" t="str">
        <f t="shared" si="285"/>
        <v/>
      </c>
      <c r="AO146" s="492" t="str">
        <f t="shared" si="286"/>
        <v/>
      </c>
      <c r="AP146" s="492" t="str">
        <f t="shared" si="287"/>
        <v/>
      </c>
      <c r="AQ146" s="492" t="str">
        <f t="shared" si="288"/>
        <v/>
      </c>
      <c r="AR146" s="492" t="str">
        <f t="shared" si="289"/>
        <v/>
      </c>
      <c r="AS146" s="492" t="str">
        <f t="shared" si="290"/>
        <v/>
      </c>
      <c r="AT146" s="492" t="str">
        <f t="shared" si="291"/>
        <v/>
      </c>
      <c r="AU146" s="492" t="str">
        <f t="shared" si="292"/>
        <v/>
      </c>
      <c r="AV146" s="492" t="str">
        <f t="shared" si="293"/>
        <v/>
      </c>
      <c r="AW146" s="492" t="str">
        <f t="shared" si="294"/>
        <v/>
      </c>
      <c r="AX146" s="492" t="str">
        <f t="shared" si="295"/>
        <v/>
      </c>
      <c r="AY146" s="492" t="str">
        <f t="shared" si="296"/>
        <v/>
      </c>
      <c r="AZ146" s="492" t="str">
        <f t="shared" si="297"/>
        <v/>
      </c>
      <c r="BA146" s="492" t="str">
        <f t="shared" si="298"/>
        <v/>
      </c>
      <c r="BB146" s="492" t="str">
        <f t="shared" si="299"/>
        <v/>
      </c>
      <c r="BC146" s="492" t="str">
        <f t="shared" si="300"/>
        <v/>
      </c>
      <c r="BD146" s="492" t="str">
        <f t="shared" si="301"/>
        <v/>
      </c>
      <c r="BE146" s="492" t="str">
        <f t="shared" si="302"/>
        <v/>
      </c>
      <c r="BF146" s="492" t="str">
        <f t="shared" si="303"/>
        <v/>
      </c>
      <c r="BG146" s="492" t="str">
        <f t="shared" si="304"/>
        <v/>
      </c>
      <c r="BH146" s="492" t="str">
        <f t="shared" si="305"/>
        <v/>
      </c>
      <c r="BI146" s="492" t="str">
        <f t="shared" si="306"/>
        <v/>
      </c>
      <c r="BJ146" s="492" t="str">
        <f t="shared" si="307"/>
        <v/>
      </c>
      <c r="BK146" s="492" t="str">
        <f t="shared" si="308"/>
        <v/>
      </c>
      <c r="BL146" s="492" t="str">
        <f t="shared" si="309"/>
        <v/>
      </c>
      <c r="BM146" s="492" t="str">
        <f t="shared" si="310"/>
        <v/>
      </c>
      <c r="BN146" s="492" t="str">
        <f t="shared" si="311"/>
        <v/>
      </c>
      <c r="BO146" s="492" t="str">
        <f t="shared" si="312"/>
        <v/>
      </c>
      <c r="BP146" s="492" t="str">
        <f t="shared" si="313"/>
        <v/>
      </c>
      <c r="BQ146" s="492" t="str">
        <f t="shared" si="314"/>
        <v/>
      </c>
      <c r="BR146" s="492" t="str">
        <f t="shared" si="315"/>
        <v/>
      </c>
      <c r="BS146" s="492" t="str">
        <f t="shared" si="316"/>
        <v/>
      </c>
      <c r="BT146" s="492" t="str">
        <f t="shared" si="317"/>
        <v/>
      </c>
      <c r="BU146" s="492" t="str">
        <f t="shared" si="318"/>
        <v/>
      </c>
      <c r="BV146" s="492" t="str">
        <f t="shared" si="319"/>
        <v/>
      </c>
      <c r="BW146" s="492" t="str">
        <f t="shared" si="320"/>
        <v/>
      </c>
      <c r="BX146" s="492" t="str">
        <f t="shared" si="321"/>
        <v/>
      </c>
      <c r="BY146" s="492" t="str">
        <f t="shared" si="322"/>
        <v/>
      </c>
      <c r="BZ146" s="492" t="str">
        <f t="shared" si="323"/>
        <v/>
      </c>
      <c r="CA146" s="492" t="str">
        <f t="shared" si="324"/>
        <v/>
      </c>
      <c r="CB146" s="492" t="str">
        <f t="shared" si="325"/>
        <v/>
      </c>
      <c r="CC146" s="492" t="str">
        <f t="shared" si="326"/>
        <v/>
      </c>
      <c r="CD146" s="492" t="str">
        <f t="shared" si="327"/>
        <v/>
      </c>
      <c r="CE146" s="492" t="str">
        <f t="shared" si="328"/>
        <v/>
      </c>
      <c r="CF146" s="492" t="str">
        <f t="shared" si="329"/>
        <v/>
      </c>
      <c r="CG146" s="492" t="str">
        <f t="shared" si="330"/>
        <v/>
      </c>
      <c r="CH146" s="492" t="str">
        <f t="shared" si="331"/>
        <v/>
      </c>
      <c r="CI146" s="492" t="str">
        <f t="shared" si="332"/>
        <v/>
      </c>
      <c r="CJ146" s="492" t="str">
        <f t="shared" si="333"/>
        <v/>
      </c>
      <c r="CK146" s="492" t="str">
        <f t="shared" si="334"/>
        <v/>
      </c>
      <c r="CL146" s="492" t="str">
        <f t="shared" si="335"/>
        <v/>
      </c>
      <c r="CM146" s="492" t="str">
        <f t="shared" si="336"/>
        <v/>
      </c>
      <c r="CN146" s="492" t="str">
        <f t="shared" si="337"/>
        <v/>
      </c>
      <c r="CO146" s="492" t="str">
        <f t="shared" si="338"/>
        <v/>
      </c>
      <c r="CP146" s="492" t="str">
        <f t="shared" si="339"/>
        <v/>
      </c>
      <c r="CQ146" s="492" t="str">
        <f t="shared" si="207"/>
        <v/>
      </c>
      <c r="CR146" s="492" t="str">
        <f t="shared" si="208"/>
        <v/>
      </c>
      <c r="CS146" s="492" t="str">
        <f t="shared" si="209"/>
        <v/>
      </c>
      <c r="CT146" s="492" t="str">
        <f t="shared" si="210"/>
        <v/>
      </c>
      <c r="CU146" s="492" t="str">
        <f t="shared" si="211"/>
        <v/>
      </c>
      <c r="CV146" s="492" t="str">
        <f t="shared" si="212"/>
        <v/>
      </c>
      <c r="CW146" s="495">
        <v>1</v>
      </c>
      <c r="CX146" s="496"/>
      <c r="CY146" s="496"/>
      <c r="CZ146" s="496"/>
      <c r="DA146" s="496"/>
      <c r="DB146" s="496"/>
    </row>
    <row r="147" spans="1:106" ht="13.5" customHeight="1">
      <c r="A147" s="1232">
        <v>137</v>
      </c>
      <c r="B147" s="1233"/>
      <c r="C147" s="1230"/>
      <c r="D147" s="1234"/>
      <c r="E147" s="1231"/>
      <c r="F147" s="1230"/>
      <c r="G147" s="1234"/>
      <c r="H147" s="1231"/>
      <c r="I147" s="1230"/>
      <c r="J147" s="1231"/>
      <c r="K147" s="1290"/>
      <c r="L147" s="1291"/>
      <c r="M147" s="1290"/>
      <c r="N147" s="1291"/>
      <c r="O147" s="1290"/>
      <c r="P147" s="1291"/>
      <c r="Q147" s="1230"/>
      <c r="R147" s="1231"/>
      <c r="S147" s="1230"/>
      <c r="T147" s="1231"/>
      <c r="U147" s="1228"/>
      <c r="V147" s="1229"/>
      <c r="W147" s="1230"/>
      <c r="X147" s="1231"/>
      <c r="Y147" s="1226"/>
      <c r="Z147" s="1227"/>
      <c r="AA147" s="1275"/>
      <c r="AB147" s="1275"/>
      <c r="AC147" s="1212" t="str">
        <f t="shared" si="340"/>
        <v/>
      </c>
      <c r="AD147" s="1213"/>
      <c r="AE147" s="1213"/>
      <c r="AF147" s="1213"/>
      <c r="AG147" s="492" t="str">
        <f t="shared" si="278"/>
        <v/>
      </c>
      <c r="AH147" s="466" t="str">
        <f t="shared" si="279"/>
        <v/>
      </c>
      <c r="AI147" s="466" t="str">
        <f t="shared" si="280"/>
        <v/>
      </c>
      <c r="AJ147" s="466" t="str">
        <f t="shared" si="281"/>
        <v/>
      </c>
      <c r="AK147" s="492" t="str">
        <f t="shared" si="282"/>
        <v>○</v>
      </c>
      <c r="AL147" s="492" t="str">
        <f t="shared" si="283"/>
        <v/>
      </c>
      <c r="AM147" s="492" t="str">
        <f t="shared" si="284"/>
        <v/>
      </c>
      <c r="AN147" s="492" t="str">
        <f t="shared" si="285"/>
        <v/>
      </c>
      <c r="AO147" s="492" t="str">
        <f t="shared" si="286"/>
        <v/>
      </c>
      <c r="AP147" s="492" t="str">
        <f t="shared" si="287"/>
        <v/>
      </c>
      <c r="AQ147" s="492" t="str">
        <f t="shared" si="288"/>
        <v/>
      </c>
      <c r="AR147" s="492" t="str">
        <f t="shared" si="289"/>
        <v/>
      </c>
      <c r="AS147" s="492" t="str">
        <f t="shared" si="290"/>
        <v/>
      </c>
      <c r="AT147" s="492" t="str">
        <f t="shared" si="291"/>
        <v/>
      </c>
      <c r="AU147" s="492" t="str">
        <f t="shared" si="292"/>
        <v/>
      </c>
      <c r="AV147" s="492" t="str">
        <f t="shared" si="293"/>
        <v/>
      </c>
      <c r="AW147" s="492" t="str">
        <f t="shared" si="294"/>
        <v/>
      </c>
      <c r="AX147" s="492" t="str">
        <f t="shared" si="295"/>
        <v/>
      </c>
      <c r="AY147" s="492" t="str">
        <f t="shared" si="296"/>
        <v/>
      </c>
      <c r="AZ147" s="492" t="str">
        <f t="shared" si="297"/>
        <v/>
      </c>
      <c r="BA147" s="492" t="str">
        <f t="shared" si="298"/>
        <v/>
      </c>
      <c r="BB147" s="492" t="str">
        <f t="shared" si="299"/>
        <v/>
      </c>
      <c r="BC147" s="492" t="str">
        <f t="shared" si="300"/>
        <v/>
      </c>
      <c r="BD147" s="492" t="str">
        <f t="shared" si="301"/>
        <v/>
      </c>
      <c r="BE147" s="492" t="str">
        <f t="shared" si="302"/>
        <v/>
      </c>
      <c r="BF147" s="492" t="str">
        <f t="shared" si="303"/>
        <v/>
      </c>
      <c r="BG147" s="492" t="str">
        <f t="shared" si="304"/>
        <v/>
      </c>
      <c r="BH147" s="492" t="str">
        <f t="shared" si="305"/>
        <v/>
      </c>
      <c r="BI147" s="492" t="str">
        <f t="shared" si="306"/>
        <v/>
      </c>
      <c r="BJ147" s="492" t="str">
        <f t="shared" si="307"/>
        <v/>
      </c>
      <c r="BK147" s="492" t="str">
        <f t="shared" si="308"/>
        <v/>
      </c>
      <c r="BL147" s="492" t="str">
        <f t="shared" si="309"/>
        <v/>
      </c>
      <c r="BM147" s="492" t="str">
        <f t="shared" si="310"/>
        <v/>
      </c>
      <c r="BN147" s="492" t="str">
        <f t="shared" si="311"/>
        <v/>
      </c>
      <c r="BO147" s="492" t="str">
        <f t="shared" si="312"/>
        <v/>
      </c>
      <c r="BP147" s="492" t="str">
        <f t="shared" si="313"/>
        <v/>
      </c>
      <c r="BQ147" s="492" t="str">
        <f t="shared" si="314"/>
        <v/>
      </c>
      <c r="BR147" s="492" t="str">
        <f t="shared" si="315"/>
        <v/>
      </c>
      <c r="BS147" s="492" t="str">
        <f t="shared" si="316"/>
        <v/>
      </c>
      <c r="BT147" s="492" t="str">
        <f t="shared" si="317"/>
        <v/>
      </c>
      <c r="BU147" s="492" t="str">
        <f t="shared" si="318"/>
        <v/>
      </c>
      <c r="BV147" s="492" t="str">
        <f t="shared" si="319"/>
        <v/>
      </c>
      <c r="BW147" s="492" t="str">
        <f t="shared" si="320"/>
        <v/>
      </c>
      <c r="BX147" s="492" t="str">
        <f t="shared" si="321"/>
        <v/>
      </c>
      <c r="BY147" s="492" t="str">
        <f t="shared" si="322"/>
        <v/>
      </c>
      <c r="BZ147" s="492" t="str">
        <f t="shared" si="323"/>
        <v/>
      </c>
      <c r="CA147" s="492" t="str">
        <f t="shared" si="324"/>
        <v/>
      </c>
      <c r="CB147" s="492" t="str">
        <f t="shared" si="325"/>
        <v/>
      </c>
      <c r="CC147" s="492" t="str">
        <f t="shared" si="326"/>
        <v/>
      </c>
      <c r="CD147" s="492" t="str">
        <f t="shared" si="327"/>
        <v/>
      </c>
      <c r="CE147" s="492" t="str">
        <f t="shared" si="328"/>
        <v/>
      </c>
      <c r="CF147" s="492" t="str">
        <f t="shared" si="329"/>
        <v/>
      </c>
      <c r="CG147" s="492" t="str">
        <f t="shared" si="330"/>
        <v/>
      </c>
      <c r="CH147" s="492" t="str">
        <f t="shared" si="331"/>
        <v/>
      </c>
      <c r="CI147" s="492" t="str">
        <f t="shared" si="332"/>
        <v/>
      </c>
      <c r="CJ147" s="492" t="str">
        <f t="shared" si="333"/>
        <v/>
      </c>
      <c r="CK147" s="492" t="str">
        <f t="shared" si="334"/>
        <v/>
      </c>
      <c r="CL147" s="492" t="str">
        <f t="shared" si="335"/>
        <v/>
      </c>
      <c r="CM147" s="492" t="str">
        <f t="shared" si="336"/>
        <v/>
      </c>
      <c r="CN147" s="492" t="str">
        <f t="shared" si="337"/>
        <v/>
      </c>
      <c r="CO147" s="492" t="str">
        <f t="shared" si="338"/>
        <v/>
      </c>
      <c r="CP147" s="492" t="str">
        <f t="shared" si="339"/>
        <v/>
      </c>
      <c r="CQ147" s="492" t="str">
        <f t="shared" si="207"/>
        <v/>
      </c>
      <c r="CR147" s="492" t="str">
        <f t="shared" si="208"/>
        <v/>
      </c>
      <c r="CS147" s="492" t="str">
        <f t="shared" si="209"/>
        <v/>
      </c>
      <c r="CT147" s="492" t="str">
        <f t="shared" si="210"/>
        <v/>
      </c>
      <c r="CU147" s="492" t="str">
        <f t="shared" si="211"/>
        <v/>
      </c>
      <c r="CV147" s="492" t="str">
        <f t="shared" si="212"/>
        <v/>
      </c>
      <c r="CW147" s="495">
        <v>1</v>
      </c>
      <c r="CX147" s="496"/>
      <c r="CY147" s="496"/>
      <c r="CZ147" s="496"/>
      <c r="DA147" s="496"/>
      <c r="DB147" s="496"/>
    </row>
    <row r="148" spans="1:106" ht="13.5" customHeight="1">
      <c r="A148" s="1232">
        <v>138</v>
      </c>
      <c r="B148" s="1233"/>
      <c r="C148" s="1230"/>
      <c r="D148" s="1234"/>
      <c r="E148" s="1231"/>
      <c r="F148" s="1230"/>
      <c r="G148" s="1234"/>
      <c r="H148" s="1231"/>
      <c r="I148" s="1230"/>
      <c r="J148" s="1231"/>
      <c r="K148" s="1290"/>
      <c r="L148" s="1291"/>
      <c r="M148" s="1290"/>
      <c r="N148" s="1291"/>
      <c r="O148" s="1290"/>
      <c r="P148" s="1291"/>
      <c r="Q148" s="1230"/>
      <c r="R148" s="1231"/>
      <c r="S148" s="1230"/>
      <c r="T148" s="1231"/>
      <c r="U148" s="1228"/>
      <c r="V148" s="1229"/>
      <c r="W148" s="1230"/>
      <c r="X148" s="1231"/>
      <c r="Y148" s="1226"/>
      <c r="Z148" s="1227"/>
      <c r="AA148" s="1275"/>
      <c r="AB148" s="1275"/>
      <c r="AC148" s="1212" t="str">
        <f t="shared" si="340"/>
        <v/>
      </c>
      <c r="AD148" s="1213"/>
      <c r="AE148" s="1213"/>
      <c r="AF148" s="1213"/>
      <c r="AG148" s="492" t="str">
        <f t="shared" si="278"/>
        <v/>
      </c>
      <c r="AH148" s="466" t="str">
        <f t="shared" si="279"/>
        <v/>
      </c>
      <c r="AI148" s="466" t="str">
        <f t="shared" si="280"/>
        <v/>
      </c>
      <c r="AJ148" s="466" t="str">
        <f t="shared" si="281"/>
        <v/>
      </c>
      <c r="AK148" s="492" t="str">
        <f t="shared" si="282"/>
        <v>○</v>
      </c>
      <c r="AL148" s="492" t="str">
        <f t="shared" si="283"/>
        <v/>
      </c>
      <c r="AM148" s="492" t="str">
        <f t="shared" si="284"/>
        <v/>
      </c>
      <c r="AN148" s="492" t="str">
        <f t="shared" si="285"/>
        <v/>
      </c>
      <c r="AO148" s="492" t="str">
        <f t="shared" si="286"/>
        <v/>
      </c>
      <c r="AP148" s="492" t="str">
        <f t="shared" si="287"/>
        <v/>
      </c>
      <c r="AQ148" s="492" t="str">
        <f t="shared" si="288"/>
        <v/>
      </c>
      <c r="AR148" s="492" t="str">
        <f t="shared" si="289"/>
        <v/>
      </c>
      <c r="AS148" s="492" t="str">
        <f t="shared" si="290"/>
        <v/>
      </c>
      <c r="AT148" s="492" t="str">
        <f t="shared" si="291"/>
        <v/>
      </c>
      <c r="AU148" s="492" t="str">
        <f t="shared" si="292"/>
        <v/>
      </c>
      <c r="AV148" s="492" t="str">
        <f t="shared" si="293"/>
        <v/>
      </c>
      <c r="AW148" s="492" t="str">
        <f t="shared" si="294"/>
        <v/>
      </c>
      <c r="AX148" s="492" t="str">
        <f t="shared" si="295"/>
        <v/>
      </c>
      <c r="AY148" s="492" t="str">
        <f t="shared" si="296"/>
        <v/>
      </c>
      <c r="AZ148" s="492" t="str">
        <f t="shared" si="297"/>
        <v/>
      </c>
      <c r="BA148" s="492" t="str">
        <f t="shared" si="298"/>
        <v/>
      </c>
      <c r="BB148" s="492" t="str">
        <f t="shared" si="299"/>
        <v/>
      </c>
      <c r="BC148" s="492" t="str">
        <f t="shared" si="300"/>
        <v/>
      </c>
      <c r="BD148" s="492" t="str">
        <f t="shared" si="301"/>
        <v/>
      </c>
      <c r="BE148" s="492" t="str">
        <f t="shared" si="302"/>
        <v/>
      </c>
      <c r="BF148" s="492" t="str">
        <f t="shared" si="303"/>
        <v/>
      </c>
      <c r="BG148" s="492" t="str">
        <f t="shared" si="304"/>
        <v/>
      </c>
      <c r="BH148" s="492" t="str">
        <f t="shared" si="305"/>
        <v/>
      </c>
      <c r="BI148" s="492" t="str">
        <f t="shared" si="306"/>
        <v/>
      </c>
      <c r="BJ148" s="492" t="str">
        <f t="shared" si="307"/>
        <v/>
      </c>
      <c r="BK148" s="492" t="str">
        <f t="shared" si="308"/>
        <v/>
      </c>
      <c r="BL148" s="492" t="str">
        <f t="shared" si="309"/>
        <v/>
      </c>
      <c r="BM148" s="492" t="str">
        <f t="shared" si="310"/>
        <v/>
      </c>
      <c r="BN148" s="492" t="str">
        <f t="shared" si="311"/>
        <v/>
      </c>
      <c r="BO148" s="492" t="str">
        <f t="shared" si="312"/>
        <v/>
      </c>
      <c r="BP148" s="492" t="str">
        <f t="shared" si="313"/>
        <v/>
      </c>
      <c r="BQ148" s="492" t="str">
        <f t="shared" si="314"/>
        <v/>
      </c>
      <c r="BR148" s="492" t="str">
        <f t="shared" si="315"/>
        <v/>
      </c>
      <c r="BS148" s="492" t="str">
        <f t="shared" si="316"/>
        <v/>
      </c>
      <c r="BT148" s="492" t="str">
        <f t="shared" si="317"/>
        <v/>
      </c>
      <c r="BU148" s="492" t="str">
        <f t="shared" si="318"/>
        <v/>
      </c>
      <c r="BV148" s="492" t="str">
        <f t="shared" si="319"/>
        <v/>
      </c>
      <c r="BW148" s="492" t="str">
        <f t="shared" si="320"/>
        <v/>
      </c>
      <c r="BX148" s="492" t="str">
        <f t="shared" si="321"/>
        <v/>
      </c>
      <c r="BY148" s="492" t="str">
        <f t="shared" si="322"/>
        <v/>
      </c>
      <c r="BZ148" s="492" t="str">
        <f t="shared" si="323"/>
        <v/>
      </c>
      <c r="CA148" s="492" t="str">
        <f t="shared" si="324"/>
        <v/>
      </c>
      <c r="CB148" s="492" t="str">
        <f t="shared" si="325"/>
        <v/>
      </c>
      <c r="CC148" s="492" t="str">
        <f t="shared" si="326"/>
        <v/>
      </c>
      <c r="CD148" s="492" t="str">
        <f t="shared" si="327"/>
        <v/>
      </c>
      <c r="CE148" s="492" t="str">
        <f t="shared" si="328"/>
        <v/>
      </c>
      <c r="CF148" s="492" t="str">
        <f t="shared" si="329"/>
        <v/>
      </c>
      <c r="CG148" s="492" t="str">
        <f t="shared" si="330"/>
        <v/>
      </c>
      <c r="CH148" s="492" t="str">
        <f t="shared" si="331"/>
        <v/>
      </c>
      <c r="CI148" s="492" t="str">
        <f t="shared" si="332"/>
        <v/>
      </c>
      <c r="CJ148" s="492" t="str">
        <f t="shared" si="333"/>
        <v/>
      </c>
      <c r="CK148" s="492" t="str">
        <f t="shared" si="334"/>
        <v/>
      </c>
      <c r="CL148" s="492" t="str">
        <f t="shared" si="335"/>
        <v/>
      </c>
      <c r="CM148" s="492" t="str">
        <f t="shared" si="336"/>
        <v/>
      </c>
      <c r="CN148" s="492" t="str">
        <f t="shared" si="337"/>
        <v/>
      </c>
      <c r="CO148" s="492" t="str">
        <f t="shared" si="338"/>
        <v/>
      </c>
      <c r="CP148" s="492" t="str">
        <f t="shared" si="339"/>
        <v/>
      </c>
      <c r="CQ148" s="492" t="str">
        <f t="shared" si="207"/>
        <v/>
      </c>
      <c r="CR148" s="492" t="str">
        <f t="shared" si="208"/>
        <v/>
      </c>
      <c r="CS148" s="492" t="str">
        <f t="shared" si="209"/>
        <v/>
      </c>
      <c r="CT148" s="492" t="str">
        <f t="shared" si="210"/>
        <v/>
      </c>
      <c r="CU148" s="492" t="str">
        <f t="shared" si="211"/>
        <v/>
      </c>
      <c r="CV148" s="492" t="str">
        <f t="shared" si="212"/>
        <v/>
      </c>
      <c r="CW148" s="495">
        <v>1</v>
      </c>
      <c r="CX148" s="496"/>
      <c r="CY148" s="496"/>
      <c r="CZ148" s="496"/>
      <c r="DA148" s="496"/>
      <c r="DB148" s="496"/>
    </row>
    <row r="149" spans="1:106" ht="13.5" customHeight="1">
      <c r="A149" s="1232">
        <v>139</v>
      </c>
      <c r="B149" s="1233"/>
      <c r="C149" s="1230"/>
      <c r="D149" s="1234"/>
      <c r="E149" s="1231"/>
      <c r="F149" s="1230"/>
      <c r="G149" s="1234"/>
      <c r="H149" s="1231"/>
      <c r="I149" s="1230"/>
      <c r="J149" s="1231"/>
      <c r="K149" s="1290"/>
      <c r="L149" s="1291"/>
      <c r="M149" s="1290"/>
      <c r="N149" s="1291"/>
      <c r="O149" s="1290"/>
      <c r="P149" s="1291"/>
      <c r="Q149" s="1230"/>
      <c r="R149" s="1231"/>
      <c r="S149" s="1230"/>
      <c r="T149" s="1231"/>
      <c r="U149" s="1228"/>
      <c r="V149" s="1229"/>
      <c r="W149" s="1230"/>
      <c r="X149" s="1231"/>
      <c r="Y149" s="1226"/>
      <c r="Z149" s="1227"/>
      <c r="AA149" s="1275"/>
      <c r="AB149" s="1275"/>
      <c r="AC149" s="1212" t="str">
        <f t="shared" si="340"/>
        <v/>
      </c>
      <c r="AD149" s="1213"/>
      <c r="AE149" s="1213"/>
      <c r="AF149" s="1213"/>
      <c r="AG149" s="492" t="str">
        <f t="shared" si="278"/>
        <v/>
      </c>
      <c r="AH149" s="466" t="str">
        <f t="shared" si="279"/>
        <v/>
      </c>
      <c r="AI149" s="466" t="str">
        <f t="shared" si="280"/>
        <v/>
      </c>
      <c r="AJ149" s="466" t="str">
        <f t="shared" si="281"/>
        <v/>
      </c>
      <c r="AK149" s="492" t="str">
        <f t="shared" si="282"/>
        <v>○</v>
      </c>
      <c r="AL149" s="492" t="str">
        <f t="shared" si="283"/>
        <v/>
      </c>
      <c r="AM149" s="492" t="str">
        <f t="shared" si="284"/>
        <v/>
      </c>
      <c r="AN149" s="492" t="str">
        <f t="shared" si="285"/>
        <v/>
      </c>
      <c r="AO149" s="492" t="str">
        <f t="shared" si="286"/>
        <v/>
      </c>
      <c r="AP149" s="492" t="str">
        <f t="shared" si="287"/>
        <v/>
      </c>
      <c r="AQ149" s="492" t="str">
        <f t="shared" si="288"/>
        <v/>
      </c>
      <c r="AR149" s="492" t="str">
        <f t="shared" si="289"/>
        <v/>
      </c>
      <c r="AS149" s="492" t="str">
        <f t="shared" si="290"/>
        <v/>
      </c>
      <c r="AT149" s="492" t="str">
        <f t="shared" si="291"/>
        <v/>
      </c>
      <c r="AU149" s="492" t="str">
        <f t="shared" si="292"/>
        <v/>
      </c>
      <c r="AV149" s="492" t="str">
        <f t="shared" si="293"/>
        <v/>
      </c>
      <c r="AW149" s="492" t="str">
        <f t="shared" si="294"/>
        <v/>
      </c>
      <c r="AX149" s="492" t="str">
        <f t="shared" si="295"/>
        <v/>
      </c>
      <c r="AY149" s="492" t="str">
        <f t="shared" si="296"/>
        <v/>
      </c>
      <c r="AZ149" s="492" t="str">
        <f t="shared" si="297"/>
        <v/>
      </c>
      <c r="BA149" s="492" t="str">
        <f t="shared" si="298"/>
        <v/>
      </c>
      <c r="BB149" s="492" t="str">
        <f t="shared" si="299"/>
        <v/>
      </c>
      <c r="BC149" s="492" t="str">
        <f t="shared" si="300"/>
        <v/>
      </c>
      <c r="BD149" s="492" t="str">
        <f t="shared" si="301"/>
        <v/>
      </c>
      <c r="BE149" s="492" t="str">
        <f t="shared" si="302"/>
        <v/>
      </c>
      <c r="BF149" s="492" t="str">
        <f t="shared" si="303"/>
        <v/>
      </c>
      <c r="BG149" s="492" t="str">
        <f t="shared" si="304"/>
        <v/>
      </c>
      <c r="BH149" s="492" t="str">
        <f t="shared" si="305"/>
        <v/>
      </c>
      <c r="BI149" s="492" t="str">
        <f t="shared" si="306"/>
        <v/>
      </c>
      <c r="BJ149" s="492" t="str">
        <f t="shared" si="307"/>
        <v/>
      </c>
      <c r="BK149" s="492" t="str">
        <f t="shared" si="308"/>
        <v/>
      </c>
      <c r="BL149" s="492" t="str">
        <f t="shared" si="309"/>
        <v/>
      </c>
      <c r="BM149" s="492" t="str">
        <f t="shared" si="310"/>
        <v/>
      </c>
      <c r="BN149" s="492" t="str">
        <f t="shared" si="311"/>
        <v/>
      </c>
      <c r="BO149" s="492" t="str">
        <f t="shared" si="312"/>
        <v/>
      </c>
      <c r="BP149" s="492" t="str">
        <f t="shared" si="313"/>
        <v/>
      </c>
      <c r="BQ149" s="492" t="str">
        <f t="shared" si="314"/>
        <v/>
      </c>
      <c r="BR149" s="492" t="str">
        <f t="shared" si="315"/>
        <v/>
      </c>
      <c r="BS149" s="492" t="str">
        <f t="shared" si="316"/>
        <v/>
      </c>
      <c r="BT149" s="492" t="str">
        <f t="shared" si="317"/>
        <v/>
      </c>
      <c r="BU149" s="492" t="str">
        <f t="shared" si="318"/>
        <v/>
      </c>
      <c r="BV149" s="492" t="str">
        <f t="shared" si="319"/>
        <v/>
      </c>
      <c r="BW149" s="492" t="str">
        <f t="shared" si="320"/>
        <v/>
      </c>
      <c r="BX149" s="492" t="str">
        <f t="shared" si="321"/>
        <v/>
      </c>
      <c r="BY149" s="492" t="str">
        <f t="shared" si="322"/>
        <v/>
      </c>
      <c r="BZ149" s="492" t="str">
        <f t="shared" si="323"/>
        <v/>
      </c>
      <c r="CA149" s="492" t="str">
        <f t="shared" si="324"/>
        <v/>
      </c>
      <c r="CB149" s="492" t="str">
        <f t="shared" si="325"/>
        <v/>
      </c>
      <c r="CC149" s="492" t="str">
        <f t="shared" si="326"/>
        <v/>
      </c>
      <c r="CD149" s="492" t="str">
        <f t="shared" si="327"/>
        <v/>
      </c>
      <c r="CE149" s="492" t="str">
        <f t="shared" si="328"/>
        <v/>
      </c>
      <c r="CF149" s="492" t="str">
        <f t="shared" si="329"/>
        <v/>
      </c>
      <c r="CG149" s="492" t="str">
        <f t="shared" si="330"/>
        <v/>
      </c>
      <c r="CH149" s="492" t="str">
        <f t="shared" si="331"/>
        <v/>
      </c>
      <c r="CI149" s="492" t="str">
        <f t="shared" si="332"/>
        <v/>
      </c>
      <c r="CJ149" s="492" t="str">
        <f t="shared" si="333"/>
        <v/>
      </c>
      <c r="CK149" s="492" t="str">
        <f t="shared" si="334"/>
        <v/>
      </c>
      <c r="CL149" s="492" t="str">
        <f t="shared" si="335"/>
        <v/>
      </c>
      <c r="CM149" s="492" t="str">
        <f t="shared" si="336"/>
        <v/>
      </c>
      <c r="CN149" s="492" t="str">
        <f t="shared" si="337"/>
        <v/>
      </c>
      <c r="CO149" s="492" t="str">
        <f t="shared" si="338"/>
        <v/>
      </c>
      <c r="CP149" s="492" t="str">
        <f t="shared" si="339"/>
        <v/>
      </c>
      <c r="CQ149" s="492" t="str">
        <f t="shared" si="207"/>
        <v/>
      </c>
      <c r="CR149" s="492" t="str">
        <f t="shared" si="208"/>
        <v/>
      </c>
      <c r="CS149" s="492" t="str">
        <f t="shared" si="209"/>
        <v/>
      </c>
      <c r="CT149" s="492" t="str">
        <f t="shared" si="210"/>
        <v/>
      </c>
      <c r="CU149" s="492" t="str">
        <f t="shared" si="211"/>
        <v/>
      </c>
      <c r="CV149" s="492" t="str">
        <f t="shared" si="212"/>
        <v/>
      </c>
      <c r="CW149" s="495">
        <v>1</v>
      </c>
      <c r="CX149" s="496"/>
      <c r="CY149" s="496"/>
      <c r="CZ149" s="496"/>
      <c r="DA149" s="496"/>
      <c r="DB149" s="496"/>
    </row>
    <row r="150" spans="1:106" ht="13.5" customHeight="1">
      <c r="A150" s="1232">
        <v>140</v>
      </c>
      <c r="B150" s="1233"/>
      <c r="C150" s="1230"/>
      <c r="D150" s="1234"/>
      <c r="E150" s="1231"/>
      <c r="F150" s="1230"/>
      <c r="G150" s="1234"/>
      <c r="H150" s="1231"/>
      <c r="I150" s="1230"/>
      <c r="J150" s="1231"/>
      <c r="K150" s="1290"/>
      <c r="L150" s="1291"/>
      <c r="M150" s="1290"/>
      <c r="N150" s="1291"/>
      <c r="O150" s="1290"/>
      <c r="P150" s="1291"/>
      <c r="Q150" s="1230"/>
      <c r="R150" s="1231"/>
      <c r="S150" s="1230"/>
      <c r="T150" s="1231"/>
      <c r="U150" s="1228"/>
      <c r="V150" s="1229"/>
      <c r="W150" s="1230"/>
      <c r="X150" s="1231"/>
      <c r="Y150" s="1226"/>
      <c r="Z150" s="1227"/>
      <c r="AA150" s="1275"/>
      <c r="AB150" s="1275"/>
      <c r="AC150" s="1212" t="str">
        <f t="shared" si="340"/>
        <v/>
      </c>
      <c r="AD150" s="1213"/>
      <c r="AE150" s="1213"/>
      <c r="AF150" s="1213"/>
      <c r="AG150" s="492" t="str">
        <f t="shared" si="278"/>
        <v/>
      </c>
      <c r="AH150" s="466" t="str">
        <f t="shared" si="279"/>
        <v/>
      </c>
      <c r="AI150" s="466" t="str">
        <f t="shared" si="280"/>
        <v/>
      </c>
      <c r="AJ150" s="466" t="str">
        <f t="shared" si="281"/>
        <v/>
      </c>
      <c r="AK150" s="492" t="str">
        <f t="shared" si="282"/>
        <v>○</v>
      </c>
      <c r="AL150" s="492" t="str">
        <f t="shared" si="283"/>
        <v/>
      </c>
      <c r="AM150" s="492" t="str">
        <f t="shared" si="284"/>
        <v/>
      </c>
      <c r="AN150" s="492" t="str">
        <f t="shared" si="285"/>
        <v/>
      </c>
      <c r="AO150" s="492" t="str">
        <f t="shared" si="286"/>
        <v/>
      </c>
      <c r="AP150" s="492" t="str">
        <f t="shared" si="287"/>
        <v/>
      </c>
      <c r="AQ150" s="492" t="str">
        <f t="shared" si="288"/>
        <v/>
      </c>
      <c r="AR150" s="492" t="str">
        <f t="shared" si="289"/>
        <v/>
      </c>
      <c r="AS150" s="492" t="str">
        <f t="shared" si="290"/>
        <v/>
      </c>
      <c r="AT150" s="492" t="str">
        <f t="shared" si="291"/>
        <v/>
      </c>
      <c r="AU150" s="492" t="str">
        <f t="shared" si="292"/>
        <v/>
      </c>
      <c r="AV150" s="492" t="str">
        <f t="shared" si="293"/>
        <v/>
      </c>
      <c r="AW150" s="492" t="str">
        <f t="shared" si="294"/>
        <v/>
      </c>
      <c r="AX150" s="492" t="str">
        <f t="shared" si="295"/>
        <v/>
      </c>
      <c r="AY150" s="492" t="str">
        <f t="shared" si="296"/>
        <v/>
      </c>
      <c r="AZ150" s="492" t="str">
        <f t="shared" si="297"/>
        <v/>
      </c>
      <c r="BA150" s="492" t="str">
        <f t="shared" si="298"/>
        <v/>
      </c>
      <c r="BB150" s="492" t="str">
        <f t="shared" si="299"/>
        <v/>
      </c>
      <c r="BC150" s="492" t="str">
        <f t="shared" si="300"/>
        <v/>
      </c>
      <c r="BD150" s="492" t="str">
        <f t="shared" si="301"/>
        <v/>
      </c>
      <c r="BE150" s="492" t="str">
        <f t="shared" si="302"/>
        <v/>
      </c>
      <c r="BF150" s="492" t="str">
        <f t="shared" si="303"/>
        <v/>
      </c>
      <c r="BG150" s="492" t="str">
        <f t="shared" si="304"/>
        <v/>
      </c>
      <c r="BH150" s="492" t="str">
        <f t="shared" si="305"/>
        <v/>
      </c>
      <c r="BI150" s="492" t="str">
        <f t="shared" si="306"/>
        <v/>
      </c>
      <c r="BJ150" s="492" t="str">
        <f t="shared" si="307"/>
        <v/>
      </c>
      <c r="BK150" s="492" t="str">
        <f t="shared" si="308"/>
        <v/>
      </c>
      <c r="BL150" s="492" t="str">
        <f t="shared" si="309"/>
        <v/>
      </c>
      <c r="BM150" s="492" t="str">
        <f t="shared" si="310"/>
        <v/>
      </c>
      <c r="BN150" s="492" t="str">
        <f t="shared" si="311"/>
        <v/>
      </c>
      <c r="BO150" s="492" t="str">
        <f t="shared" si="312"/>
        <v/>
      </c>
      <c r="BP150" s="492" t="str">
        <f t="shared" si="313"/>
        <v/>
      </c>
      <c r="BQ150" s="492" t="str">
        <f t="shared" si="314"/>
        <v/>
      </c>
      <c r="BR150" s="492" t="str">
        <f t="shared" si="315"/>
        <v/>
      </c>
      <c r="BS150" s="492" t="str">
        <f t="shared" si="316"/>
        <v/>
      </c>
      <c r="BT150" s="492" t="str">
        <f t="shared" si="317"/>
        <v/>
      </c>
      <c r="BU150" s="492" t="str">
        <f t="shared" si="318"/>
        <v/>
      </c>
      <c r="BV150" s="492" t="str">
        <f t="shared" si="319"/>
        <v/>
      </c>
      <c r="BW150" s="492" t="str">
        <f t="shared" si="320"/>
        <v/>
      </c>
      <c r="BX150" s="492" t="str">
        <f t="shared" si="321"/>
        <v/>
      </c>
      <c r="BY150" s="492" t="str">
        <f t="shared" si="322"/>
        <v/>
      </c>
      <c r="BZ150" s="492" t="str">
        <f t="shared" si="323"/>
        <v/>
      </c>
      <c r="CA150" s="492" t="str">
        <f t="shared" si="324"/>
        <v/>
      </c>
      <c r="CB150" s="492" t="str">
        <f t="shared" si="325"/>
        <v/>
      </c>
      <c r="CC150" s="492" t="str">
        <f t="shared" si="326"/>
        <v/>
      </c>
      <c r="CD150" s="492" t="str">
        <f t="shared" si="327"/>
        <v/>
      </c>
      <c r="CE150" s="492" t="str">
        <f t="shared" si="328"/>
        <v/>
      </c>
      <c r="CF150" s="492" t="str">
        <f t="shared" si="329"/>
        <v/>
      </c>
      <c r="CG150" s="492" t="str">
        <f t="shared" si="330"/>
        <v/>
      </c>
      <c r="CH150" s="492" t="str">
        <f t="shared" si="331"/>
        <v/>
      </c>
      <c r="CI150" s="492" t="str">
        <f t="shared" si="332"/>
        <v/>
      </c>
      <c r="CJ150" s="492" t="str">
        <f t="shared" si="333"/>
        <v/>
      </c>
      <c r="CK150" s="492" t="str">
        <f t="shared" si="334"/>
        <v/>
      </c>
      <c r="CL150" s="492" t="str">
        <f t="shared" si="335"/>
        <v/>
      </c>
      <c r="CM150" s="492" t="str">
        <f t="shared" si="336"/>
        <v/>
      </c>
      <c r="CN150" s="492" t="str">
        <f t="shared" si="337"/>
        <v/>
      </c>
      <c r="CO150" s="492" t="str">
        <f t="shared" si="338"/>
        <v/>
      </c>
      <c r="CP150" s="492" t="str">
        <f t="shared" si="339"/>
        <v/>
      </c>
      <c r="CQ150" s="492" t="str">
        <f t="shared" si="207"/>
        <v/>
      </c>
      <c r="CR150" s="492" t="str">
        <f t="shared" si="208"/>
        <v/>
      </c>
      <c r="CS150" s="492" t="str">
        <f t="shared" si="209"/>
        <v/>
      </c>
      <c r="CT150" s="492" t="str">
        <f t="shared" si="210"/>
        <v/>
      </c>
      <c r="CU150" s="492" t="str">
        <f t="shared" si="211"/>
        <v/>
      </c>
      <c r="CV150" s="492" t="str">
        <f t="shared" si="212"/>
        <v/>
      </c>
      <c r="CW150" s="495">
        <v>1</v>
      </c>
      <c r="CX150" s="496"/>
      <c r="CY150" s="496"/>
      <c r="CZ150" s="496"/>
      <c r="DA150" s="496"/>
      <c r="DB150" s="496"/>
    </row>
    <row r="151" spans="1:106" ht="13.5" customHeight="1">
      <c r="A151" s="1232">
        <v>141</v>
      </c>
      <c r="B151" s="1233"/>
      <c r="C151" s="1230"/>
      <c r="D151" s="1234"/>
      <c r="E151" s="1231"/>
      <c r="F151" s="1230"/>
      <c r="G151" s="1234"/>
      <c r="H151" s="1231"/>
      <c r="I151" s="1230"/>
      <c r="J151" s="1231"/>
      <c r="K151" s="1290"/>
      <c r="L151" s="1291"/>
      <c r="M151" s="1290"/>
      <c r="N151" s="1291"/>
      <c r="O151" s="1290"/>
      <c r="P151" s="1291"/>
      <c r="Q151" s="1230"/>
      <c r="R151" s="1231"/>
      <c r="S151" s="1230"/>
      <c r="T151" s="1231"/>
      <c r="U151" s="1228"/>
      <c r="V151" s="1229"/>
      <c r="W151" s="1230"/>
      <c r="X151" s="1231"/>
      <c r="Y151" s="1226"/>
      <c r="Z151" s="1227"/>
      <c r="AA151" s="1275"/>
      <c r="AB151" s="1275"/>
      <c r="AC151" s="1212" t="str">
        <f t="shared" si="340"/>
        <v/>
      </c>
      <c r="AD151" s="1213"/>
      <c r="AE151" s="1213"/>
      <c r="AF151" s="1213"/>
      <c r="AG151" s="492" t="str">
        <f t="shared" si="278"/>
        <v/>
      </c>
      <c r="AH151" s="466" t="str">
        <f t="shared" si="279"/>
        <v/>
      </c>
      <c r="AI151" s="466" t="str">
        <f t="shared" si="280"/>
        <v/>
      </c>
      <c r="AJ151" s="466" t="str">
        <f t="shared" si="281"/>
        <v/>
      </c>
      <c r="AK151" s="492" t="str">
        <f t="shared" si="282"/>
        <v>○</v>
      </c>
      <c r="AL151" s="492" t="str">
        <f t="shared" si="283"/>
        <v/>
      </c>
      <c r="AM151" s="492" t="str">
        <f t="shared" si="284"/>
        <v/>
      </c>
      <c r="AN151" s="492" t="str">
        <f t="shared" si="285"/>
        <v/>
      </c>
      <c r="AO151" s="492" t="str">
        <f t="shared" si="286"/>
        <v/>
      </c>
      <c r="AP151" s="492" t="str">
        <f t="shared" si="287"/>
        <v/>
      </c>
      <c r="AQ151" s="492" t="str">
        <f t="shared" si="288"/>
        <v/>
      </c>
      <c r="AR151" s="492" t="str">
        <f t="shared" si="289"/>
        <v/>
      </c>
      <c r="AS151" s="492" t="str">
        <f t="shared" si="290"/>
        <v/>
      </c>
      <c r="AT151" s="492" t="str">
        <f t="shared" si="291"/>
        <v/>
      </c>
      <c r="AU151" s="492" t="str">
        <f t="shared" si="292"/>
        <v/>
      </c>
      <c r="AV151" s="492" t="str">
        <f t="shared" si="293"/>
        <v/>
      </c>
      <c r="AW151" s="492" t="str">
        <f t="shared" si="294"/>
        <v/>
      </c>
      <c r="AX151" s="492" t="str">
        <f t="shared" si="295"/>
        <v/>
      </c>
      <c r="AY151" s="492" t="str">
        <f t="shared" si="296"/>
        <v/>
      </c>
      <c r="AZ151" s="492" t="str">
        <f t="shared" si="297"/>
        <v/>
      </c>
      <c r="BA151" s="492" t="str">
        <f t="shared" si="298"/>
        <v/>
      </c>
      <c r="BB151" s="492" t="str">
        <f t="shared" si="299"/>
        <v/>
      </c>
      <c r="BC151" s="492" t="str">
        <f t="shared" si="300"/>
        <v/>
      </c>
      <c r="BD151" s="492" t="str">
        <f t="shared" si="301"/>
        <v/>
      </c>
      <c r="BE151" s="492" t="str">
        <f t="shared" si="302"/>
        <v/>
      </c>
      <c r="BF151" s="492" t="str">
        <f t="shared" si="303"/>
        <v/>
      </c>
      <c r="BG151" s="492" t="str">
        <f t="shared" si="304"/>
        <v/>
      </c>
      <c r="BH151" s="492" t="str">
        <f t="shared" si="305"/>
        <v/>
      </c>
      <c r="BI151" s="492" t="str">
        <f t="shared" si="306"/>
        <v/>
      </c>
      <c r="BJ151" s="492" t="str">
        <f t="shared" si="307"/>
        <v/>
      </c>
      <c r="BK151" s="492" t="str">
        <f t="shared" si="308"/>
        <v/>
      </c>
      <c r="BL151" s="492" t="str">
        <f t="shared" si="309"/>
        <v/>
      </c>
      <c r="BM151" s="492" t="str">
        <f t="shared" si="310"/>
        <v/>
      </c>
      <c r="BN151" s="492" t="str">
        <f t="shared" si="311"/>
        <v/>
      </c>
      <c r="BO151" s="492" t="str">
        <f t="shared" si="312"/>
        <v/>
      </c>
      <c r="BP151" s="492" t="str">
        <f t="shared" si="313"/>
        <v/>
      </c>
      <c r="BQ151" s="492" t="str">
        <f t="shared" si="314"/>
        <v/>
      </c>
      <c r="BR151" s="492" t="str">
        <f t="shared" si="315"/>
        <v/>
      </c>
      <c r="BS151" s="492" t="str">
        <f t="shared" si="316"/>
        <v/>
      </c>
      <c r="BT151" s="492" t="str">
        <f t="shared" si="317"/>
        <v/>
      </c>
      <c r="BU151" s="492" t="str">
        <f t="shared" si="318"/>
        <v/>
      </c>
      <c r="BV151" s="492" t="str">
        <f t="shared" si="319"/>
        <v/>
      </c>
      <c r="BW151" s="492" t="str">
        <f t="shared" si="320"/>
        <v/>
      </c>
      <c r="BX151" s="492" t="str">
        <f t="shared" si="321"/>
        <v/>
      </c>
      <c r="BY151" s="492" t="str">
        <f t="shared" si="322"/>
        <v/>
      </c>
      <c r="BZ151" s="492" t="str">
        <f t="shared" si="323"/>
        <v/>
      </c>
      <c r="CA151" s="492" t="str">
        <f t="shared" si="324"/>
        <v/>
      </c>
      <c r="CB151" s="492" t="str">
        <f t="shared" si="325"/>
        <v/>
      </c>
      <c r="CC151" s="492" t="str">
        <f t="shared" si="326"/>
        <v/>
      </c>
      <c r="CD151" s="492" t="str">
        <f t="shared" si="327"/>
        <v/>
      </c>
      <c r="CE151" s="492" t="str">
        <f t="shared" si="328"/>
        <v/>
      </c>
      <c r="CF151" s="492" t="str">
        <f t="shared" si="329"/>
        <v/>
      </c>
      <c r="CG151" s="492" t="str">
        <f t="shared" si="330"/>
        <v/>
      </c>
      <c r="CH151" s="492" t="str">
        <f t="shared" si="331"/>
        <v/>
      </c>
      <c r="CI151" s="492" t="str">
        <f t="shared" si="332"/>
        <v/>
      </c>
      <c r="CJ151" s="492" t="str">
        <f t="shared" si="333"/>
        <v/>
      </c>
      <c r="CK151" s="492" t="str">
        <f t="shared" si="334"/>
        <v/>
      </c>
      <c r="CL151" s="492" t="str">
        <f t="shared" si="335"/>
        <v/>
      </c>
      <c r="CM151" s="492" t="str">
        <f t="shared" si="336"/>
        <v/>
      </c>
      <c r="CN151" s="492" t="str">
        <f t="shared" si="337"/>
        <v/>
      </c>
      <c r="CO151" s="492" t="str">
        <f t="shared" si="338"/>
        <v/>
      </c>
      <c r="CP151" s="492" t="str">
        <f t="shared" si="339"/>
        <v/>
      </c>
      <c r="CQ151" s="492" t="str">
        <f t="shared" si="207"/>
        <v/>
      </c>
      <c r="CR151" s="492" t="str">
        <f t="shared" si="208"/>
        <v/>
      </c>
      <c r="CS151" s="492" t="str">
        <f t="shared" si="209"/>
        <v/>
      </c>
      <c r="CT151" s="492" t="str">
        <f t="shared" si="210"/>
        <v/>
      </c>
      <c r="CU151" s="492" t="str">
        <f t="shared" si="211"/>
        <v/>
      </c>
      <c r="CV151" s="492" t="str">
        <f t="shared" si="212"/>
        <v/>
      </c>
      <c r="CW151" s="495">
        <v>1</v>
      </c>
      <c r="CX151" s="496"/>
      <c r="CY151" s="496"/>
      <c r="CZ151" s="496"/>
      <c r="DA151" s="496"/>
      <c r="DB151" s="496"/>
    </row>
    <row r="152" spans="1:106" ht="13.5" customHeight="1">
      <c r="A152" s="1232">
        <v>142</v>
      </c>
      <c r="B152" s="1233"/>
      <c r="C152" s="1230"/>
      <c r="D152" s="1234"/>
      <c r="E152" s="1231"/>
      <c r="F152" s="1230"/>
      <c r="G152" s="1234"/>
      <c r="H152" s="1231"/>
      <c r="I152" s="1230"/>
      <c r="J152" s="1231"/>
      <c r="K152" s="1290"/>
      <c r="L152" s="1291"/>
      <c r="M152" s="1290"/>
      <c r="N152" s="1291"/>
      <c r="O152" s="1290"/>
      <c r="P152" s="1291"/>
      <c r="Q152" s="1230"/>
      <c r="R152" s="1231"/>
      <c r="S152" s="1230"/>
      <c r="T152" s="1231"/>
      <c r="U152" s="1228"/>
      <c r="V152" s="1229"/>
      <c r="W152" s="1230"/>
      <c r="X152" s="1231"/>
      <c r="Y152" s="1226"/>
      <c r="Z152" s="1227"/>
      <c r="AA152" s="1275"/>
      <c r="AB152" s="1275"/>
      <c r="AC152" s="1212" t="str">
        <f t="shared" si="340"/>
        <v/>
      </c>
      <c r="AD152" s="1213"/>
      <c r="AE152" s="1213"/>
      <c r="AF152" s="1213"/>
      <c r="AG152" s="492" t="str">
        <f t="shared" si="278"/>
        <v/>
      </c>
      <c r="AH152" s="466" t="str">
        <f t="shared" si="279"/>
        <v/>
      </c>
      <c r="AI152" s="466" t="str">
        <f t="shared" si="280"/>
        <v/>
      </c>
      <c r="AJ152" s="466" t="str">
        <f t="shared" si="281"/>
        <v/>
      </c>
      <c r="AK152" s="492" t="str">
        <f t="shared" si="282"/>
        <v>○</v>
      </c>
      <c r="AL152" s="492" t="str">
        <f t="shared" si="283"/>
        <v/>
      </c>
      <c r="AM152" s="492" t="str">
        <f t="shared" si="284"/>
        <v/>
      </c>
      <c r="AN152" s="492" t="str">
        <f t="shared" si="285"/>
        <v/>
      </c>
      <c r="AO152" s="492" t="str">
        <f t="shared" si="286"/>
        <v/>
      </c>
      <c r="AP152" s="492" t="str">
        <f t="shared" si="287"/>
        <v/>
      </c>
      <c r="AQ152" s="492" t="str">
        <f t="shared" si="288"/>
        <v/>
      </c>
      <c r="AR152" s="492" t="str">
        <f t="shared" si="289"/>
        <v/>
      </c>
      <c r="AS152" s="492" t="str">
        <f t="shared" si="290"/>
        <v/>
      </c>
      <c r="AT152" s="492" t="str">
        <f t="shared" si="291"/>
        <v/>
      </c>
      <c r="AU152" s="492" t="str">
        <f t="shared" si="292"/>
        <v/>
      </c>
      <c r="AV152" s="492" t="str">
        <f t="shared" si="293"/>
        <v/>
      </c>
      <c r="AW152" s="492" t="str">
        <f t="shared" si="294"/>
        <v/>
      </c>
      <c r="AX152" s="492" t="str">
        <f t="shared" si="295"/>
        <v/>
      </c>
      <c r="AY152" s="492" t="str">
        <f t="shared" si="296"/>
        <v/>
      </c>
      <c r="AZ152" s="492" t="str">
        <f t="shared" si="297"/>
        <v/>
      </c>
      <c r="BA152" s="492" t="str">
        <f t="shared" si="298"/>
        <v/>
      </c>
      <c r="BB152" s="492" t="str">
        <f t="shared" si="299"/>
        <v/>
      </c>
      <c r="BC152" s="492" t="str">
        <f t="shared" si="300"/>
        <v/>
      </c>
      <c r="BD152" s="492" t="str">
        <f t="shared" si="301"/>
        <v/>
      </c>
      <c r="BE152" s="492" t="str">
        <f t="shared" si="302"/>
        <v/>
      </c>
      <c r="BF152" s="492" t="str">
        <f t="shared" si="303"/>
        <v/>
      </c>
      <c r="BG152" s="492" t="str">
        <f t="shared" si="304"/>
        <v/>
      </c>
      <c r="BH152" s="492" t="str">
        <f t="shared" si="305"/>
        <v/>
      </c>
      <c r="BI152" s="492" t="str">
        <f t="shared" si="306"/>
        <v/>
      </c>
      <c r="BJ152" s="492" t="str">
        <f t="shared" si="307"/>
        <v/>
      </c>
      <c r="BK152" s="492" t="str">
        <f t="shared" si="308"/>
        <v/>
      </c>
      <c r="BL152" s="492" t="str">
        <f t="shared" si="309"/>
        <v/>
      </c>
      <c r="BM152" s="492" t="str">
        <f t="shared" si="310"/>
        <v/>
      </c>
      <c r="BN152" s="492" t="str">
        <f t="shared" si="311"/>
        <v/>
      </c>
      <c r="BO152" s="492" t="str">
        <f t="shared" si="312"/>
        <v/>
      </c>
      <c r="BP152" s="492" t="str">
        <f t="shared" si="313"/>
        <v/>
      </c>
      <c r="BQ152" s="492" t="str">
        <f t="shared" si="314"/>
        <v/>
      </c>
      <c r="BR152" s="492" t="str">
        <f t="shared" si="315"/>
        <v/>
      </c>
      <c r="BS152" s="492" t="str">
        <f t="shared" si="316"/>
        <v/>
      </c>
      <c r="BT152" s="492" t="str">
        <f t="shared" si="317"/>
        <v/>
      </c>
      <c r="BU152" s="492" t="str">
        <f t="shared" si="318"/>
        <v/>
      </c>
      <c r="BV152" s="492" t="str">
        <f t="shared" si="319"/>
        <v/>
      </c>
      <c r="BW152" s="492" t="str">
        <f t="shared" si="320"/>
        <v/>
      </c>
      <c r="BX152" s="492" t="str">
        <f t="shared" si="321"/>
        <v/>
      </c>
      <c r="BY152" s="492" t="str">
        <f t="shared" si="322"/>
        <v/>
      </c>
      <c r="BZ152" s="492" t="str">
        <f t="shared" si="323"/>
        <v/>
      </c>
      <c r="CA152" s="492" t="str">
        <f t="shared" si="324"/>
        <v/>
      </c>
      <c r="CB152" s="492" t="str">
        <f t="shared" si="325"/>
        <v/>
      </c>
      <c r="CC152" s="492" t="str">
        <f t="shared" si="326"/>
        <v/>
      </c>
      <c r="CD152" s="492" t="str">
        <f t="shared" si="327"/>
        <v/>
      </c>
      <c r="CE152" s="492" t="str">
        <f t="shared" si="328"/>
        <v/>
      </c>
      <c r="CF152" s="492" t="str">
        <f t="shared" si="329"/>
        <v/>
      </c>
      <c r="CG152" s="492" t="str">
        <f t="shared" si="330"/>
        <v/>
      </c>
      <c r="CH152" s="492" t="str">
        <f t="shared" si="331"/>
        <v/>
      </c>
      <c r="CI152" s="492" t="str">
        <f t="shared" si="332"/>
        <v/>
      </c>
      <c r="CJ152" s="492" t="str">
        <f t="shared" si="333"/>
        <v/>
      </c>
      <c r="CK152" s="492" t="str">
        <f t="shared" si="334"/>
        <v/>
      </c>
      <c r="CL152" s="492" t="str">
        <f t="shared" si="335"/>
        <v/>
      </c>
      <c r="CM152" s="492" t="str">
        <f t="shared" si="336"/>
        <v/>
      </c>
      <c r="CN152" s="492" t="str">
        <f t="shared" si="337"/>
        <v/>
      </c>
      <c r="CO152" s="492" t="str">
        <f t="shared" si="338"/>
        <v/>
      </c>
      <c r="CP152" s="492" t="str">
        <f t="shared" si="339"/>
        <v/>
      </c>
      <c r="CQ152" s="492" t="str">
        <f t="shared" si="207"/>
        <v/>
      </c>
      <c r="CR152" s="492" t="str">
        <f t="shared" si="208"/>
        <v/>
      </c>
      <c r="CS152" s="492" t="str">
        <f t="shared" si="209"/>
        <v/>
      </c>
      <c r="CT152" s="492" t="str">
        <f t="shared" si="210"/>
        <v/>
      </c>
      <c r="CU152" s="492" t="str">
        <f t="shared" si="211"/>
        <v/>
      </c>
      <c r="CV152" s="492" t="str">
        <f t="shared" si="212"/>
        <v/>
      </c>
      <c r="CW152" s="495">
        <v>1</v>
      </c>
      <c r="CX152" s="496"/>
      <c r="CY152" s="496"/>
      <c r="CZ152" s="496"/>
      <c r="DA152" s="496"/>
      <c r="DB152" s="496"/>
    </row>
    <row r="153" spans="1:106" ht="13.5" customHeight="1">
      <c r="A153" s="1232">
        <v>143</v>
      </c>
      <c r="B153" s="1233"/>
      <c r="C153" s="1230"/>
      <c r="D153" s="1234"/>
      <c r="E153" s="1231"/>
      <c r="F153" s="1230"/>
      <c r="G153" s="1234"/>
      <c r="H153" s="1231"/>
      <c r="I153" s="1230"/>
      <c r="J153" s="1231"/>
      <c r="K153" s="1290"/>
      <c r="L153" s="1291"/>
      <c r="M153" s="1290"/>
      <c r="N153" s="1291"/>
      <c r="O153" s="1290"/>
      <c r="P153" s="1291"/>
      <c r="Q153" s="1230"/>
      <c r="R153" s="1231"/>
      <c r="S153" s="1230"/>
      <c r="T153" s="1231"/>
      <c r="U153" s="1228"/>
      <c r="V153" s="1229"/>
      <c r="W153" s="1230"/>
      <c r="X153" s="1231"/>
      <c r="Y153" s="1226"/>
      <c r="Z153" s="1227"/>
      <c r="AA153" s="1275"/>
      <c r="AB153" s="1275"/>
      <c r="AC153" s="1212" t="str">
        <f t="shared" si="340"/>
        <v/>
      </c>
      <c r="AD153" s="1213"/>
      <c r="AE153" s="1213"/>
      <c r="AF153" s="1213"/>
      <c r="AG153" s="492" t="str">
        <f t="shared" si="278"/>
        <v/>
      </c>
      <c r="AH153" s="466" t="str">
        <f t="shared" si="279"/>
        <v/>
      </c>
      <c r="AI153" s="466" t="str">
        <f t="shared" si="280"/>
        <v/>
      </c>
      <c r="AJ153" s="466" t="str">
        <f t="shared" si="281"/>
        <v/>
      </c>
      <c r="AK153" s="492" t="str">
        <f t="shared" si="282"/>
        <v>○</v>
      </c>
      <c r="AL153" s="492" t="str">
        <f t="shared" si="283"/>
        <v/>
      </c>
      <c r="AM153" s="492" t="str">
        <f t="shared" si="284"/>
        <v/>
      </c>
      <c r="AN153" s="492" t="str">
        <f t="shared" si="285"/>
        <v/>
      </c>
      <c r="AO153" s="492" t="str">
        <f t="shared" si="286"/>
        <v/>
      </c>
      <c r="AP153" s="492" t="str">
        <f t="shared" si="287"/>
        <v/>
      </c>
      <c r="AQ153" s="492" t="str">
        <f t="shared" si="288"/>
        <v/>
      </c>
      <c r="AR153" s="492" t="str">
        <f t="shared" si="289"/>
        <v/>
      </c>
      <c r="AS153" s="492" t="str">
        <f t="shared" si="290"/>
        <v/>
      </c>
      <c r="AT153" s="492" t="str">
        <f t="shared" si="291"/>
        <v/>
      </c>
      <c r="AU153" s="492" t="str">
        <f t="shared" si="292"/>
        <v/>
      </c>
      <c r="AV153" s="492" t="str">
        <f t="shared" si="293"/>
        <v/>
      </c>
      <c r="AW153" s="492" t="str">
        <f t="shared" si="294"/>
        <v/>
      </c>
      <c r="AX153" s="492" t="str">
        <f t="shared" si="295"/>
        <v/>
      </c>
      <c r="AY153" s="492" t="str">
        <f t="shared" si="296"/>
        <v/>
      </c>
      <c r="AZ153" s="492" t="str">
        <f t="shared" si="297"/>
        <v/>
      </c>
      <c r="BA153" s="492" t="str">
        <f t="shared" si="298"/>
        <v/>
      </c>
      <c r="BB153" s="492" t="str">
        <f t="shared" si="299"/>
        <v/>
      </c>
      <c r="BC153" s="492" t="str">
        <f t="shared" si="300"/>
        <v/>
      </c>
      <c r="BD153" s="492" t="str">
        <f t="shared" si="301"/>
        <v/>
      </c>
      <c r="BE153" s="492" t="str">
        <f t="shared" si="302"/>
        <v/>
      </c>
      <c r="BF153" s="492" t="str">
        <f t="shared" si="303"/>
        <v/>
      </c>
      <c r="BG153" s="492" t="str">
        <f t="shared" si="304"/>
        <v/>
      </c>
      <c r="BH153" s="492" t="str">
        <f t="shared" si="305"/>
        <v/>
      </c>
      <c r="BI153" s="492" t="str">
        <f t="shared" si="306"/>
        <v/>
      </c>
      <c r="BJ153" s="492" t="str">
        <f t="shared" si="307"/>
        <v/>
      </c>
      <c r="BK153" s="492" t="str">
        <f t="shared" si="308"/>
        <v/>
      </c>
      <c r="BL153" s="492" t="str">
        <f t="shared" si="309"/>
        <v/>
      </c>
      <c r="BM153" s="492" t="str">
        <f t="shared" si="310"/>
        <v/>
      </c>
      <c r="BN153" s="492" t="str">
        <f t="shared" si="311"/>
        <v/>
      </c>
      <c r="BO153" s="492" t="str">
        <f t="shared" si="312"/>
        <v/>
      </c>
      <c r="BP153" s="492" t="str">
        <f t="shared" si="313"/>
        <v/>
      </c>
      <c r="BQ153" s="492" t="str">
        <f t="shared" si="314"/>
        <v/>
      </c>
      <c r="BR153" s="492" t="str">
        <f t="shared" si="315"/>
        <v/>
      </c>
      <c r="BS153" s="492" t="str">
        <f t="shared" si="316"/>
        <v/>
      </c>
      <c r="BT153" s="492" t="str">
        <f t="shared" si="317"/>
        <v/>
      </c>
      <c r="BU153" s="492" t="str">
        <f t="shared" si="318"/>
        <v/>
      </c>
      <c r="BV153" s="492" t="str">
        <f t="shared" si="319"/>
        <v/>
      </c>
      <c r="BW153" s="492" t="str">
        <f t="shared" si="320"/>
        <v/>
      </c>
      <c r="BX153" s="492" t="str">
        <f t="shared" si="321"/>
        <v/>
      </c>
      <c r="BY153" s="492" t="str">
        <f t="shared" si="322"/>
        <v/>
      </c>
      <c r="BZ153" s="492" t="str">
        <f t="shared" si="323"/>
        <v/>
      </c>
      <c r="CA153" s="492" t="str">
        <f t="shared" si="324"/>
        <v/>
      </c>
      <c r="CB153" s="492" t="str">
        <f t="shared" si="325"/>
        <v/>
      </c>
      <c r="CC153" s="492" t="str">
        <f t="shared" si="326"/>
        <v/>
      </c>
      <c r="CD153" s="492" t="str">
        <f t="shared" si="327"/>
        <v/>
      </c>
      <c r="CE153" s="492" t="str">
        <f t="shared" si="328"/>
        <v/>
      </c>
      <c r="CF153" s="492" t="str">
        <f t="shared" si="329"/>
        <v/>
      </c>
      <c r="CG153" s="492" t="str">
        <f t="shared" si="330"/>
        <v/>
      </c>
      <c r="CH153" s="492" t="str">
        <f t="shared" si="331"/>
        <v/>
      </c>
      <c r="CI153" s="492" t="str">
        <f t="shared" si="332"/>
        <v/>
      </c>
      <c r="CJ153" s="492" t="str">
        <f t="shared" si="333"/>
        <v/>
      </c>
      <c r="CK153" s="492" t="str">
        <f t="shared" si="334"/>
        <v/>
      </c>
      <c r="CL153" s="492" t="str">
        <f t="shared" si="335"/>
        <v/>
      </c>
      <c r="CM153" s="492" t="str">
        <f t="shared" si="336"/>
        <v/>
      </c>
      <c r="CN153" s="492" t="str">
        <f t="shared" si="337"/>
        <v/>
      </c>
      <c r="CO153" s="492" t="str">
        <f t="shared" si="338"/>
        <v/>
      </c>
      <c r="CP153" s="492" t="str">
        <f t="shared" si="339"/>
        <v/>
      </c>
      <c r="CQ153" s="492" t="str">
        <f t="shared" si="207"/>
        <v/>
      </c>
      <c r="CR153" s="492" t="str">
        <f t="shared" si="208"/>
        <v/>
      </c>
      <c r="CS153" s="492" t="str">
        <f t="shared" si="209"/>
        <v/>
      </c>
      <c r="CT153" s="492" t="str">
        <f t="shared" si="210"/>
        <v/>
      </c>
      <c r="CU153" s="492" t="str">
        <f t="shared" si="211"/>
        <v/>
      </c>
      <c r="CV153" s="492" t="str">
        <f t="shared" si="212"/>
        <v/>
      </c>
      <c r="CW153" s="495">
        <v>1</v>
      </c>
      <c r="CX153" s="496"/>
      <c r="CY153" s="496"/>
      <c r="CZ153" s="496"/>
      <c r="DA153" s="496"/>
      <c r="DB153" s="496"/>
    </row>
    <row r="154" spans="1:106" ht="13.5" customHeight="1">
      <c r="A154" s="1232">
        <v>144</v>
      </c>
      <c r="B154" s="1233"/>
      <c r="C154" s="1230"/>
      <c r="D154" s="1234"/>
      <c r="E154" s="1231"/>
      <c r="F154" s="1230"/>
      <c r="G154" s="1234"/>
      <c r="H154" s="1231"/>
      <c r="I154" s="1230"/>
      <c r="J154" s="1231"/>
      <c r="K154" s="1290"/>
      <c r="L154" s="1291"/>
      <c r="M154" s="1290"/>
      <c r="N154" s="1291"/>
      <c r="O154" s="1290"/>
      <c r="P154" s="1291"/>
      <c r="Q154" s="1230"/>
      <c r="R154" s="1231"/>
      <c r="S154" s="1230"/>
      <c r="T154" s="1231"/>
      <c r="U154" s="1228"/>
      <c r="V154" s="1229"/>
      <c r="W154" s="1230"/>
      <c r="X154" s="1231"/>
      <c r="Y154" s="1226"/>
      <c r="Z154" s="1227"/>
      <c r="AA154" s="1275"/>
      <c r="AB154" s="1275"/>
      <c r="AC154" s="1212" t="str">
        <f t="shared" si="340"/>
        <v/>
      </c>
      <c r="AD154" s="1213"/>
      <c r="AE154" s="1213"/>
      <c r="AF154" s="1213"/>
      <c r="AG154" s="492" t="str">
        <f t="shared" si="278"/>
        <v/>
      </c>
      <c r="AH154" s="466" t="str">
        <f t="shared" si="279"/>
        <v/>
      </c>
      <c r="AI154" s="466" t="str">
        <f t="shared" si="280"/>
        <v/>
      </c>
      <c r="AJ154" s="466" t="str">
        <f t="shared" si="281"/>
        <v/>
      </c>
      <c r="AK154" s="492" t="str">
        <f t="shared" si="282"/>
        <v>○</v>
      </c>
      <c r="AL154" s="492" t="str">
        <f t="shared" si="283"/>
        <v/>
      </c>
      <c r="AM154" s="492" t="str">
        <f t="shared" si="284"/>
        <v/>
      </c>
      <c r="AN154" s="492" t="str">
        <f t="shared" si="285"/>
        <v/>
      </c>
      <c r="AO154" s="492" t="str">
        <f t="shared" si="286"/>
        <v/>
      </c>
      <c r="AP154" s="492" t="str">
        <f t="shared" si="287"/>
        <v/>
      </c>
      <c r="AQ154" s="492" t="str">
        <f t="shared" si="288"/>
        <v/>
      </c>
      <c r="AR154" s="492" t="str">
        <f t="shared" si="289"/>
        <v/>
      </c>
      <c r="AS154" s="492" t="str">
        <f t="shared" si="290"/>
        <v/>
      </c>
      <c r="AT154" s="492" t="str">
        <f t="shared" si="291"/>
        <v/>
      </c>
      <c r="AU154" s="492" t="str">
        <f t="shared" si="292"/>
        <v/>
      </c>
      <c r="AV154" s="492" t="str">
        <f t="shared" si="293"/>
        <v/>
      </c>
      <c r="AW154" s="492" t="str">
        <f t="shared" si="294"/>
        <v/>
      </c>
      <c r="AX154" s="492" t="str">
        <f t="shared" si="295"/>
        <v/>
      </c>
      <c r="AY154" s="492" t="str">
        <f t="shared" si="296"/>
        <v/>
      </c>
      <c r="AZ154" s="492" t="str">
        <f t="shared" si="297"/>
        <v/>
      </c>
      <c r="BA154" s="492" t="str">
        <f t="shared" si="298"/>
        <v/>
      </c>
      <c r="BB154" s="492" t="str">
        <f t="shared" si="299"/>
        <v/>
      </c>
      <c r="BC154" s="492" t="str">
        <f t="shared" si="300"/>
        <v/>
      </c>
      <c r="BD154" s="492" t="str">
        <f t="shared" si="301"/>
        <v/>
      </c>
      <c r="BE154" s="492" t="str">
        <f t="shared" si="302"/>
        <v/>
      </c>
      <c r="BF154" s="492" t="str">
        <f t="shared" si="303"/>
        <v/>
      </c>
      <c r="BG154" s="492" t="str">
        <f t="shared" si="304"/>
        <v/>
      </c>
      <c r="BH154" s="492" t="str">
        <f t="shared" si="305"/>
        <v/>
      </c>
      <c r="BI154" s="492" t="str">
        <f t="shared" si="306"/>
        <v/>
      </c>
      <c r="BJ154" s="492" t="str">
        <f t="shared" si="307"/>
        <v/>
      </c>
      <c r="BK154" s="492" t="str">
        <f t="shared" si="308"/>
        <v/>
      </c>
      <c r="BL154" s="492" t="str">
        <f t="shared" si="309"/>
        <v/>
      </c>
      <c r="BM154" s="492" t="str">
        <f t="shared" si="310"/>
        <v/>
      </c>
      <c r="BN154" s="492" t="str">
        <f t="shared" si="311"/>
        <v/>
      </c>
      <c r="BO154" s="492" t="str">
        <f t="shared" si="312"/>
        <v/>
      </c>
      <c r="BP154" s="492" t="str">
        <f t="shared" si="313"/>
        <v/>
      </c>
      <c r="BQ154" s="492" t="str">
        <f t="shared" si="314"/>
        <v/>
      </c>
      <c r="BR154" s="492" t="str">
        <f t="shared" si="315"/>
        <v/>
      </c>
      <c r="BS154" s="492" t="str">
        <f t="shared" si="316"/>
        <v/>
      </c>
      <c r="BT154" s="492" t="str">
        <f t="shared" si="317"/>
        <v/>
      </c>
      <c r="BU154" s="492" t="str">
        <f t="shared" si="318"/>
        <v/>
      </c>
      <c r="BV154" s="492" t="str">
        <f t="shared" si="319"/>
        <v/>
      </c>
      <c r="BW154" s="492" t="str">
        <f t="shared" si="320"/>
        <v/>
      </c>
      <c r="BX154" s="492" t="str">
        <f t="shared" si="321"/>
        <v/>
      </c>
      <c r="BY154" s="492" t="str">
        <f t="shared" si="322"/>
        <v/>
      </c>
      <c r="BZ154" s="492" t="str">
        <f t="shared" si="323"/>
        <v/>
      </c>
      <c r="CA154" s="492" t="str">
        <f t="shared" si="324"/>
        <v/>
      </c>
      <c r="CB154" s="492" t="str">
        <f t="shared" si="325"/>
        <v/>
      </c>
      <c r="CC154" s="492" t="str">
        <f t="shared" si="326"/>
        <v/>
      </c>
      <c r="CD154" s="492" t="str">
        <f t="shared" si="327"/>
        <v/>
      </c>
      <c r="CE154" s="492" t="str">
        <f t="shared" si="328"/>
        <v/>
      </c>
      <c r="CF154" s="492" t="str">
        <f t="shared" si="329"/>
        <v/>
      </c>
      <c r="CG154" s="492" t="str">
        <f t="shared" si="330"/>
        <v/>
      </c>
      <c r="CH154" s="492" t="str">
        <f t="shared" si="331"/>
        <v/>
      </c>
      <c r="CI154" s="492" t="str">
        <f t="shared" si="332"/>
        <v/>
      </c>
      <c r="CJ154" s="492" t="str">
        <f t="shared" si="333"/>
        <v/>
      </c>
      <c r="CK154" s="492" t="str">
        <f t="shared" si="334"/>
        <v/>
      </c>
      <c r="CL154" s="492" t="str">
        <f t="shared" si="335"/>
        <v/>
      </c>
      <c r="CM154" s="492" t="str">
        <f t="shared" si="336"/>
        <v/>
      </c>
      <c r="CN154" s="492" t="str">
        <f t="shared" si="337"/>
        <v/>
      </c>
      <c r="CO154" s="492" t="str">
        <f t="shared" si="338"/>
        <v/>
      </c>
      <c r="CP154" s="492" t="str">
        <f t="shared" si="339"/>
        <v/>
      </c>
      <c r="CQ154" s="492" t="str">
        <f t="shared" si="207"/>
        <v/>
      </c>
      <c r="CR154" s="492" t="str">
        <f t="shared" si="208"/>
        <v/>
      </c>
      <c r="CS154" s="492" t="str">
        <f t="shared" si="209"/>
        <v/>
      </c>
      <c r="CT154" s="492" t="str">
        <f t="shared" si="210"/>
        <v/>
      </c>
      <c r="CU154" s="492" t="str">
        <f t="shared" si="211"/>
        <v/>
      </c>
      <c r="CV154" s="492" t="str">
        <f t="shared" si="212"/>
        <v/>
      </c>
      <c r="CW154" s="495">
        <v>1</v>
      </c>
      <c r="CX154" s="496"/>
      <c r="CY154" s="496"/>
      <c r="CZ154" s="496"/>
      <c r="DA154" s="496"/>
      <c r="DB154" s="496"/>
    </row>
    <row r="155" spans="1:106" ht="13.5" customHeight="1">
      <c r="A155" s="1232">
        <v>145</v>
      </c>
      <c r="B155" s="1233"/>
      <c r="C155" s="1230"/>
      <c r="D155" s="1234"/>
      <c r="E155" s="1231"/>
      <c r="F155" s="1230"/>
      <c r="G155" s="1234"/>
      <c r="H155" s="1231"/>
      <c r="I155" s="1230"/>
      <c r="J155" s="1231"/>
      <c r="K155" s="1290"/>
      <c r="L155" s="1291"/>
      <c r="M155" s="1290"/>
      <c r="N155" s="1291"/>
      <c r="O155" s="1290"/>
      <c r="P155" s="1291"/>
      <c r="Q155" s="1230"/>
      <c r="R155" s="1231"/>
      <c r="S155" s="1230"/>
      <c r="T155" s="1231"/>
      <c r="U155" s="1228"/>
      <c r="V155" s="1229"/>
      <c r="W155" s="1230"/>
      <c r="X155" s="1231"/>
      <c r="Y155" s="1226"/>
      <c r="Z155" s="1227"/>
      <c r="AA155" s="1275"/>
      <c r="AB155" s="1275"/>
      <c r="AC155" s="1212" t="str">
        <f>IF(S155="","",IF(AND(M155="標準",S155="○",O155=""),"※下表に記載必要箇所あり(①)",IF(AND(M155="標準",S155="○",O155="分園"),"※下表に記載必要箇所あり(③)",IF(AND(M155="短時間",S155="○",O155=""),"※下表に記載必要箇所あり(②)","※下表に記載必要箇所あり(④)"))))</f>
        <v/>
      </c>
      <c r="AD155" s="1213"/>
      <c r="AE155" s="1213"/>
      <c r="AF155" s="1213"/>
      <c r="AG155" s="492" t="str">
        <f t="shared" si="278"/>
        <v/>
      </c>
      <c r="AH155" s="466" t="str">
        <f t="shared" si="279"/>
        <v/>
      </c>
      <c r="AI155" s="466" t="str">
        <f t="shared" si="280"/>
        <v/>
      </c>
      <c r="AJ155" s="466" t="str">
        <f t="shared" si="281"/>
        <v/>
      </c>
      <c r="AK155" s="492" t="str">
        <f t="shared" si="282"/>
        <v>○</v>
      </c>
      <c r="AL155" s="492" t="str">
        <f t="shared" si="283"/>
        <v/>
      </c>
      <c r="AM155" s="492" t="str">
        <f t="shared" si="284"/>
        <v/>
      </c>
      <c r="AN155" s="492" t="str">
        <f t="shared" si="285"/>
        <v/>
      </c>
      <c r="AO155" s="492" t="str">
        <f t="shared" si="286"/>
        <v/>
      </c>
      <c r="AP155" s="492" t="str">
        <f t="shared" si="287"/>
        <v/>
      </c>
      <c r="AQ155" s="492" t="str">
        <f t="shared" si="288"/>
        <v/>
      </c>
      <c r="AR155" s="492" t="str">
        <f t="shared" si="289"/>
        <v/>
      </c>
      <c r="AS155" s="492" t="str">
        <f t="shared" si="290"/>
        <v/>
      </c>
      <c r="AT155" s="492" t="str">
        <f t="shared" si="291"/>
        <v/>
      </c>
      <c r="AU155" s="492" t="str">
        <f t="shared" si="292"/>
        <v/>
      </c>
      <c r="AV155" s="492" t="str">
        <f t="shared" si="293"/>
        <v/>
      </c>
      <c r="AW155" s="492" t="str">
        <f t="shared" si="294"/>
        <v/>
      </c>
      <c r="AX155" s="492" t="str">
        <f t="shared" si="295"/>
        <v/>
      </c>
      <c r="AY155" s="492" t="str">
        <f t="shared" si="296"/>
        <v/>
      </c>
      <c r="AZ155" s="492" t="str">
        <f t="shared" si="297"/>
        <v/>
      </c>
      <c r="BA155" s="492" t="str">
        <f t="shared" si="298"/>
        <v/>
      </c>
      <c r="BB155" s="492" t="str">
        <f t="shared" si="299"/>
        <v/>
      </c>
      <c r="BC155" s="492" t="str">
        <f t="shared" si="300"/>
        <v/>
      </c>
      <c r="BD155" s="492" t="str">
        <f t="shared" si="301"/>
        <v/>
      </c>
      <c r="BE155" s="492" t="str">
        <f t="shared" si="302"/>
        <v/>
      </c>
      <c r="BF155" s="492" t="str">
        <f t="shared" si="303"/>
        <v/>
      </c>
      <c r="BG155" s="492" t="str">
        <f t="shared" si="304"/>
        <v/>
      </c>
      <c r="BH155" s="492" t="str">
        <f t="shared" si="305"/>
        <v/>
      </c>
      <c r="BI155" s="492" t="str">
        <f t="shared" si="306"/>
        <v/>
      </c>
      <c r="BJ155" s="492" t="str">
        <f t="shared" si="307"/>
        <v/>
      </c>
      <c r="BK155" s="492" t="str">
        <f t="shared" si="308"/>
        <v/>
      </c>
      <c r="BL155" s="492" t="str">
        <f t="shared" si="309"/>
        <v/>
      </c>
      <c r="BM155" s="492" t="str">
        <f t="shared" si="310"/>
        <v/>
      </c>
      <c r="BN155" s="492" t="str">
        <f t="shared" si="311"/>
        <v/>
      </c>
      <c r="BO155" s="492" t="str">
        <f t="shared" si="312"/>
        <v/>
      </c>
      <c r="BP155" s="492" t="str">
        <f t="shared" si="313"/>
        <v/>
      </c>
      <c r="BQ155" s="492" t="str">
        <f t="shared" si="314"/>
        <v/>
      </c>
      <c r="BR155" s="492" t="str">
        <f t="shared" si="315"/>
        <v/>
      </c>
      <c r="BS155" s="492" t="str">
        <f t="shared" si="316"/>
        <v/>
      </c>
      <c r="BT155" s="492" t="str">
        <f t="shared" si="317"/>
        <v/>
      </c>
      <c r="BU155" s="492" t="str">
        <f t="shared" si="318"/>
        <v/>
      </c>
      <c r="BV155" s="492" t="str">
        <f t="shared" si="319"/>
        <v/>
      </c>
      <c r="BW155" s="492" t="str">
        <f t="shared" si="320"/>
        <v/>
      </c>
      <c r="BX155" s="492" t="str">
        <f t="shared" si="321"/>
        <v/>
      </c>
      <c r="BY155" s="492" t="str">
        <f t="shared" si="322"/>
        <v/>
      </c>
      <c r="BZ155" s="492" t="str">
        <f t="shared" si="323"/>
        <v/>
      </c>
      <c r="CA155" s="492" t="str">
        <f t="shared" si="324"/>
        <v/>
      </c>
      <c r="CB155" s="492" t="str">
        <f t="shared" si="325"/>
        <v/>
      </c>
      <c r="CC155" s="492" t="str">
        <f t="shared" si="326"/>
        <v/>
      </c>
      <c r="CD155" s="492" t="str">
        <f t="shared" si="327"/>
        <v/>
      </c>
      <c r="CE155" s="492" t="str">
        <f t="shared" si="328"/>
        <v/>
      </c>
      <c r="CF155" s="492" t="str">
        <f t="shared" si="329"/>
        <v/>
      </c>
      <c r="CG155" s="492" t="str">
        <f t="shared" si="330"/>
        <v/>
      </c>
      <c r="CH155" s="492" t="str">
        <f t="shared" si="331"/>
        <v/>
      </c>
      <c r="CI155" s="492" t="str">
        <f t="shared" si="332"/>
        <v/>
      </c>
      <c r="CJ155" s="492" t="str">
        <f t="shared" si="333"/>
        <v/>
      </c>
      <c r="CK155" s="492" t="str">
        <f t="shared" si="334"/>
        <v/>
      </c>
      <c r="CL155" s="492" t="str">
        <f t="shared" si="335"/>
        <v/>
      </c>
      <c r="CM155" s="492" t="str">
        <f t="shared" si="336"/>
        <v/>
      </c>
      <c r="CN155" s="492" t="str">
        <f t="shared" si="337"/>
        <v/>
      </c>
      <c r="CO155" s="492" t="str">
        <f t="shared" si="338"/>
        <v/>
      </c>
      <c r="CP155" s="492" t="str">
        <f t="shared" si="339"/>
        <v/>
      </c>
      <c r="CQ155" s="492" t="str">
        <f t="shared" si="207"/>
        <v/>
      </c>
      <c r="CR155" s="492" t="str">
        <f t="shared" si="208"/>
        <v/>
      </c>
      <c r="CS155" s="492" t="str">
        <f t="shared" si="209"/>
        <v/>
      </c>
      <c r="CT155" s="492" t="str">
        <f t="shared" si="210"/>
        <v/>
      </c>
      <c r="CU155" s="492" t="str">
        <f t="shared" si="211"/>
        <v/>
      </c>
      <c r="CV155" s="492" t="str">
        <f t="shared" si="212"/>
        <v/>
      </c>
      <c r="CW155" s="495">
        <v>1</v>
      </c>
      <c r="CX155" s="496"/>
      <c r="CY155" s="496"/>
      <c r="CZ155" s="496"/>
      <c r="DA155" s="496"/>
      <c r="DB155" s="496"/>
    </row>
    <row r="156" spans="1:106" ht="13.5" customHeight="1">
      <c r="A156" s="1232">
        <v>146</v>
      </c>
      <c r="B156" s="1233"/>
      <c r="C156" s="1230"/>
      <c r="D156" s="1234"/>
      <c r="E156" s="1231"/>
      <c r="F156" s="1230"/>
      <c r="G156" s="1234"/>
      <c r="H156" s="1231"/>
      <c r="I156" s="1230"/>
      <c r="J156" s="1231"/>
      <c r="K156" s="1290"/>
      <c r="L156" s="1291"/>
      <c r="M156" s="1290"/>
      <c r="N156" s="1291"/>
      <c r="O156" s="1290"/>
      <c r="P156" s="1291"/>
      <c r="Q156" s="1230"/>
      <c r="R156" s="1231"/>
      <c r="S156" s="1230"/>
      <c r="T156" s="1231"/>
      <c r="U156" s="1228"/>
      <c r="V156" s="1229"/>
      <c r="W156" s="1230"/>
      <c r="X156" s="1231"/>
      <c r="Y156" s="1226"/>
      <c r="Z156" s="1227"/>
      <c r="AA156" s="1275"/>
      <c r="AB156" s="1275"/>
      <c r="AC156" s="1212" t="str">
        <f t="shared" ref="AC156:AC160" si="341">IF(S156="","",IF(AND(M156="標準",S156="○",O156=""),"※下表に記載必要箇所あり(①)",IF(AND(M156="標準",S156="○",O156="分園"),"※下表に記載必要箇所あり(③)",IF(AND(M156="短時間",S156="○",O156=""),"※下表に記載必要箇所あり(②)","※下表に記載必要箇所あり(④)"))))</f>
        <v/>
      </c>
      <c r="AD156" s="1213"/>
      <c r="AE156" s="1213"/>
      <c r="AF156" s="1213"/>
      <c r="AG156" s="492" t="str">
        <f t="shared" si="278"/>
        <v/>
      </c>
      <c r="AH156" s="466" t="str">
        <f t="shared" si="279"/>
        <v/>
      </c>
      <c r="AI156" s="466" t="str">
        <f t="shared" si="280"/>
        <v/>
      </c>
      <c r="AJ156" s="466" t="str">
        <f t="shared" si="281"/>
        <v/>
      </c>
      <c r="AK156" s="492" t="str">
        <f t="shared" si="282"/>
        <v>○</v>
      </c>
      <c r="AL156" s="492" t="str">
        <f t="shared" si="283"/>
        <v/>
      </c>
      <c r="AM156" s="492" t="str">
        <f t="shared" si="284"/>
        <v/>
      </c>
      <c r="AN156" s="492" t="str">
        <f t="shared" si="285"/>
        <v/>
      </c>
      <c r="AO156" s="492" t="str">
        <f t="shared" si="286"/>
        <v/>
      </c>
      <c r="AP156" s="492" t="str">
        <f t="shared" si="287"/>
        <v/>
      </c>
      <c r="AQ156" s="492" t="str">
        <f t="shared" si="288"/>
        <v/>
      </c>
      <c r="AR156" s="492" t="str">
        <f t="shared" si="289"/>
        <v/>
      </c>
      <c r="AS156" s="492" t="str">
        <f t="shared" si="290"/>
        <v/>
      </c>
      <c r="AT156" s="492" t="str">
        <f t="shared" si="291"/>
        <v/>
      </c>
      <c r="AU156" s="492" t="str">
        <f t="shared" si="292"/>
        <v/>
      </c>
      <c r="AV156" s="492" t="str">
        <f t="shared" si="293"/>
        <v/>
      </c>
      <c r="AW156" s="492" t="str">
        <f t="shared" si="294"/>
        <v/>
      </c>
      <c r="AX156" s="492" t="str">
        <f t="shared" si="295"/>
        <v/>
      </c>
      <c r="AY156" s="492" t="str">
        <f t="shared" si="296"/>
        <v/>
      </c>
      <c r="AZ156" s="492" t="str">
        <f t="shared" si="297"/>
        <v/>
      </c>
      <c r="BA156" s="492" t="str">
        <f t="shared" si="298"/>
        <v/>
      </c>
      <c r="BB156" s="492" t="str">
        <f t="shared" si="299"/>
        <v/>
      </c>
      <c r="BC156" s="492" t="str">
        <f t="shared" si="300"/>
        <v/>
      </c>
      <c r="BD156" s="492" t="str">
        <f t="shared" si="301"/>
        <v/>
      </c>
      <c r="BE156" s="492" t="str">
        <f t="shared" si="302"/>
        <v/>
      </c>
      <c r="BF156" s="492" t="str">
        <f t="shared" si="303"/>
        <v/>
      </c>
      <c r="BG156" s="492" t="str">
        <f t="shared" si="304"/>
        <v/>
      </c>
      <c r="BH156" s="492" t="str">
        <f t="shared" si="305"/>
        <v/>
      </c>
      <c r="BI156" s="492" t="str">
        <f t="shared" si="306"/>
        <v/>
      </c>
      <c r="BJ156" s="492" t="str">
        <f t="shared" si="307"/>
        <v/>
      </c>
      <c r="BK156" s="492" t="str">
        <f t="shared" si="308"/>
        <v/>
      </c>
      <c r="BL156" s="492" t="str">
        <f t="shared" si="309"/>
        <v/>
      </c>
      <c r="BM156" s="492" t="str">
        <f t="shared" si="310"/>
        <v/>
      </c>
      <c r="BN156" s="492" t="str">
        <f t="shared" si="311"/>
        <v/>
      </c>
      <c r="BO156" s="492" t="str">
        <f t="shared" si="312"/>
        <v/>
      </c>
      <c r="BP156" s="492" t="str">
        <f t="shared" si="313"/>
        <v/>
      </c>
      <c r="BQ156" s="492" t="str">
        <f t="shared" si="314"/>
        <v/>
      </c>
      <c r="BR156" s="492" t="str">
        <f t="shared" si="315"/>
        <v/>
      </c>
      <c r="BS156" s="492" t="str">
        <f t="shared" si="316"/>
        <v/>
      </c>
      <c r="BT156" s="492" t="str">
        <f t="shared" si="317"/>
        <v/>
      </c>
      <c r="BU156" s="492" t="str">
        <f t="shared" si="318"/>
        <v/>
      </c>
      <c r="BV156" s="492" t="str">
        <f t="shared" si="319"/>
        <v/>
      </c>
      <c r="BW156" s="492" t="str">
        <f t="shared" si="320"/>
        <v/>
      </c>
      <c r="BX156" s="492" t="str">
        <f t="shared" si="321"/>
        <v/>
      </c>
      <c r="BY156" s="492" t="str">
        <f t="shared" si="322"/>
        <v/>
      </c>
      <c r="BZ156" s="492" t="str">
        <f t="shared" si="323"/>
        <v/>
      </c>
      <c r="CA156" s="492" t="str">
        <f t="shared" si="324"/>
        <v/>
      </c>
      <c r="CB156" s="492" t="str">
        <f t="shared" si="325"/>
        <v/>
      </c>
      <c r="CC156" s="492" t="str">
        <f t="shared" si="326"/>
        <v/>
      </c>
      <c r="CD156" s="492" t="str">
        <f t="shared" si="327"/>
        <v/>
      </c>
      <c r="CE156" s="492" t="str">
        <f t="shared" si="328"/>
        <v/>
      </c>
      <c r="CF156" s="492" t="str">
        <f t="shared" si="329"/>
        <v/>
      </c>
      <c r="CG156" s="492" t="str">
        <f t="shared" si="330"/>
        <v/>
      </c>
      <c r="CH156" s="492" t="str">
        <f t="shared" si="331"/>
        <v/>
      </c>
      <c r="CI156" s="492" t="str">
        <f t="shared" si="332"/>
        <v/>
      </c>
      <c r="CJ156" s="492" t="str">
        <f t="shared" si="333"/>
        <v/>
      </c>
      <c r="CK156" s="492" t="str">
        <f t="shared" si="334"/>
        <v/>
      </c>
      <c r="CL156" s="492" t="str">
        <f t="shared" si="335"/>
        <v/>
      </c>
      <c r="CM156" s="492" t="str">
        <f t="shared" si="336"/>
        <v/>
      </c>
      <c r="CN156" s="492" t="str">
        <f t="shared" si="337"/>
        <v/>
      </c>
      <c r="CO156" s="492" t="str">
        <f t="shared" si="338"/>
        <v/>
      </c>
      <c r="CP156" s="492" t="str">
        <f t="shared" si="339"/>
        <v/>
      </c>
      <c r="CQ156" s="492" t="str">
        <f t="shared" si="207"/>
        <v/>
      </c>
      <c r="CR156" s="492" t="str">
        <f t="shared" si="208"/>
        <v/>
      </c>
      <c r="CS156" s="492" t="str">
        <f t="shared" si="209"/>
        <v/>
      </c>
      <c r="CT156" s="492" t="str">
        <f t="shared" si="210"/>
        <v/>
      </c>
      <c r="CU156" s="492" t="str">
        <f t="shared" si="211"/>
        <v/>
      </c>
      <c r="CV156" s="492" t="str">
        <f t="shared" si="212"/>
        <v/>
      </c>
      <c r="CW156" s="495">
        <v>1</v>
      </c>
      <c r="CX156" s="496"/>
      <c r="CY156" s="496"/>
      <c r="CZ156" s="496"/>
      <c r="DA156" s="496"/>
      <c r="DB156" s="496"/>
    </row>
    <row r="157" spans="1:106" ht="13.5" customHeight="1">
      <c r="A157" s="1232">
        <v>147</v>
      </c>
      <c r="B157" s="1233"/>
      <c r="C157" s="1230"/>
      <c r="D157" s="1234"/>
      <c r="E157" s="1231"/>
      <c r="F157" s="1230"/>
      <c r="G157" s="1234"/>
      <c r="H157" s="1231"/>
      <c r="I157" s="1230"/>
      <c r="J157" s="1231"/>
      <c r="K157" s="1290"/>
      <c r="L157" s="1291"/>
      <c r="M157" s="1290"/>
      <c r="N157" s="1291"/>
      <c r="O157" s="1290"/>
      <c r="P157" s="1291"/>
      <c r="Q157" s="1230"/>
      <c r="R157" s="1231"/>
      <c r="S157" s="1230"/>
      <c r="T157" s="1231"/>
      <c r="U157" s="1228"/>
      <c r="V157" s="1229"/>
      <c r="W157" s="1230"/>
      <c r="X157" s="1231"/>
      <c r="Y157" s="1226"/>
      <c r="Z157" s="1227"/>
      <c r="AA157" s="1275"/>
      <c r="AB157" s="1275"/>
      <c r="AC157" s="1212" t="str">
        <f t="shared" si="341"/>
        <v/>
      </c>
      <c r="AD157" s="1213"/>
      <c r="AE157" s="1213"/>
      <c r="AF157" s="1213"/>
      <c r="AG157" s="492" t="str">
        <f t="shared" si="278"/>
        <v/>
      </c>
      <c r="AH157" s="466" t="str">
        <f t="shared" si="279"/>
        <v/>
      </c>
      <c r="AI157" s="466" t="str">
        <f t="shared" si="280"/>
        <v/>
      </c>
      <c r="AJ157" s="466" t="str">
        <f t="shared" si="281"/>
        <v/>
      </c>
      <c r="AK157" s="492" t="str">
        <f t="shared" si="282"/>
        <v>○</v>
      </c>
      <c r="AL157" s="492" t="str">
        <f t="shared" si="283"/>
        <v/>
      </c>
      <c r="AM157" s="492" t="str">
        <f t="shared" si="284"/>
        <v/>
      </c>
      <c r="AN157" s="492" t="str">
        <f t="shared" si="285"/>
        <v/>
      </c>
      <c r="AO157" s="492" t="str">
        <f t="shared" si="286"/>
        <v/>
      </c>
      <c r="AP157" s="492" t="str">
        <f t="shared" si="287"/>
        <v/>
      </c>
      <c r="AQ157" s="492" t="str">
        <f t="shared" si="288"/>
        <v/>
      </c>
      <c r="AR157" s="492" t="str">
        <f t="shared" si="289"/>
        <v/>
      </c>
      <c r="AS157" s="492" t="str">
        <f t="shared" si="290"/>
        <v/>
      </c>
      <c r="AT157" s="492" t="str">
        <f t="shared" si="291"/>
        <v/>
      </c>
      <c r="AU157" s="492" t="str">
        <f t="shared" si="292"/>
        <v/>
      </c>
      <c r="AV157" s="492" t="str">
        <f t="shared" si="293"/>
        <v/>
      </c>
      <c r="AW157" s="492" t="str">
        <f t="shared" si="294"/>
        <v/>
      </c>
      <c r="AX157" s="492" t="str">
        <f t="shared" si="295"/>
        <v/>
      </c>
      <c r="AY157" s="492" t="str">
        <f t="shared" si="296"/>
        <v/>
      </c>
      <c r="AZ157" s="492" t="str">
        <f t="shared" si="297"/>
        <v/>
      </c>
      <c r="BA157" s="492" t="str">
        <f t="shared" si="298"/>
        <v/>
      </c>
      <c r="BB157" s="492" t="str">
        <f t="shared" si="299"/>
        <v/>
      </c>
      <c r="BC157" s="492" t="str">
        <f t="shared" si="300"/>
        <v/>
      </c>
      <c r="BD157" s="492" t="str">
        <f t="shared" si="301"/>
        <v/>
      </c>
      <c r="BE157" s="492" t="str">
        <f t="shared" si="302"/>
        <v/>
      </c>
      <c r="BF157" s="492" t="str">
        <f t="shared" si="303"/>
        <v/>
      </c>
      <c r="BG157" s="492" t="str">
        <f t="shared" si="304"/>
        <v/>
      </c>
      <c r="BH157" s="492" t="str">
        <f t="shared" si="305"/>
        <v/>
      </c>
      <c r="BI157" s="492" t="str">
        <f t="shared" si="306"/>
        <v/>
      </c>
      <c r="BJ157" s="492" t="str">
        <f t="shared" si="307"/>
        <v/>
      </c>
      <c r="BK157" s="492" t="str">
        <f t="shared" si="308"/>
        <v/>
      </c>
      <c r="BL157" s="492" t="str">
        <f t="shared" si="309"/>
        <v/>
      </c>
      <c r="BM157" s="492" t="str">
        <f t="shared" si="310"/>
        <v/>
      </c>
      <c r="BN157" s="492" t="str">
        <f t="shared" si="311"/>
        <v/>
      </c>
      <c r="BO157" s="492" t="str">
        <f t="shared" si="312"/>
        <v/>
      </c>
      <c r="BP157" s="492" t="str">
        <f t="shared" si="313"/>
        <v/>
      </c>
      <c r="BQ157" s="492" t="str">
        <f t="shared" si="314"/>
        <v/>
      </c>
      <c r="BR157" s="492" t="str">
        <f t="shared" si="315"/>
        <v/>
      </c>
      <c r="BS157" s="492" t="str">
        <f t="shared" si="316"/>
        <v/>
      </c>
      <c r="BT157" s="492" t="str">
        <f t="shared" si="317"/>
        <v/>
      </c>
      <c r="BU157" s="492" t="str">
        <f t="shared" si="318"/>
        <v/>
      </c>
      <c r="BV157" s="492" t="str">
        <f t="shared" si="319"/>
        <v/>
      </c>
      <c r="BW157" s="492" t="str">
        <f t="shared" si="320"/>
        <v/>
      </c>
      <c r="BX157" s="492" t="str">
        <f t="shared" si="321"/>
        <v/>
      </c>
      <c r="BY157" s="492" t="str">
        <f t="shared" si="322"/>
        <v/>
      </c>
      <c r="BZ157" s="492" t="str">
        <f t="shared" si="323"/>
        <v/>
      </c>
      <c r="CA157" s="492" t="str">
        <f t="shared" si="324"/>
        <v/>
      </c>
      <c r="CB157" s="492" t="str">
        <f t="shared" si="325"/>
        <v/>
      </c>
      <c r="CC157" s="492" t="str">
        <f t="shared" si="326"/>
        <v/>
      </c>
      <c r="CD157" s="492" t="str">
        <f t="shared" si="327"/>
        <v/>
      </c>
      <c r="CE157" s="492" t="str">
        <f t="shared" si="328"/>
        <v/>
      </c>
      <c r="CF157" s="492" t="str">
        <f t="shared" si="329"/>
        <v/>
      </c>
      <c r="CG157" s="492" t="str">
        <f t="shared" si="330"/>
        <v/>
      </c>
      <c r="CH157" s="492" t="str">
        <f t="shared" si="331"/>
        <v/>
      </c>
      <c r="CI157" s="492" t="str">
        <f t="shared" si="332"/>
        <v/>
      </c>
      <c r="CJ157" s="492" t="str">
        <f t="shared" si="333"/>
        <v/>
      </c>
      <c r="CK157" s="492" t="str">
        <f t="shared" si="334"/>
        <v/>
      </c>
      <c r="CL157" s="492" t="str">
        <f t="shared" si="335"/>
        <v/>
      </c>
      <c r="CM157" s="492" t="str">
        <f t="shared" si="336"/>
        <v/>
      </c>
      <c r="CN157" s="492" t="str">
        <f t="shared" si="337"/>
        <v/>
      </c>
      <c r="CO157" s="492" t="str">
        <f t="shared" si="338"/>
        <v/>
      </c>
      <c r="CP157" s="492" t="str">
        <f t="shared" si="339"/>
        <v/>
      </c>
      <c r="CQ157" s="492" t="str">
        <f t="shared" si="207"/>
        <v/>
      </c>
      <c r="CR157" s="492" t="str">
        <f t="shared" si="208"/>
        <v/>
      </c>
      <c r="CS157" s="492" t="str">
        <f t="shared" si="209"/>
        <v/>
      </c>
      <c r="CT157" s="492" t="str">
        <f t="shared" si="210"/>
        <v/>
      </c>
      <c r="CU157" s="492" t="str">
        <f t="shared" si="211"/>
        <v/>
      </c>
      <c r="CV157" s="492" t="str">
        <f t="shared" si="212"/>
        <v/>
      </c>
      <c r="CW157" s="495">
        <v>1</v>
      </c>
      <c r="CX157" s="496"/>
      <c r="CY157" s="496"/>
      <c r="CZ157" s="496"/>
      <c r="DA157" s="496"/>
      <c r="DB157" s="496"/>
    </row>
    <row r="158" spans="1:106" ht="13.5" customHeight="1">
      <c r="A158" s="1232">
        <v>148</v>
      </c>
      <c r="B158" s="1233"/>
      <c r="C158" s="1230"/>
      <c r="D158" s="1234"/>
      <c r="E158" s="1231"/>
      <c r="F158" s="1230"/>
      <c r="G158" s="1234"/>
      <c r="H158" s="1231"/>
      <c r="I158" s="1230"/>
      <c r="J158" s="1231"/>
      <c r="K158" s="1290"/>
      <c r="L158" s="1291"/>
      <c r="M158" s="1290"/>
      <c r="N158" s="1291"/>
      <c r="O158" s="1290"/>
      <c r="P158" s="1291"/>
      <c r="Q158" s="1230"/>
      <c r="R158" s="1231"/>
      <c r="S158" s="1230"/>
      <c r="T158" s="1231"/>
      <c r="U158" s="1228"/>
      <c r="V158" s="1229"/>
      <c r="W158" s="1230"/>
      <c r="X158" s="1231"/>
      <c r="Y158" s="1226"/>
      <c r="Z158" s="1227"/>
      <c r="AA158" s="1275"/>
      <c r="AB158" s="1275"/>
      <c r="AC158" s="1212" t="str">
        <f t="shared" si="341"/>
        <v/>
      </c>
      <c r="AD158" s="1213"/>
      <c r="AE158" s="1213"/>
      <c r="AF158" s="1213"/>
      <c r="AG158" s="492" t="str">
        <f t="shared" si="278"/>
        <v/>
      </c>
      <c r="AH158" s="466" t="str">
        <f t="shared" si="279"/>
        <v/>
      </c>
      <c r="AI158" s="466" t="str">
        <f t="shared" si="280"/>
        <v/>
      </c>
      <c r="AJ158" s="466" t="str">
        <f t="shared" si="281"/>
        <v/>
      </c>
      <c r="AK158" s="492" t="str">
        <f t="shared" si="282"/>
        <v>○</v>
      </c>
      <c r="AL158" s="492" t="str">
        <f t="shared" si="283"/>
        <v/>
      </c>
      <c r="AM158" s="492" t="str">
        <f t="shared" si="284"/>
        <v/>
      </c>
      <c r="AN158" s="492" t="str">
        <f t="shared" si="285"/>
        <v/>
      </c>
      <c r="AO158" s="492" t="str">
        <f t="shared" si="286"/>
        <v/>
      </c>
      <c r="AP158" s="492" t="str">
        <f t="shared" si="287"/>
        <v/>
      </c>
      <c r="AQ158" s="492" t="str">
        <f t="shared" si="288"/>
        <v/>
      </c>
      <c r="AR158" s="492" t="str">
        <f t="shared" si="289"/>
        <v/>
      </c>
      <c r="AS158" s="492" t="str">
        <f t="shared" si="290"/>
        <v/>
      </c>
      <c r="AT158" s="492" t="str">
        <f t="shared" si="291"/>
        <v/>
      </c>
      <c r="AU158" s="492" t="str">
        <f t="shared" si="292"/>
        <v/>
      </c>
      <c r="AV158" s="492" t="str">
        <f t="shared" si="293"/>
        <v/>
      </c>
      <c r="AW158" s="492" t="str">
        <f t="shared" si="294"/>
        <v/>
      </c>
      <c r="AX158" s="492" t="str">
        <f t="shared" si="295"/>
        <v/>
      </c>
      <c r="AY158" s="492" t="str">
        <f t="shared" si="296"/>
        <v/>
      </c>
      <c r="AZ158" s="492" t="str">
        <f t="shared" si="297"/>
        <v/>
      </c>
      <c r="BA158" s="492" t="str">
        <f t="shared" si="298"/>
        <v/>
      </c>
      <c r="BB158" s="492" t="str">
        <f t="shared" si="299"/>
        <v/>
      </c>
      <c r="BC158" s="492" t="str">
        <f t="shared" si="300"/>
        <v/>
      </c>
      <c r="BD158" s="492" t="str">
        <f t="shared" si="301"/>
        <v/>
      </c>
      <c r="BE158" s="492" t="str">
        <f t="shared" si="302"/>
        <v/>
      </c>
      <c r="BF158" s="492" t="str">
        <f t="shared" si="303"/>
        <v/>
      </c>
      <c r="BG158" s="492" t="str">
        <f t="shared" si="304"/>
        <v/>
      </c>
      <c r="BH158" s="492" t="str">
        <f t="shared" si="305"/>
        <v/>
      </c>
      <c r="BI158" s="492" t="str">
        <f t="shared" si="306"/>
        <v/>
      </c>
      <c r="BJ158" s="492" t="str">
        <f t="shared" si="307"/>
        <v/>
      </c>
      <c r="BK158" s="492" t="str">
        <f t="shared" si="308"/>
        <v/>
      </c>
      <c r="BL158" s="492" t="str">
        <f t="shared" si="309"/>
        <v/>
      </c>
      <c r="BM158" s="492" t="str">
        <f t="shared" si="310"/>
        <v/>
      </c>
      <c r="BN158" s="492" t="str">
        <f t="shared" si="311"/>
        <v/>
      </c>
      <c r="BO158" s="492" t="str">
        <f t="shared" si="312"/>
        <v/>
      </c>
      <c r="BP158" s="492" t="str">
        <f t="shared" si="313"/>
        <v/>
      </c>
      <c r="BQ158" s="492" t="str">
        <f t="shared" si="314"/>
        <v/>
      </c>
      <c r="BR158" s="492" t="str">
        <f t="shared" si="315"/>
        <v/>
      </c>
      <c r="BS158" s="492" t="str">
        <f t="shared" si="316"/>
        <v/>
      </c>
      <c r="BT158" s="492" t="str">
        <f t="shared" si="317"/>
        <v/>
      </c>
      <c r="BU158" s="492" t="str">
        <f t="shared" si="318"/>
        <v/>
      </c>
      <c r="BV158" s="492" t="str">
        <f t="shared" si="319"/>
        <v/>
      </c>
      <c r="BW158" s="492" t="str">
        <f t="shared" si="320"/>
        <v/>
      </c>
      <c r="BX158" s="492" t="str">
        <f t="shared" si="321"/>
        <v/>
      </c>
      <c r="BY158" s="492" t="str">
        <f t="shared" si="322"/>
        <v/>
      </c>
      <c r="BZ158" s="492" t="str">
        <f t="shared" si="323"/>
        <v/>
      </c>
      <c r="CA158" s="492" t="str">
        <f t="shared" si="324"/>
        <v/>
      </c>
      <c r="CB158" s="492" t="str">
        <f t="shared" si="325"/>
        <v/>
      </c>
      <c r="CC158" s="492" t="str">
        <f t="shared" si="326"/>
        <v/>
      </c>
      <c r="CD158" s="492" t="str">
        <f t="shared" si="327"/>
        <v/>
      </c>
      <c r="CE158" s="492" t="str">
        <f t="shared" si="328"/>
        <v/>
      </c>
      <c r="CF158" s="492" t="str">
        <f t="shared" si="329"/>
        <v/>
      </c>
      <c r="CG158" s="492" t="str">
        <f t="shared" si="330"/>
        <v/>
      </c>
      <c r="CH158" s="492" t="str">
        <f t="shared" si="331"/>
        <v/>
      </c>
      <c r="CI158" s="492" t="str">
        <f t="shared" si="332"/>
        <v/>
      </c>
      <c r="CJ158" s="492" t="str">
        <f t="shared" si="333"/>
        <v/>
      </c>
      <c r="CK158" s="492" t="str">
        <f t="shared" si="334"/>
        <v/>
      </c>
      <c r="CL158" s="492" t="str">
        <f t="shared" si="335"/>
        <v/>
      </c>
      <c r="CM158" s="492" t="str">
        <f t="shared" si="336"/>
        <v/>
      </c>
      <c r="CN158" s="492" t="str">
        <f t="shared" si="337"/>
        <v/>
      </c>
      <c r="CO158" s="492" t="str">
        <f t="shared" si="338"/>
        <v/>
      </c>
      <c r="CP158" s="492" t="str">
        <f t="shared" si="339"/>
        <v/>
      </c>
      <c r="CQ158" s="492" t="str">
        <f t="shared" si="207"/>
        <v/>
      </c>
      <c r="CR158" s="492" t="str">
        <f t="shared" si="208"/>
        <v/>
      </c>
      <c r="CS158" s="492" t="str">
        <f t="shared" si="209"/>
        <v/>
      </c>
      <c r="CT158" s="492" t="str">
        <f t="shared" si="210"/>
        <v/>
      </c>
      <c r="CU158" s="492" t="str">
        <f t="shared" si="211"/>
        <v/>
      </c>
      <c r="CV158" s="492" t="str">
        <f t="shared" si="212"/>
        <v/>
      </c>
      <c r="CW158" s="495">
        <v>1</v>
      </c>
      <c r="CX158" s="496"/>
      <c r="CY158" s="496"/>
      <c r="CZ158" s="496"/>
      <c r="DA158" s="496"/>
      <c r="DB158" s="496"/>
    </row>
    <row r="159" spans="1:106" ht="13.5" customHeight="1">
      <c r="A159" s="1232">
        <v>149</v>
      </c>
      <c r="B159" s="1233"/>
      <c r="C159" s="1230"/>
      <c r="D159" s="1234"/>
      <c r="E159" s="1231"/>
      <c r="F159" s="1230"/>
      <c r="G159" s="1234"/>
      <c r="H159" s="1231"/>
      <c r="I159" s="1230"/>
      <c r="J159" s="1231"/>
      <c r="K159" s="1290"/>
      <c r="L159" s="1291"/>
      <c r="M159" s="1290"/>
      <c r="N159" s="1291"/>
      <c r="O159" s="1290"/>
      <c r="P159" s="1291"/>
      <c r="Q159" s="1230"/>
      <c r="R159" s="1231"/>
      <c r="S159" s="1230"/>
      <c r="T159" s="1231"/>
      <c r="U159" s="1228"/>
      <c r="V159" s="1229"/>
      <c r="W159" s="1230"/>
      <c r="X159" s="1231"/>
      <c r="Y159" s="1226"/>
      <c r="Z159" s="1227"/>
      <c r="AA159" s="1275"/>
      <c r="AB159" s="1275"/>
      <c r="AC159" s="1212" t="str">
        <f t="shared" si="341"/>
        <v/>
      </c>
      <c r="AD159" s="1213"/>
      <c r="AE159" s="1213"/>
      <c r="AF159" s="1213"/>
      <c r="AG159" s="492" t="str">
        <f t="shared" si="278"/>
        <v/>
      </c>
      <c r="AH159" s="466" t="str">
        <f t="shared" si="279"/>
        <v/>
      </c>
      <c r="AI159" s="466" t="str">
        <f t="shared" si="280"/>
        <v/>
      </c>
      <c r="AJ159" s="466" t="str">
        <f t="shared" si="281"/>
        <v/>
      </c>
      <c r="AK159" s="492" t="str">
        <f t="shared" si="282"/>
        <v>○</v>
      </c>
      <c r="AL159" s="492" t="str">
        <f t="shared" si="283"/>
        <v/>
      </c>
      <c r="AM159" s="492" t="str">
        <f t="shared" si="284"/>
        <v/>
      </c>
      <c r="AN159" s="492" t="str">
        <f t="shared" si="285"/>
        <v/>
      </c>
      <c r="AO159" s="492" t="str">
        <f t="shared" si="286"/>
        <v/>
      </c>
      <c r="AP159" s="492" t="str">
        <f t="shared" si="287"/>
        <v/>
      </c>
      <c r="AQ159" s="492" t="str">
        <f t="shared" si="288"/>
        <v/>
      </c>
      <c r="AR159" s="492" t="str">
        <f t="shared" si="289"/>
        <v/>
      </c>
      <c r="AS159" s="492" t="str">
        <f t="shared" si="290"/>
        <v/>
      </c>
      <c r="AT159" s="492" t="str">
        <f t="shared" si="291"/>
        <v/>
      </c>
      <c r="AU159" s="492" t="str">
        <f t="shared" si="292"/>
        <v/>
      </c>
      <c r="AV159" s="492" t="str">
        <f t="shared" si="293"/>
        <v/>
      </c>
      <c r="AW159" s="492" t="str">
        <f t="shared" si="294"/>
        <v/>
      </c>
      <c r="AX159" s="492" t="str">
        <f t="shared" si="295"/>
        <v/>
      </c>
      <c r="AY159" s="492" t="str">
        <f t="shared" si="296"/>
        <v/>
      </c>
      <c r="AZ159" s="492" t="str">
        <f t="shared" si="297"/>
        <v/>
      </c>
      <c r="BA159" s="492" t="str">
        <f t="shared" si="298"/>
        <v/>
      </c>
      <c r="BB159" s="492" t="str">
        <f t="shared" si="299"/>
        <v/>
      </c>
      <c r="BC159" s="492" t="str">
        <f t="shared" si="300"/>
        <v/>
      </c>
      <c r="BD159" s="492" t="str">
        <f t="shared" si="301"/>
        <v/>
      </c>
      <c r="BE159" s="492" t="str">
        <f t="shared" si="302"/>
        <v/>
      </c>
      <c r="BF159" s="492" t="str">
        <f t="shared" si="303"/>
        <v/>
      </c>
      <c r="BG159" s="492" t="str">
        <f t="shared" si="304"/>
        <v/>
      </c>
      <c r="BH159" s="492" t="str">
        <f t="shared" si="305"/>
        <v/>
      </c>
      <c r="BI159" s="492" t="str">
        <f t="shared" si="306"/>
        <v/>
      </c>
      <c r="BJ159" s="492" t="str">
        <f t="shared" si="307"/>
        <v/>
      </c>
      <c r="BK159" s="492" t="str">
        <f t="shared" si="308"/>
        <v/>
      </c>
      <c r="BL159" s="492" t="str">
        <f t="shared" si="309"/>
        <v/>
      </c>
      <c r="BM159" s="492" t="str">
        <f t="shared" si="310"/>
        <v/>
      </c>
      <c r="BN159" s="492" t="str">
        <f t="shared" si="311"/>
        <v/>
      </c>
      <c r="BO159" s="492" t="str">
        <f t="shared" si="312"/>
        <v/>
      </c>
      <c r="BP159" s="492" t="str">
        <f t="shared" si="313"/>
        <v/>
      </c>
      <c r="BQ159" s="492" t="str">
        <f t="shared" si="314"/>
        <v/>
      </c>
      <c r="BR159" s="492" t="str">
        <f t="shared" si="315"/>
        <v/>
      </c>
      <c r="BS159" s="492" t="str">
        <f t="shared" si="316"/>
        <v/>
      </c>
      <c r="BT159" s="492" t="str">
        <f t="shared" si="317"/>
        <v/>
      </c>
      <c r="BU159" s="492" t="str">
        <f t="shared" si="318"/>
        <v/>
      </c>
      <c r="BV159" s="492" t="str">
        <f t="shared" si="319"/>
        <v/>
      </c>
      <c r="BW159" s="492" t="str">
        <f t="shared" si="320"/>
        <v/>
      </c>
      <c r="BX159" s="492" t="str">
        <f t="shared" si="321"/>
        <v/>
      </c>
      <c r="BY159" s="492" t="str">
        <f t="shared" si="322"/>
        <v/>
      </c>
      <c r="BZ159" s="492" t="str">
        <f t="shared" si="323"/>
        <v/>
      </c>
      <c r="CA159" s="492" t="str">
        <f t="shared" si="324"/>
        <v/>
      </c>
      <c r="CB159" s="492" t="str">
        <f t="shared" si="325"/>
        <v/>
      </c>
      <c r="CC159" s="492" t="str">
        <f t="shared" si="326"/>
        <v/>
      </c>
      <c r="CD159" s="492" t="str">
        <f t="shared" si="327"/>
        <v/>
      </c>
      <c r="CE159" s="492" t="str">
        <f t="shared" si="328"/>
        <v/>
      </c>
      <c r="CF159" s="492" t="str">
        <f t="shared" si="329"/>
        <v/>
      </c>
      <c r="CG159" s="492" t="str">
        <f t="shared" si="330"/>
        <v/>
      </c>
      <c r="CH159" s="492" t="str">
        <f t="shared" si="331"/>
        <v/>
      </c>
      <c r="CI159" s="492" t="str">
        <f t="shared" si="332"/>
        <v/>
      </c>
      <c r="CJ159" s="492" t="str">
        <f t="shared" si="333"/>
        <v/>
      </c>
      <c r="CK159" s="492" t="str">
        <f t="shared" si="334"/>
        <v/>
      </c>
      <c r="CL159" s="492" t="str">
        <f t="shared" si="335"/>
        <v/>
      </c>
      <c r="CM159" s="492" t="str">
        <f t="shared" si="336"/>
        <v/>
      </c>
      <c r="CN159" s="492" t="str">
        <f t="shared" si="337"/>
        <v/>
      </c>
      <c r="CO159" s="492" t="str">
        <f t="shared" si="338"/>
        <v/>
      </c>
      <c r="CP159" s="492" t="str">
        <f t="shared" si="339"/>
        <v/>
      </c>
      <c r="CQ159" s="492" t="str">
        <f t="shared" si="207"/>
        <v/>
      </c>
      <c r="CR159" s="492" t="str">
        <f t="shared" si="208"/>
        <v/>
      </c>
      <c r="CS159" s="492" t="str">
        <f t="shared" si="209"/>
        <v/>
      </c>
      <c r="CT159" s="492" t="str">
        <f t="shared" si="210"/>
        <v/>
      </c>
      <c r="CU159" s="492" t="str">
        <f t="shared" si="211"/>
        <v/>
      </c>
      <c r="CV159" s="492" t="str">
        <f t="shared" si="212"/>
        <v/>
      </c>
      <c r="CW159" s="495">
        <v>1</v>
      </c>
      <c r="CX159" s="496"/>
      <c r="CY159" s="496"/>
      <c r="CZ159" s="496"/>
      <c r="DA159" s="496"/>
      <c r="DB159" s="496"/>
    </row>
    <row r="160" spans="1:106" ht="13.5" customHeight="1">
      <c r="A160" s="1232">
        <v>150</v>
      </c>
      <c r="B160" s="1233"/>
      <c r="C160" s="1230"/>
      <c r="D160" s="1234"/>
      <c r="E160" s="1231"/>
      <c r="F160" s="1230"/>
      <c r="G160" s="1234"/>
      <c r="H160" s="1231"/>
      <c r="I160" s="1230"/>
      <c r="J160" s="1231"/>
      <c r="K160" s="1290"/>
      <c r="L160" s="1291"/>
      <c r="M160" s="1290"/>
      <c r="N160" s="1291"/>
      <c r="O160" s="1290"/>
      <c r="P160" s="1291"/>
      <c r="Q160" s="1230"/>
      <c r="R160" s="1231"/>
      <c r="S160" s="1230"/>
      <c r="T160" s="1231"/>
      <c r="U160" s="1228"/>
      <c r="V160" s="1229"/>
      <c r="W160" s="1230"/>
      <c r="X160" s="1231"/>
      <c r="Y160" s="1226"/>
      <c r="Z160" s="1227"/>
      <c r="AA160" s="1275"/>
      <c r="AB160" s="1275"/>
      <c r="AC160" s="1212" t="str">
        <f t="shared" si="341"/>
        <v/>
      </c>
      <c r="AD160" s="1213"/>
      <c r="AE160" s="1213"/>
      <c r="AF160" s="1213"/>
      <c r="AG160" s="492" t="str">
        <f t="shared" si="278"/>
        <v/>
      </c>
      <c r="AH160" s="466" t="str">
        <f t="shared" si="279"/>
        <v/>
      </c>
      <c r="AI160" s="466" t="str">
        <f t="shared" si="280"/>
        <v/>
      </c>
      <c r="AJ160" s="466" t="str">
        <f t="shared" si="281"/>
        <v/>
      </c>
      <c r="AK160" s="492" t="str">
        <f t="shared" si="282"/>
        <v>○</v>
      </c>
      <c r="AL160" s="492" t="str">
        <f t="shared" si="283"/>
        <v/>
      </c>
      <c r="AM160" s="492" t="str">
        <f t="shared" si="284"/>
        <v/>
      </c>
      <c r="AN160" s="492" t="str">
        <f t="shared" si="285"/>
        <v/>
      </c>
      <c r="AO160" s="492" t="str">
        <f t="shared" si="286"/>
        <v/>
      </c>
      <c r="AP160" s="492" t="str">
        <f t="shared" si="287"/>
        <v/>
      </c>
      <c r="AQ160" s="492" t="str">
        <f t="shared" si="288"/>
        <v/>
      </c>
      <c r="AR160" s="492" t="str">
        <f t="shared" si="289"/>
        <v/>
      </c>
      <c r="AS160" s="492" t="str">
        <f t="shared" si="290"/>
        <v/>
      </c>
      <c r="AT160" s="492" t="str">
        <f t="shared" si="291"/>
        <v/>
      </c>
      <c r="AU160" s="492" t="str">
        <f t="shared" si="292"/>
        <v/>
      </c>
      <c r="AV160" s="492" t="str">
        <f t="shared" si="293"/>
        <v/>
      </c>
      <c r="AW160" s="492" t="str">
        <f t="shared" si="294"/>
        <v/>
      </c>
      <c r="AX160" s="492" t="str">
        <f t="shared" si="295"/>
        <v/>
      </c>
      <c r="AY160" s="492" t="str">
        <f t="shared" si="296"/>
        <v/>
      </c>
      <c r="AZ160" s="492" t="str">
        <f t="shared" si="297"/>
        <v/>
      </c>
      <c r="BA160" s="492" t="str">
        <f t="shared" si="298"/>
        <v/>
      </c>
      <c r="BB160" s="492" t="str">
        <f t="shared" si="299"/>
        <v/>
      </c>
      <c r="BC160" s="492" t="str">
        <f t="shared" si="300"/>
        <v/>
      </c>
      <c r="BD160" s="492" t="str">
        <f t="shared" si="301"/>
        <v/>
      </c>
      <c r="BE160" s="492" t="str">
        <f t="shared" si="302"/>
        <v/>
      </c>
      <c r="BF160" s="492" t="str">
        <f t="shared" si="303"/>
        <v/>
      </c>
      <c r="BG160" s="492" t="str">
        <f t="shared" si="304"/>
        <v/>
      </c>
      <c r="BH160" s="492" t="str">
        <f t="shared" si="305"/>
        <v/>
      </c>
      <c r="BI160" s="492" t="str">
        <f t="shared" si="306"/>
        <v/>
      </c>
      <c r="BJ160" s="492" t="str">
        <f t="shared" si="307"/>
        <v/>
      </c>
      <c r="BK160" s="492" t="str">
        <f t="shared" si="308"/>
        <v/>
      </c>
      <c r="BL160" s="492" t="str">
        <f t="shared" si="309"/>
        <v/>
      </c>
      <c r="BM160" s="492" t="str">
        <f t="shared" si="310"/>
        <v/>
      </c>
      <c r="BN160" s="492" t="str">
        <f t="shared" si="311"/>
        <v/>
      </c>
      <c r="BO160" s="492" t="str">
        <f t="shared" si="312"/>
        <v/>
      </c>
      <c r="BP160" s="492" t="str">
        <f t="shared" si="313"/>
        <v/>
      </c>
      <c r="BQ160" s="492" t="str">
        <f t="shared" si="314"/>
        <v/>
      </c>
      <c r="BR160" s="492" t="str">
        <f t="shared" si="315"/>
        <v/>
      </c>
      <c r="BS160" s="492" t="str">
        <f t="shared" si="316"/>
        <v/>
      </c>
      <c r="BT160" s="492" t="str">
        <f t="shared" si="317"/>
        <v/>
      </c>
      <c r="BU160" s="492" t="str">
        <f t="shared" si="318"/>
        <v/>
      </c>
      <c r="BV160" s="492" t="str">
        <f t="shared" si="319"/>
        <v/>
      </c>
      <c r="BW160" s="492" t="str">
        <f t="shared" si="320"/>
        <v/>
      </c>
      <c r="BX160" s="492" t="str">
        <f t="shared" si="321"/>
        <v/>
      </c>
      <c r="BY160" s="492" t="str">
        <f t="shared" si="322"/>
        <v/>
      </c>
      <c r="BZ160" s="492" t="str">
        <f t="shared" si="323"/>
        <v/>
      </c>
      <c r="CA160" s="492" t="str">
        <f t="shared" si="324"/>
        <v/>
      </c>
      <c r="CB160" s="492" t="str">
        <f t="shared" si="325"/>
        <v/>
      </c>
      <c r="CC160" s="492" t="str">
        <f t="shared" si="326"/>
        <v/>
      </c>
      <c r="CD160" s="492" t="str">
        <f t="shared" si="327"/>
        <v/>
      </c>
      <c r="CE160" s="492" t="str">
        <f t="shared" si="328"/>
        <v/>
      </c>
      <c r="CF160" s="492" t="str">
        <f t="shared" si="329"/>
        <v/>
      </c>
      <c r="CG160" s="492" t="str">
        <f t="shared" si="330"/>
        <v/>
      </c>
      <c r="CH160" s="492" t="str">
        <f t="shared" si="331"/>
        <v/>
      </c>
      <c r="CI160" s="492" t="str">
        <f t="shared" si="332"/>
        <v/>
      </c>
      <c r="CJ160" s="492" t="str">
        <f t="shared" si="333"/>
        <v/>
      </c>
      <c r="CK160" s="492" t="str">
        <f t="shared" si="334"/>
        <v/>
      </c>
      <c r="CL160" s="492" t="str">
        <f t="shared" si="335"/>
        <v/>
      </c>
      <c r="CM160" s="492" t="str">
        <f t="shared" si="336"/>
        <v/>
      </c>
      <c r="CN160" s="492" t="str">
        <f t="shared" si="337"/>
        <v/>
      </c>
      <c r="CO160" s="492" t="str">
        <f t="shared" si="338"/>
        <v/>
      </c>
      <c r="CP160" s="492" t="str">
        <f t="shared" si="339"/>
        <v/>
      </c>
      <c r="CQ160" s="492" t="str">
        <f t="shared" si="207"/>
        <v/>
      </c>
      <c r="CR160" s="492" t="str">
        <f t="shared" si="208"/>
        <v/>
      </c>
      <c r="CS160" s="492" t="str">
        <f t="shared" si="209"/>
        <v/>
      </c>
      <c r="CT160" s="492" t="str">
        <f t="shared" si="210"/>
        <v/>
      </c>
      <c r="CU160" s="492" t="str">
        <f t="shared" si="211"/>
        <v/>
      </c>
      <c r="CV160" s="492" t="str">
        <f t="shared" si="212"/>
        <v/>
      </c>
      <c r="CW160" s="495">
        <v>1</v>
      </c>
      <c r="CX160" s="496"/>
      <c r="CY160" s="496"/>
      <c r="CZ160" s="496"/>
      <c r="DA160" s="496"/>
      <c r="DB160" s="496"/>
    </row>
    <row r="161" spans="1:98" ht="13.5" customHeight="1">
      <c r="A161" s="473"/>
      <c r="B161" s="474"/>
      <c r="C161" s="474"/>
      <c r="D161" s="474"/>
      <c r="E161" s="474"/>
      <c r="F161" s="474"/>
      <c r="G161" s="474"/>
      <c r="H161" s="474"/>
      <c r="I161" s="474"/>
      <c r="J161" s="474"/>
      <c r="K161" s="474"/>
      <c r="L161" s="474"/>
      <c r="M161" s="474"/>
      <c r="N161" s="474"/>
      <c r="O161" s="474"/>
      <c r="P161" s="474"/>
      <c r="Q161" s="473"/>
      <c r="R161" s="473"/>
      <c r="S161" s="475"/>
      <c r="T161" s="476"/>
      <c r="U161" s="477"/>
      <c r="V161" s="478"/>
      <c r="W161" s="479"/>
      <c r="X161" s="480"/>
    </row>
    <row r="162" spans="1:98" ht="13.5" customHeight="1">
      <c r="A162" s="1312" t="s">
        <v>600</v>
      </c>
      <c r="B162" s="497" t="s">
        <v>582</v>
      </c>
      <c r="C162" s="498"/>
      <c r="D162" s="488"/>
      <c r="E162" s="488"/>
      <c r="F162" s="488"/>
      <c r="G162" s="488"/>
      <c r="H162" s="488"/>
      <c r="I162" s="488"/>
      <c r="J162" s="488"/>
      <c r="K162" s="488"/>
      <c r="L162" s="488"/>
      <c r="M162" s="488"/>
      <c r="N162" s="488"/>
      <c r="O162" s="488"/>
      <c r="P162" s="499"/>
      <c r="Q162" s="1253" t="s">
        <v>583</v>
      </c>
      <c r="R162" s="1254"/>
      <c r="S162" s="1253" t="s">
        <v>584</v>
      </c>
      <c r="T162" s="1254"/>
      <c r="U162" s="1218" t="s">
        <v>585</v>
      </c>
      <c r="V162" s="1218"/>
      <c r="W162" s="1253" t="s">
        <v>597</v>
      </c>
      <c r="X162" s="1254"/>
      <c r="Y162" s="1253" t="s">
        <v>598</v>
      </c>
      <c r="Z162" s="1254"/>
      <c r="AA162" s="1217" t="s">
        <v>462</v>
      </c>
      <c r="AB162" s="1255"/>
      <c r="AG162" s="485"/>
      <c r="AH162" s="485"/>
      <c r="AI162" s="485"/>
      <c r="AJ162" s="485"/>
      <c r="AK162" s="485"/>
      <c r="AL162" s="485"/>
      <c r="AM162" s="485"/>
      <c r="AN162" s="485"/>
      <c r="AO162" s="485"/>
      <c r="AP162" s="485"/>
      <c r="AQ162" s="485"/>
      <c r="BA162" s="485"/>
      <c r="BB162" s="485"/>
      <c r="BC162" s="485"/>
      <c r="BD162" s="485"/>
      <c r="BE162" s="485"/>
      <c r="BF162" s="485"/>
      <c r="BS162" s="485"/>
      <c r="BT162" s="485"/>
      <c r="BU162" s="485"/>
      <c r="BV162" s="485"/>
      <c r="BW162" s="485"/>
      <c r="BX162" s="485"/>
      <c r="CH162" s="485"/>
      <c r="CI162" s="485"/>
      <c r="CJ162" s="485"/>
      <c r="CK162" s="485"/>
      <c r="CL162" s="485"/>
      <c r="CM162" s="485"/>
    </row>
    <row r="163" spans="1:98" ht="13.5" customHeight="1">
      <c r="A163" s="1313"/>
      <c r="B163" s="1292" t="s">
        <v>627</v>
      </c>
      <c r="C163" s="1293"/>
      <c r="D163" s="1293"/>
      <c r="E163" s="1293"/>
      <c r="F163" s="1293"/>
      <c r="G163" s="1293"/>
      <c r="H163" s="1293"/>
      <c r="I163" s="1293"/>
      <c r="J163" s="1293"/>
      <c r="K163" s="1293"/>
      <c r="L163" s="1293"/>
      <c r="M163" s="1293"/>
      <c r="N163" s="1293"/>
      <c r="O163" s="1293"/>
      <c r="P163" s="1294"/>
      <c r="Q163" s="1298">
        <f>COUNTIF(AL35:AL160,"○")</f>
        <v>0</v>
      </c>
      <c r="R163" s="1299"/>
      <c r="S163" s="1298">
        <f>COUNTIF(AM11:AM160,"○")</f>
        <v>0</v>
      </c>
      <c r="T163" s="1299"/>
      <c r="U163" s="1298">
        <f>COUNTIF(AN11:AN160,"○")</f>
        <v>0</v>
      </c>
      <c r="V163" s="1299"/>
      <c r="W163" s="1298">
        <f>COUNTIF(AO11:AO160,"○")</f>
        <v>0</v>
      </c>
      <c r="X163" s="1299"/>
      <c r="Y163" s="1298">
        <f>COUNTIF(AP11:AP160,"○")</f>
        <v>0</v>
      </c>
      <c r="Z163" s="1299"/>
      <c r="AA163" s="1298">
        <f>COUNTIF(AQ11:AQ160,"○")</f>
        <v>0</v>
      </c>
      <c r="AB163" s="1299"/>
      <c r="AC163" s="484"/>
      <c r="AD163" s="484"/>
      <c r="AE163" s="484"/>
      <c r="AF163" s="484"/>
      <c r="AG163" s="485"/>
      <c r="AH163" s="485"/>
      <c r="AI163" s="485"/>
      <c r="AJ163" s="485"/>
      <c r="AK163" s="485"/>
      <c r="AL163" s="485"/>
      <c r="AM163" s="485"/>
      <c r="AN163" s="485"/>
      <c r="AO163" s="485"/>
      <c r="AP163" s="485"/>
      <c r="AQ163" s="485"/>
      <c r="BA163" s="485"/>
      <c r="BB163" s="485"/>
      <c r="BC163" s="485"/>
      <c r="BD163" s="485"/>
      <c r="BE163" s="485"/>
      <c r="BF163" s="485"/>
      <c r="BS163" s="485"/>
      <c r="BT163" s="485"/>
      <c r="BU163" s="485"/>
      <c r="BV163" s="485"/>
      <c r="BW163" s="485"/>
      <c r="BX163" s="485"/>
      <c r="CH163" s="485"/>
      <c r="CI163" s="485"/>
      <c r="CJ163" s="485"/>
      <c r="CK163" s="485"/>
      <c r="CL163" s="485"/>
      <c r="CM163" s="485"/>
    </row>
    <row r="164" spans="1:98" ht="13.5" customHeight="1">
      <c r="A164" s="1313"/>
      <c r="B164" s="1295"/>
      <c r="C164" s="1296"/>
      <c r="D164" s="1296"/>
      <c r="E164" s="1296"/>
      <c r="F164" s="1296"/>
      <c r="G164" s="1296"/>
      <c r="H164" s="1296"/>
      <c r="I164" s="1296"/>
      <c r="J164" s="1296"/>
      <c r="K164" s="1296"/>
      <c r="L164" s="1296"/>
      <c r="M164" s="1296"/>
      <c r="N164" s="1296"/>
      <c r="O164" s="1296"/>
      <c r="P164" s="1297"/>
      <c r="Q164" s="1300"/>
      <c r="R164" s="1301"/>
      <c r="S164" s="1300"/>
      <c r="T164" s="1301"/>
      <c r="U164" s="1300"/>
      <c r="V164" s="1301"/>
      <c r="W164" s="1300"/>
      <c r="X164" s="1301"/>
      <c r="Y164" s="1300"/>
      <c r="Z164" s="1301"/>
      <c r="AA164" s="1300"/>
      <c r="AB164" s="1301"/>
      <c r="AC164" s="484"/>
      <c r="AD164" s="484"/>
      <c r="AE164" s="484"/>
      <c r="AF164" s="484"/>
      <c r="AG164" s="485"/>
      <c r="AH164" s="485"/>
      <c r="AI164" s="485"/>
      <c r="AJ164" s="485"/>
      <c r="AK164" s="485"/>
      <c r="AL164" s="485"/>
      <c r="AM164" s="485"/>
      <c r="AN164" s="485"/>
      <c r="AO164" s="485"/>
      <c r="AP164" s="485"/>
      <c r="AQ164" s="485"/>
      <c r="BA164" s="485"/>
      <c r="BB164" s="485"/>
      <c r="BC164" s="485"/>
      <c r="BD164" s="485"/>
      <c r="BE164" s="485"/>
      <c r="BF164" s="485"/>
      <c r="BS164" s="485"/>
      <c r="BT164" s="485"/>
      <c r="BU164" s="485"/>
      <c r="BV164" s="485"/>
      <c r="BW164" s="485"/>
      <c r="BX164" s="485"/>
      <c r="CH164" s="485"/>
      <c r="CI164" s="485"/>
      <c r="CJ164" s="485"/>
      <c r="CK164" s="485"/>
      <c r="CL164" s="485"/>
      <c r="CM164" s="485"/>
    </row>
    <row r="165" spans="1:98" ht="13.5" customHeight="1">
      <c r="A165" s="1313"/>
      <c r="B165" s="1292" t="s">
        <v>628</v>
      </c>
      <c r="C165" s="1293"/>
      <c r="D165" s="1293"/>
      <c r="E165" s="1293"/>
      <c r="F165" s="1293"/>
      <c r="G165" s="1293"/>
      <c r="H165" s="1293"/>
      <c r="I165" s="1293"/>
      <c r="J165" s="1293"/>
      <c r="K165" s="1293"/>
      <c r="L165" s="1293"/>
      <c r="M165" s="1293"/>
      <c r="N165" s="1293"/>
      <c r="O165" s="1293"/>
      <c r="P165" s="1294"/>
      <c r="Q165" s="1298">
        <f>COUNTIF(AR11:AR160,"○")</f>
        <v>0</v>
      </c>
      <c r="R165" s="1299"/>
      <c r="S165" s="1298">
        <f>COUNTIF(AS11:AS160,"○")</f>
        <v>0</v>
      </c>
      <c r="T165" s="1299"/>
      <c r="U165" s="1298">
        <f>COUNTIF(AT11:AT160,"○")</f>
        <v>0</v>
      </c>
      <c r="V165" s="1299"/>
      <c r="W165" s="1302"/>
      <c r="X165" s="1303"/>
      <c r="Y165" s="1303"/>
      <c r="Z165" s="1303"/>
      <c r="AA165" s="1303"/>
      <c r="AB165" s="1304"/>
      <c r="AC165" s="500"/>
      <c r="AD165" s="500"/>
      <c r="AE165" s="500"/>
      <c r="AF165" s="500"/>
      <c r="AG165" s="485"/>
      <c r="AH165" s="485"/>
      <c r="AI165" s="485"/>
      <c r="AJ165" s="485"/>
      <c r="AK165" s="485"/>
      <c r="AL165" s="485"/>
      <c r="AM165" s="485"/>
      <c r="AN165" s="485"/>
      <c r="AO165" s="485"/>
      <c r="AP165" s="485"/>
      <c r="AQ165" s="485"/>
      <c r="BA165" s="485"/>
      <c r="BB165" s="485"/>
      <c r="BC165" s="485"/>
      <c r="BD165" s="485"/>
      <c r="BE165" s="485"/>
      <c r="BF165" s="485"/>
      <c r="BS165" s="485"/>
      <c r="BT165" s="485"/>
      <c r="BU165" s="485"/>
      <c r="BV165" s="485"/>
      <c r="BW165" s="485"/>
      <c r="BX165" s="485"/>
      <c r="CH165" s="485"/>
      <c r="CI165" s="485"/>
      <c r="CJ165" s="485"/>
      <c r="CK165" s="485"/>
      <c r="CL165" s="485"/>
      <c r="CM165" s="485"/>
    </row>
    <row r="166" spans="1:98" ht="13.5" customHeight="1">
      <c r="A166" s="1313"/>
      <c r="B166" s="1295"/>
      <c r="C166" s="1296"/>
      <c r="D166" s="1296"/>
      <c r="E166" s="1296"/>
      <c r="F166" s="1296"/>
      <c r="G166" s="1296"/>
      <c r="H166" s="1296"/>
      <c r="I166" s="1296"/>
      <c r="J166" s="1296"/>
      <c r="K166" s="1296"/>
      <c r="L166" s="1296"/>
      <c r="M166" s="1296"/>
      <c r="N166" s="1296"/>
      <c r="O166" s="1296"/>
      <c r="P166" s="1297"/>
      <c r="Q166" s="1300"/>
      <c r="R166" s="1301"/>
      <c r="S166" s="1300"/>
      <c r="T166" s="1301"/>
      <c r="U166" s="1300"/>
      <c r="V166" s="1301"/>
      <c r="W166" s="1305"/>
      <c r="X166" s="1306"/>
      <c r="Y166" s="1306"/>
      <c r="Z166" s="1306"/>
      <c r="AA166" s="1306"/>
      <c r="AB166" s="1307"/>
      <c r="AC166" s="500"/>
      <c r="AD166" s="500"/>
      <c r="AE166" s="500"/>
      <c r="AF166" s="500"/>
      <c r="AG166" s="485"/>
      <c r="AH166" s="485"/>
      <c r="AI166" s="485"/>
      <c r="AJ166" s="485"/>
      <c r="AK166" s="485"/>
      <c r="AL166" s="485"/>
      <c r="AM166" s="485"/>
      <c r="AN166" s="485"/>
      <c r="AO166" s="485"/>
      <c r="AP166" s="485"/>
      <c r="AQ166" s="485"/>
      <c r="BA166" s="485"/>
      <c r="BB166" s="485"/>
      <c r="BC166" s="485"/>
      <c r="BD166" s="485"/>
      <c r="BE166" s="485"/>
      <c r="BF166" s="485"/>
      <c r="BS166" s="485"/>
      <c r="BT166" s="485"/>
      <c r="BU166" s="485"/>
      <c r="BV166" s="485"/>
      <c r="BW166" s="485"/>
      <c r="BX166" s="485"/>
      <c r="CH166" s="485"/>
      <c r="CI166" s="485"/>
      <c r="CJ166" s="485"/>
      <c r="CK166" s="485"/>
      <c r="CL166" s="485"/>
      <c r="CM166" s="485"/>
    </row>
    <row r="167" spans="1:98" ht="13.5" customHeight="1">
      <c r="A167" s="1313"/>
      <c r="B167" s="1308" t="s">
        <v>587</v>
      </c>
      <c r="C167" s="1309"/>
      <c r="D167" s="1309"/>
      <c r="E167" s="1309"/>
      <c r="F167" s="1309"/>
      <c r="G167" s="1309"/>
      <c r="H167" s="1309"/>
      <c r="I167" s="1309"/>
      <c r="J167" s="1309"/>
      <c r="K167" s="1309"/>
      <c r="L167" s="1309"/>
      <c r="M167" s="1309"/>
      <c r="N167" s="1309"/>
      <c r="O167" s="1309"/>
      <c r="P167" s="1310"/>
      <c r="Q167" s="1260">
        <f>COUNTIF(AU11:AU160,"○")</f>
        <v>0</v>
      </c>
      <c r="R167" s="1261"/>
      <c r="S167" s="1260">
        <f>COUNTIF(AV11:AV160,"○")</f>
        <v>0</v>
      </c>
      <c r="T167" s="1261"/>
      <c r="U167" s="1260">
        <f>COUNTIF(AW11:AW160,"○")</f>
        <v>0</v>
      </c>
      <c r="V167" s="1261"/>
      <c r="W167" s="1260">
        <f>COUNTIF(AX11:AX160,"○")</f>
        <v>0</v>
      </c>
      <c r="X167" s="1261"/>
      <c r="Y167" s="1260">
        <f>COUNTIF(AY11:AY160,"○")</f>
        <v>0</v>
      </c>
      <c r="Z167" s="1261"/>
      <c r="AA167" s="1260">
        <f>COUNTIF(AZ11:AZ160,"○")</f>
        <v>0</v>
      </c>
      <c r="AB167" s="1261"/>
      <c r="AC167" s="484"/>
      <c r="AD167" s="484"/>
      <c r="AE167" s="484"/>
      <c r="AF167" s="484"/>
      <c r="AG167" s="485"/>
      <c r="AH167" s="485"/>
      <c r="AI167" s="485"/>
      <c r="AJ167" s="485"/>
      <c r="AK167" s="485"/>
      <c r="AL167" s="485"/>
      <c r="AM167" s="485"/>
      <c r="AN167" s="485"/>
      <c r="AO167" s="485"/>
      <c r="AP167" s="485"/>
      <c r="AQ167" s="485"/>
      <c r="BA167" s="485"/>
      <c r="BB167" s="485"/>
      <c r="BC167" s="485"/>
      <c r="BD167" s="485"/>
      <c r="BE167" s="485"/>
      <c r="BF167" s="485"/>
      <c r="BS167" s="485"/>
      <c r="BT167" s="485"/>
      <c r="BU167" s="485"/>
      <c r="BV167" s="485"/>
      <c r="BW167" s="485"/>
      <c r="BX167" s="485"/>
      <c r="CH167" s="485"/>
      <c r="CI167" s="485"/>
      <c r="CJ167" s="485"/>
      <c r="CK167" s="485"/>
      <c r="CL167" s="485"/>
      <c r="CM167" s="485"/>
    </row>
    <row r="168" spans="1:98" ht="13.5" customHeight="1">
      <c r="A168" s="1313"/>
      <c r="B168" s="1258"/>
      <c r="C168" s="1259"/>
      <c r="D168" s="1259"/>
      <c r="E168" s="1259"/>
      <c r="F168" s="1259"/>
      <c r="G168" s="1259"/>
      <c r="H168" s="1259"/>
      <c r="I168" s="1259"/>
      <c r="J168" s="1259"/>
      <c r="K168" s="1259"/>
      <c r="L168" s="1259"/>
      <c r="M168" s="1259"/>
      <c r="N168" s="1259"/>
      <c r="O168" s="1259"/>
      <c r="P168" s="1311"/>
      <c r="Q168" s="1262"/>
      <c r="R168" s="1263"/>
      <c r="S168" s="1262"/>
      <c r="T168" s="1263"/>
      <c r="U168" s="1262"/>
      <c r="V168" s="1263"/>
      <c r="W168" s="1262"/>
      <c r="X168" s="1263"/>
      <c r="Y168" s="1262"/>
      <c r="Z168" s="1263"/>
      <c r="AA168" s="1262"/>
      <c r="AB168" s="1263"/>
      <c r="AC168" s="484"/>
      <c r="AD168" s="484"/>
      <c r="AE168" s="484"/>
      <c r="AF168" s="484"/>
      <c r="AG168" s="474"/>
      <c r="AH168" s="474"/>
      <c r="AI168" s="474"/>
      <c r="AJ168" s="474"/>
      <c r="AK168" s="474"/>
      <c r="AL168" s="474"/>
      <c r="AM168" s="474"/>
      <c r="AN168" s="474"/>
      <c r="AO168" s="474"/>
      <c r="AP168" s="474"/>
      <c r="AQ168" s="474"/>
      <c r="BA168" s="474"/>
      <c r="BB168" s="474"/>
      <c r="BC168" s="474"/>
      <c r="BD168" s="474"/>
      <c r="BE168" s="474"/>
      <c r="BF168" s="474"/>
      <c r="BS168" s="474"/>
      <c r="BT168" s="474"/>
      <c r="BU168" s="474"/>
      <c r="BV168" s="474"/>
      <c r="BW168" s="474"/>
      <c r="BX168" s="474"/>
      <c r="CH168" s="474"/>
      <c r="CI168" s="474"/>
      <c r="CJ168" s="474"/>
      <c r="CK168" s="474"/>
      <c r="CL168" s="474"/>
      <c r="CM168" s="474"/>
    </row>
    <row r="169" spans="1:98" ht="13.5" customHeight="1">
      <c r="A169" s="1313"/>
      <c r="B169" s="501"/>
      <c r="C169" s="487"/>
      <c r="D169" s="487"/>
      <c r="E169" s="487"/>
      <c r="F169" s="487"/>
      <c r="G169" s="487"/>
      <c r="H169" s="487"/>
      <c r="I169" s="487"/>
      <c r="J169" s="487"/>
      <c r="K169" s="487"/>
      <c r="L169" s="487"/>
      <c r="M169" s="487"/>
      <c r="N169" s="487"/>
      <c r="O169" s="487"/>
      <c r="P169" s="487"/>
      <c r="Q169" s="502"/>
      <c r="R169" s="502"/>
      <c r="S169" s="502"/>
      <c r="T169" s="502"/>
      <c r="U169" s="502"/>
      <c r="V169" s="502"/>
      <c r="W169" s="502"/>
      <c r="X169" s="502"/>
      <c r="Y169" s="502"/>
      <c r="Z169" s="502"/>
      <c r="AA169" s="502"/>
      <c r="AB169" s="502"/>
      <c r="AC169" s="484"/>
      <c r="AD169" s="484"/>
      <c r="AE169" s="484"/>
      <c r="AF169" s="484"/>
      <c r="AG169" s="474"/>
      <c r="AH169" s="474"/>
      <c r="AI169" s="474"/>
      <c r="AJ169" s="474"/>
      <c r="AK169" s="474"/>
      <c r="AL169" s="474"/>
      <c r="AM169" s="474"/>
      <c r="AN169" s="474"/>
      <c r="AO169" s="474"/>
      <c r="AP169" s="474"/>
      <c r="AQ169" s="474"/>
      <c r="BA169" s="474"/>
      <c r="BB169" s="474"/>
      <c r="BC169" s="474"/>
      <c r="BD169" s="474"/>
      <c r="BE169" s="474"/>
      <c r="BF169" s="474"/>
      <c r="BS169" s="474"/>
      <c r="BT169" s="474"/>
      <c r="BU169" s="474"/>
      <c r="BV169" s="474"/>
      <c r="BW169" s="474"/>
      <c r="BX169" s="474"/>
      <c r="CH169" s="474"/>
      <c r="CI169" s="474"/>
      <c r="CJ169" s="474"/>
      <c r="CK169" s="474"/>
      <c r="CL169" s="474"/>
      <c r="CM169" s="474"/>
    </row>
    <row r="170" spans="1:98" ht="13.5" customHeight="1">
      <c r="A170" s="1313"/>
      <c r="B170" s="481" t="s">
        <v>601</v>
      </c>
      <c r="C170" s="481"/>
      <c r="D170" s="482"/>
      <c r="E170" s="482"/>
      <c r="F170" s="482"/>
      <c r="G170" s="482"/>
      <c r="H170" s="489"/>
      <c r="I170" s="489"/>
      <c r="J170" s="489"/>
      <c r="K170" s="489"/>
      <c r="L170" s="489"/>
      <c r="M170" s="489"/>
      <c r="N170" s="489"/>
      <c r="O170" s="489"/>
      <c r="P170" s="489"/>
      <c r="Q170" s="1253" t="s">
        <v>583</v>
      </c>
      <c r="R170" s="1254"/>
      <c r="S170" s="1253" t="s">
        <v>584</v>
      </c>
      <c r="T170" s="1254"/>
      <c r="U170" s="1218" t="s">
        <v>585</v>
      </c>
      <c r="V170" s="1218"/>
      <c r="W170" s="1253" t="s">
        <v>597</v>
      </c>
      <c r="X170" s="1254"/>
      <c r="Y170" s="1253" t="s">
        <v>598</v>
      </c>
      <c r="Z170" s="1254"/>
      <c r="AA170" s="1217" t="s">
        <v>462</v>
      </c>
      <c r="AB170" s="1255"/>
      <c r="AG170" s="474"/>
      <c r="AH170" s="474"/>
      <c r="AI170" s="474"/>
      <c r="AJ170" s="474"/>
      <c r="AK170" s="503"/>
      <c r="AL170" s="503"/>
      <c r="AM170" s="503"/>
      <c r="AN170" s="503"/>
      <c r="AO170" s="503"/>
      <c r="AP170" s="503"/>
      <c r="AQ170" s="503"/>
      <c r="AR170" s="503"/>
      <c r="AS170" s="503"/>
      <c r="AT170" s="503"/>
      <c r="AU170" s="503"/>
      <c r="AV170" s="503"/>
      <c r="AW170" s="503"/>
      <c r="AX170" s="503"/>
      <c r="BA170" s="503"/>
      <c r="BB170" s="503"/>
      <c r="BC170" s="503"/>
      <c r="BD170" s="503"/>
      <c r="BE170" s="503"/>
      <c r="BF170" s="503"/>
      <c r="BG170" s="503"/>
      <c r="BH170" s="503"/>
      <c r="BI170" s="503"/>
      <c r="BJ170" s="503"/>
      <c r="BM170" s="503"/>
      <c r="BN170" s="503"/>
      <c r="BO170" s="503"/>
      <c r="BP170" s="503"/>
      <c r="BS170" s="503"/>
      <c r="BT170" s="503"/>
      <c r="BU170" s="503"/>
      <c r="BV170" s="503"/>
      <c r="BW170" s="503"/>
      <c r="BX170" s="503"/>
      <c r="BY170" s="503"/>
      <c r="BZ170" s="503"/>
      <c r="CA170" s="503"/>
      <c r="CB170" s="503"/>
      <c r="CC170" s="503"/>
      <c r="CD170" s="503"/>
      <c r="CE170" s="503"/>
      <c r="CH170" s="503"/>
      <c r="CI170" s="503"/>
      <c r="CJ170" s="503"/>
      <c r="CK170" s="503"/>
      <c r="CL170" s="503"/>
      <c r="CM170" s="503"/>
      <c r="CN170" s="503"/>
      <c r="CO170" s="503"/>
      <c r="CP170" s="503"/>
      <c r="CQ170" s="503"/>
      <c r="CR170" s="503"/>
      <c r="CS170" s="503"/>
      <c r="CT170" s="503"/>
    </row>
    <row r="171" spans="1:98" ht="13.5" hidden="1" customHeight="1">
      <c r="A171" s="1313"/>
      <c r="B171" s="1271" t="s">
        <v>589</v>
      </c>
      <c r="C171" s="1272"/>
      <c r="D171" s="1272"/>
      <c r="E171" s="1272"/>
      <c r="F171" s="1272"/>
      <c r="G171" s="1272"/>
      <c r="H171" s="1272"/>
      <c r="I171" s="1272"/>
      <c r="J171" s="1272"/>
      <c r="K171" s="1272"/>
      <c r="L171" s="1272"/>
      <c r="M171" s="1272"/>
      <c r="N171" s="1272"/>
      <c r="O171" s="1272"/>
      <c r="P171" s="1273"/>
      <c r="Q171" s="1264"/>
      <c r="R171" s="1265"/>
      <c r="S171" s="1274"/>
      <c r="T171" s="1315"/>
      <c r="U171" s="1264"/>
      <c r="V171" s="1265"/>
      <c r="W171" s="1264"/>
      <c r="X171" s="1265"/>
      <c r="Y171" s="1264"/>
      <c r="Z171" s="1265"/>
      <c r="AA171" s="1264"/>
      <c r="AB171" s="1265"/>
      <c r="AC171" s="500"/>
      <c r="AD171" s="500"/>
      <c r="AE171" s="500"/>
      <c r="AF171" s="500"/>
      <c r="AG171" s="503" t="s">
        <v>120</v>
      </c>
      <c r="AH171" s="503"/>
      <c r="AI171" s="503"/>
      <c r="AJ171" s="503"/>
      <c r="AK171" s="503"/>
      <c r="AL171" s="503"/>
      <c r="AM171" s="503"/>
      <c r="AN171" s="503"/>
      <c r="AO171" s="503"/>
      <c r="AP171" s="503"/>
      <c r="AQ171" s="503"/>
      <c r="AR171" s="503"/>
      <c r="AS171" s="503"/>
      <c r="AT171" s="503"/>
      <c r="AU171" s="503"/>
      <c r="AV171" s="503"/>
      <c r="AW171" s="503"/>
      <c r="AX171" s="503"/>
      <c r="BA171" s="503"/>
      <c r="BB171" s="503"/>
      <c r="BC171" s="503"/>
      <c r="BD171" s="503"/>
      <c r="BE171" s="503"/>
      <c r="BF171" s="503"/>
      <c r="BG171" s="503"/>
      <c r="BH171" s="503"/>
      <c r="BI171" s="503"/>
      <c r="BJ171" s="503"/>
      <c r="BM171" s="503"/>
      <c r="BN171" s="503"/>
      <c r="BO171" s="503"/>
      <c r="BP171" s="503"/>
      <c r="BS171" s="503"/>
      <c r="BT171" s="503"/>
      <c r="BU171" s="503"/>
      <c r="BV171" s="503"/>
      <c r="BW171" s="503"/>
      <c r="BX171" s="503"/>
      <c r="BY171" s="503"/>
      <c r="BZ171" s="503"/>
      <c r="CA171" s="503"/>
      <c r="CB171" s="503"/>
      <c r="CC171" s="503"/>
      <c r="CD171" s="503"/>
      <c r="CE171" s="503"/>
      <c r="CH171" s="503"/>
      <c r="CI171" s="503"/>
      <c r="CJ171" s="503"/>
      <c r="CK171" s="503"/>
      <c r="CL171" s="503"/>
      <c r="CM171" s="503"/>
      <c r="CN171" s="503"/>
      <c r="CO171" s="503"/>
      <c r="CP171" s="503"/>
      <c r="CQ171" s="503"/>
      <c r="CR171" s="503"/>
      <c r="CS171" s="503"/>
      <c r="CT171" s="503"/>
    </row>
    <row r="172" spans="1:98" ht="13.5" hidden="1" customHeight="1">
      <c r="A172" s="1313"/>
      <c r="B172" s="1266" t="s">
        <v>590</v>
      </c>
      <c r="C172" s="1267"/>
      <c r="D172" s="1267"/>
      <c r="E172" s="1267"/>
      <c r="F172" s="1267"/>
      <c r="G172" s="1267"/>
      <c r="H172" s="1267"/>
      <c r="I172" s="1267"/>
      <c r="J172" s="1267"/>
      <c r="K172" s="1267"/>
      <c r="L172" s="1267"/>
      <c r="M172" s="1267"/>
      <c r="N172" s="1267"/>
      <c r="O172" s="1267"/>
      <c r="P172" s="1268"/>
      <c r="Q172" s="1269"/>
      <c r="R172" s="1270"/>
      <c r="S172" s="1269"/>
      <c r="T172" s="1270"/>
      <c r="U172" s="1269"/>
      <c r="V172" s="1270"/>
      <c r="W172" s="1269"/>
      <c r="X172" s="1270"/>
      <c r="Y172" s="1269"/>
      <c r="Z172" s="1270"/>
      <c r="AA172" s="1269"/>
      <c r="AB172" s="1270"/>
      <c r="AC172" s="500"/>
      <c r="AD172" s="500"/>
      <c r="AE172" s="500"/>
      <c r="AF172" s="500"/>
      <c r="AG172" s="503"/>
      <c r="AH172" s="503"/>
      <c r="AI172" s="503"/>
      <c r="AJ172" s="503"/>
      <c r="AK172" s="503"/>
      <c r="AL172" s="503"/>
      <c r="AM172" s="503"/>
      <c r="AN172" s="503"/>
      <c r="AO172" s="503"/>
      <c r="AP172" s="503"/>
      <c r="AQ172" s="503"/>
      <c r="AR172" s="503"/>
      <c r="AS172" s="503"/>
      <c r="AT172" s="503"/>
      <c r="AU172" s="503"/>
      <c r="AV172" s="503"/>
      <c r="AW172" s="503"/>
      <c r="AX172" s="503"/>
      <c r="BA172" s="503"/>
      <c r="BB172" s="503"/>
      <c r="BC172" s="503"/>
      <c r="BD172" s="503"/>
      <c r="BE172" s="503"/>
      <c r="BF172" s="503"/>
      <c r="BG172" s="503"/>
      <c r="BH172" s="503"/>
      <c r="BI172" s="503"/>
      <c r="BJ172" s="503"/>
      <c r="BM172" s="503"/>
      <c r="BN172" s="503"/>
      <c r="BO172" s="503"/>
      <c r="BP172" s="503"/>
      <c r="BS172" s="503"/>
      <c r="BT172" s="503"/>
      <c r="BU172" s="503"/>
      <c r="BV172" s="503"/>
      <c r="BW172" s="503"/>
      <c r="BX172" s="503"/>
      <c r="BY172" s="503"/>
      <c r="BZ172" s="503"/>
      <c r="CA172" s="503"/>
      <c r="CB172" s="503"/>
      <c r="CC172" s="503"/>
      <c r="CD172" s="503"/>
      <c r="CE172" s="503"/>
      <c r="CH172" s="503"/>
      <c r="CI172" s="503"/>
      <c r="CJ172" s="503"/>
      <c r="CK172" s="503"/>
      <c r="CL172" s="503"/>
      <c r="CM172" s="503"/>
      <c r="CN172" s="503"/>
      <c r="CO172" s="503"/>
      <c r="CP172" s="503"/>
      <c r="CQ172" s="503"/>
      <c r="CR172" s="503"/>
      <c r="CS172" s="503"/>
      <c r="CT172" s="503"/>
    </row>
    <row r="173" spans="1:98" ht="13.5" hidden="1" customHeight="1">
      <c r="A173" s="1313"/>
      <c r="B173" s="1271" t="s">
        <v>589</v>
      </c>
      <c r="C173" s="1272"/>
      <c r="D173" s="1272"/>
      <c r="E173" s="1272"/>
      <c r="F173" s="1272"/>
      <c r="G173" s="1272"/>
      <c r="H173" s="1272"/>
      <c r="I173" s="1272"/>
      <c r="J173" s="1272"/>
      <c r="K173" s="1272"/>
      <c r="L173" s="1272"/>
      <c r="M173" s="1272"/>
      <c r="N173" s="1272"/>
      <c r="O173" s="1272"/>
      <c r="P173" s="1273"/>
      <c r="Q173" s="1264"/>
      <c r="R173" s="1265"/>
      <c r="S173" s="1264"/>
      <c r="T173" s="1265"/>
      <c r="U173" s="1264"/>
      <c r="V173" s="1265"/>
      <c r="W173" s="1302"/>
      <c r="X173" s="1303"/>
      <c r="Y173" s="1303"/>
      <c r="Z173" s="1303"/>
      <c r="AA173" s="1303"/>
      <c r="AB173" s="1304"/>
      <c r="AC173" s="500"/>
      <c r="AD173" s="500"/>
      <c r="AE173" s="500"/>
      <c r="AF173" s="500"/>
      <c r="AG173" s="503" t="s">
        <v>121</v>
      </c>
      <c r="AH173" s="503"/>
      <c r="AI173" s="503"/>
      <c r="AJ173" s="503"/>
      <c r="AK173" s="503"/>
      <c r="AL173" s="503"/>
      <c r="AM173" s="503"/>
      <c r="AN173" s="503"/>
      <c r="AO173" s="503"/>
      <c r="AP173" s="503"/>
      <c r="AQ173" s="503"/>
      <c r="AR173" s="503"/>
      <c r="AS173" s="503"/>
      <c r="AT173" s="503"/>
      <c r="AU173" s="503"/>
      <c r="AV173" s="503"/>
      <c r="AW173" s="503"/>
      <c r="AX173" s="503"/>
      <c r="BA173" s="503"/>
      <c r="BB173" s="503"/>
      <c r="BC173" s="503"/>
      <c r="BD173" s="503"/>
      <c r="BE173" s="503"/>
      <c r="BF173" s="503"/>
      <c r="BG173" s="503"/>
      <c r="BH173" s="503"/>
      <c r="BI173" s="503"/>
      <c r="BJ173" s="503"/>
      <c r="BM173" s="503"/>
      <c r="BN173" s="503"/>
      <c r="BO173" s="503"/>
      <c r="BP173" s="503"/>
      <c r="BS173" s="503"/>
      <c r="BT173" s="503"/>
      <c r="BU173" s="503"/>
      <c r="BV173" s="503"/>
      <c r="BW173" s="503"/>
      <c r="BX173" s="503"/>
      <c r="BY173" s="503"/>
      <c r="BZ173" s="503"/>
      <c r="CA173" s="503"/>
      <c r="CB173" s="503"/>
      <c r="CC173" s="503"/>
      <c r="CD173" s="503"/>
      <c r="CE173" s="503"/>
      <c r="CH173" s="503"/>
      <c r="CI173" s="503"/>
      <c r="CJ173" s="503"/>
      <c r="CK173" s="503"/>
      <c r="CL173" s="503"/>
      <c r="CM173" s="503"/>
      <c r="CN173" s="503"/>
      <c r="CO173" s="503"/>
      <c r="CP173" s="503"/>
      <c r="CQ173" s="503"/>
      <c r="CR173" s="503"/>
      <c r="CS173" s="503"/>
      <c r="CT173" s="503"/>
    </row>
    <row r="174" spans="1:98" ht="13.5" hidden="1" customHeight="1">
      <c r="A174" s="1313"/>
      <c r="B174" s="1266" t="s">
        <v>645</v>
      </c>
      <c r="C174" s="1267"/>
      <c r="D174" s="1267"/>
      <c r="E174" s="1267"/>
      <c r="F174" s="1267"/>
      <c r="G174" s="1267"/>
      <c r="H174" s="1267"/>
      <c r="I174" s="1267"/>
      <c r="J174" s="1267"/>
      <c r="K174" s="1267"/>
      <c r="L174" s="1267"/>
      <c r="M174" s="1267"/>
      <c r="N174" s="1267"/>
      <c r="O174" s="1267"/>
      <c r="P174" s="1268"/>
      <c r="Q174" s="1269"/>
      <c r="R174" s="1270"/>
      <c r="S174" s="1269"/>
      <c r="T174" s="1270"/>
      <c r="U174" s="1269"/>
      <c r="V174" s="1270"/>
      <c r="W174" s="1305"/>
      <c r="X174" s="1306"/>
      <c r="Y174" s="1306"/>
      <c r="Z174" s="1306"/>
      <c r="AA174" s="1306"/>
      <c r="AB174" s="1307"/>
      <c r="AC174" s="500"/>
      <c r="AD174" s="500"/>
      <c r="AE174" s="500" t="s">
        <v>790</v>
      </c>
      <c r="AF174" s="500"/>
      <c r="AG174" s="503"/>
      <c r="AH174" s="503"/>
      <c r="AI174" s="503"/>
      <c r="AJ174" s="503"/>
      <c r="AK174" s="503"/>
      <c r="AL174" s="503"/>
      <c r="AM174" s="503"/>
      <c r="AN174" s="503"/>
      <c r="AO174" s="503"/>
      <c r="AP174" s="503"/>
      <c r="AQ174" s="503"/>
      <c r="AR174" s="503"/>
      <c r="AS174" s="503"/>
      <c r="AT174" s="503"/>
      <c r="AU174" s="503"/>
      <c r="AV174" s="503"/>
      <c r="AW174" s="503"/>
      <c r="AX174" s="503"/>
      <c r="BA174" s="503"/>
      <c r="BB174" s="503"/>
      <c r="BC174" s="503"/>
      <c r="BD174" s="503"/>
      <c r="BE174" s="503"/>
      <c r="BF174" s="503"/>
      <c r="BG174" s="503"/>
      <c r="BH174" s="503"/>
      <c r="BI174" s="503"/>
      <c r="BJ174" s="503"/>
      <c r="BM174" s="503"/>
      <c r="BN174" s="503"/>
      <c r="BO174" s="503"/>
      <c r="BP174" s="503"/>
      <c r="BS174" s="503"/>
      <c r="BT174" s="503"/>
      <c r="BU174" s="503"/>
      <c r="BV174" s="503"/>
      <c r="BW174" s="503"/>
      <c r="BX174" s="503"/>
      <c r="BY174" s="503"/>
      <c r="BZ174" s="503"/>
      <c r="CA174" s="503"/>
      <c r="CB174" s="503"/>
      <c r="CC174" s="503"/>
      <c r="CD174" s="503"/>
      <c r="CE174" s="503"/>
      <c r="CH174" s="503"/>
      <c r="CI174" s="503"/>
      <c r="CJ174" s="503"/>
      <c r="CK174" s="503"/>
      <c r="CL174" s="503"/>
      <c r="CM174" s="503"/>
      <c r="CN174" s="503"/>
      <c r="CO174" s="503"/>
      <c r="CP174" s="503"/>
      <c r="CQ174" s="503"/>
      <c r="CR174" s="503"/>
      <c r="CS174" s="503"/>
      <c r="CT174" s="503"/>
    </row>
    <row r="175" spans="1:98" ht="13.5" customHeight="1">
      <c r="A175" s="1313"/>
      <c r="B175" s="1271" t="s">
        <v>589</v>
      </c>
      <c r="C175" s="1272"/>
      <c r="D175" s="1272"/>
      <c r="E175" s="1272"/>
      <c r="F175" s="1272"/>
      <c r="G175" s="1272"/>
      <c r="H175" s="1272"/>
      <c r="I175" s="1272"/>
      <c r="J175" s="1272"/>
      <c r="K175" s="1272"/>
      <c r="L175" s="1272"/>
      <c r="M175" s="1272"/>
      <c r="N175" s="1272"/>
      <c r="O175" s="1272"/>
      <c r="P175" s="1273"/>
      <c r="Q175" s="1264"/>
      <c r="R175" s="1265"/>
      <c r="S175" s="1264"/>
      <c r="T175" s="1265"/>
      <c r="U175" s="1264"/>
      <c r="V175" s="1265"/>
      <c r="W175" s="1264"/>
      <c r="X175" s="1265"/>
      <c r="Y175" s="1264"/>
      <c r="Z175" s="1265"/>
      <c r="AA175" s="1264"/>
      <c r="AB175" s="1265"/>
      <c r="AC175" s="500"/>
      <c r="AD175" s="500"/>
      <c r="AE175" s="500"/>
      <c r="AF175" s="500"/>
      <c r="AG175" s="503" t="s">
        <v>132</v>
      </c>
      <c r="AH175" s="503"/>
      <c r="AI175" s="503"/>
      <c r="AJ175" s="503"/>
      <c r="AK175" s="503"/>
      <c r="AL175" s="503"/>
      <c r="AM175" s="503"/>
      <c r="AN175" s="503"/>
      <c r="AO175" s="503"/>
      <c r="AP175" s="503"/>
      <c r="AQ175" s="503"/>
      <c r="AR175" s="503"/>
      <c r="AS175" s="503"/>
      <c r="AT175" s="503"/>
      <c r="AU175" s="503"/>
      <c r="AV175" s="503"/>
      <c r="AW175" s="503"/>
      <c r="AX175" s="503"/>
      <c r="BA175" s="503"/>
      <c r="BB175" s="503"/>
      <c r="BC175" s="503"/>
      <c r="BD175" s="503"/>
      <c r="BE175" s="503"/>
      <c r="BF175" s="503"/>
      <c r="BG175" s="503"/>
      <c r="BH175" s="503"/>
      <c r="BI175" s="503"/>
      <c r="BJ175" s="503"/>
      <c r="BM175" s="503"/>
      <c r="BN175" s="503"/>
      <c r="BO175" s="503"/>
      <c r="BP175" s="503"/>
      <c r="BS175" s="503"/>
      <c r="BT175" s="503"/>
      <c r="BU175" s="503"/>
      <c r="BV175" s="503"/>
      <c r="BW175" s="503"/>
      <c r="BX175" s="503"/>
      <c r="BY175" s="503"/>
      <c r="BZ175" s="503"/>
      <c r="CA175" s="503"/>
      <c r="CB175" s="503"/>
      <c r="CC175" s="503"/>
      <c r="CD175" s="503"/>
      <c r="CE175" s="503"/>
      <c r="CH175" s="503"/>
      <c r="CI175" s="503"/>
      <c r="CJ175" s="503"/>
      <c r="CK175" s="503"/>
      <c r="CL175" s="503"/>
      <c r="CM175" s="503"/>
      <c r="CN175" s="503"/>
      <c r="CO175" s="503"/>
      <c r="CP175" s="503"/>
      <c r="CQ175" s="503"/>
      <c r="CR175" s="503"/>
      <c r="CS175" s="503"/>
      <c r="CT175" s="503"/>
    </row>
    <row r="176" spans="1:98" ht="13.5" customHeight="1">
      <c r="A176" s="1313"/>
      <c r="B176" s="1266" t="s">
        <v>646</v>
      </c>
      <c r="C176" s="1267"/>
      <c r="D176" s="1267"/>
      <c r="E176" s="1267"/>
      <c r="F176" s="1267"/>
      <c r="G176" s="1267"/>
      <c r="H176" s="1267"/>
      <c r="I176" s="1267"/>
      <c r="J176" s="1267"/>
      <c r="K176" s="1267"/>
      <c r="L176" s="1267"/>
      <c r="M176" s="1267"/>
      <c r="N176" s="1267"/>
      <c r="O176" s="1267"/>
      <c r="P176" s="1268"/>
      <c r="Q176" s="1269"/>
      <c r="R176" s="1270"/>
      <c r="S176" s="1269"/>
      <c r="T176" s="1270"/>
      <c r="U176" s="1269"/>
      <c r="V176" s="1270"/>
      <c r="W176" s="1269"/>
      <c r="X176" s="1270"/>
      <c r="Y176" s="1269"/>
      <c r="Z176" s="1270"/>
      <c r="AA176" s="1269"/>
      <c r="AB176" s="1270"/>
      <c r="AC176" s="500"/>
      <c r="AD176" s="500"/>
      <c r="AE176" s="500" t="s">
        <v>829</v>
      </c>
      <c r="AF176" s="500"/>
      <c r="AG176" s="503"/>
      <c r="AH176" s="503"/>
      <c r="AI176" s="503"/>
      <c r="AJ176" s="503"/>
      <c r="AK176" s="503"/>
      <c r="AL176" s="503"/>
      <c r="AM176" s="503"/>
      <c r="AN176" s="503"/>
      <c r="AO176" s="503"/>
      <c r="AP176" s="503"/>
      <c r="AQ176" s="503"/>
      <c r="AR176" s="503"/>
      <c r="AS176" s="503"/>
      <c r="AT176" s="503"/>
      <c r="AU176" s="503"/>
      <c r="AV176" s="503"/>
      <c r="AW176" s="503"/>
      <c r="AX176" s="503"/>
      <c r="BA176" s="503"/>
      <c r="BB176" s="503"/>
      <c r="BC176" s="503"/>
      <c r="BD176" s="503"/>
      <c r="BE176" s="503"/>
      <c r="BF176" s="503"/>
      <c r="BG176" s="503"/>
      <c r="BH176" s="503"/>
      <c r="BI176" s="503"/>
      <c r="BJ176" s="503"/>
      <c r="BM176" s="503"/>
      <c r="BN176" s="503"/>
      <c r="BO176" s="503"/>
      <c r="BP176" s="503"/>
      <c r="BS176" s="503"/>
      <c r="BT176" s="503"/>
      <c r="BU176" s="503"/>
      <c r="BV176" s="503"/>
      <c r="BW176" s="503"/>
      <c r="BX176" s="503"/>
      <c r="BY176" s="503"/>
      <c r="BZ176" s="503"/>
      <c r="CA176" s="503"/>
      <c r="CB176" s="503"/>
      <c r="CC176" s="503"/>
      <c r="CD176" s="503"/>
      <c r="CE176" s="503"/>
      <c r="CH176" s="503"/>
      <c r="CI176" s="503"/>
      <c r="CJ176" s="503"/>
      <c r="CK176" s="503"/>
      <c r="CL176" s="503"/>
      <c r="CM176" s="503"/>
      <c r="CN176" s="503"/>
      <c r="CO176" s="503"/>
      <c r="CP176" s="503"/>
      <c r="CQ176" s="503"/>
      <c r="CR176" s="503"/>
      <c r="CS176" s="503"/>
      <c r="CT176" s="503"/>
    </row>
    <row r="177" spans="1:98" ht="13.5" customHeight="1">
      <c r="A177" s="1313"/>
      <c r="B177" s="1271" t="s">
        <v>589</v>
      </c>
      <c r="C177" s="1272"/>
      <c r="D177" s="1272"/>
      <c r="E177" s="1272"/>
      <c r="F177" s="1272"/>
      <c r="G177" s="1272"/>
      <c r="H177" s="1272"/>
      <c r="I177" s="1272"/>
      <c r="J177" s="1272"/>
      <c r="K177" s="1272"/>
      <c r="L177" s="1272"/>
      <c r="M177" s="1272"/>
      <c r="N177" s="1272"/>
      <c r="O177" s="1272"/>
      <c r="P177" s="1273"/>
      <c r="Q177" s="1264"/>
      <c r="R177" s="1265"/>
      <c r="S177" s="1264"/>
      <c r="T177" s="1265"/>
      <c r="U177" s="1264"/>
      <c r="V177" s="1265"/>
      <c r="W177" s="1302"/>
      <c r="X177" s="1303"/>
      <c r="Y177" s="1303"/>
      <c r="Z177" s="1303"/>
      <c r="AA177" s="1303"/>
      <c r="AB177" s="1304"/>
      <c r="AC177" s="500"/>
      <c r="AD177" s="500"/>
      <c r="AE177" s="500"/>
      <c r="AF177" s="500"/>
      <c r="AG177" s="503" t="s">
        <v>575</v>
      </c>
      <c r="AH177" s="503"/>
      <c r="AI177" s="503"/>
      <c r="AJ177" s="503"/>
      <c r="AK177" s="503"/>
      <c r="AL177" s="503"/>
      <c r="AM177" s="503"/>
      <c r="AN177" s="503"/>
      <c r="AO177" s="503"/>
      <c r="AP177" s="503"/>
      <c r="AQ177" s="503"/>
      <c r="AR177" s="503"/>
      <c r="AS177" s="503"/>
      <c r="AT177" s="503"/>
      <c r="AU177" s="503"/>
      <c r="AV177" s="503"/>
      <c r="AW177" s="503"/>
      <c r="AX177" s="503"/>
      <c r="BA177" s="503"/>
      <c r="BB177" s="503"/>
      <c r="BC177" s="503"/>
      <c r="BD177" s="503"/>
      <c r="BE177" s="503"/>
      <c r="BF177" s="503"/>
      <c r="BG177" s="503"/>
      <c r="BH177" s="503"/>
      <c r="BI177" s="503"/>
      <c r="BJ177" s="503"/>
      <c r="BM177" s="503"/>
      <c r="BN177" s="503"/>
      <c r="BO177" s="503"/>
      <c r="BP177" s="503"/>
      <c r="BS177" s="503"/>
      <c r="BT177" s="503"/>
      <c r="BU177" s="503"/>
      <c r="BV177" s="503"/>
      <c r="BW177" s="503"/>
      <c r="BX177" s="503"/>
      <c r="BY177" s="503"/>
      <c r="BZ177" s="503"/>
      <c r="CA177" s="503"/>
      <c r="CB177" s="503"/>
      <c r="CC177" s="503"/>
      <c r="CD177" s="503"/>
      <c r="CE177" s="503"/>
      <c r="CH177" s="503"/>
      <c r="CI177" s="503"/>
      <c r="CJ177" s="503"/>
      <c r="CK177" s="503"/>
      <c r="CL177" s="503"/>
      <c r="CM177" s="503"/>
      <c r="CN177" s="503"/>
      <c r="CO177" s="503"/>
      <c r="CP177" s="503"/>
      <c r="CQ177" s="503"/>
      <c r="CR177" s="503"/>
      <c r="CS177" s="503"/>
      <c r="CT177" s="503"/>
    </row>
    <row r="178" spans="1:98" ht="13.5" customHeight="1">
      <c r="A178" s="1314"/>
      <c r="B178" s="1266" t="s">
        <v>647</v>
      </c>
      <c r="C178" s="1267"/>
      <c r="D178" s="1267"/>
      <c r="E178" s="1267"/>
      <c r="F178" s="1267"/>
      <c r="G178" s="1267"/>
      <c r="H178" s="1267"/>
      <c r="I178" s="1267"/>
      <c r="J178" s="1267"/>
      <c r="K178" s="1267"/>
      <c r="L178" s="1267"/>
      <c r="M178" s="1267"/>
      <c r="N178" s="1267"/>
      <c r="O178" s="1267"/>
      <c r="P178" s="1268"/>
      <c r="Q178" s="1269"/>
      <c r="R178" s="1270"/>
      <c r="S178" s="1269"/>
      <c r="T178" s="1270"/>
      <c r="U178" s="1269"/>
      <c r="V178" s="1270"/>
      <c r="W178" s="1305"/>
      <c r="X178" s="1306"/>
      <c r="Y178" s="1306"/>
      <c r="Z178" s="1306"/>
      <c r="AA178" s="1306"/>
      <c r="AB178" s="1307"/>
      <c r="AC178" s="500"/>
      <c r="AD178" s="500"/>
      <c r="AE178" s="500"/>
      <c r="AF178" s="500"/>
      <c r="AG178" s="503"/>
      <c r="AH178" s="503"/>
      <c r="AI178" s="503"/>
      <c r="AJ178" s="503"/>
    </row>
    <row r="179" spans="1:98" ht="13.5" customHeight="1"/>
    <row r="180" spans="1:98" ht="13.5" customHeight="1">
      <c r="A180" s="1312" t="s">
        <v>602</v>
      </c>
      <c r="B180" s="497" t="s">
        <v>582</v>
      </c>
      <c r="C180" s="498"/>
      <c r="D180" s="488"/>
      <c r="E180" s="488"/>
      <c r="F180" s="488"/>
      <c r="G180" s="488"/>
      <c r="H180" s="488"/>
      <c r="I180" s="488"/>
      <c r="J180" s="488"/>
      <c r="K180" s="488"/>
      <c r="L180" s="488"/>
      <c r="M180" s="488"/>
      <c r="N180" s="488"/>
      <c r="O180" s="488"/>
      <c r="P180" s="499"/>
      <c r="Q180" s="1253" t="s">
        <v>583</v>
      </c>
      <c r="R180" s="1254"/>
      <c r="S180" s="1253" t="s">
        <v>584</v>
      </c>
      <c r="T180" s="1254"/>
      <c r="U180" s="1218" t="s">
        <v>585</v>
      </c>
      <c r="V180" s="1218"/>
      <c r="W180" s="1253" t="s">
        <v>597</v>
      </c>
      <c r="X180" s="1254"/>
      <c r="Y180" s="1253" t="s">
        <v>598</v>
      </c>
      <c r="Z180" s="1254"/>
      <c r="AA180" s="1217" t="s">
        <v>462</v>
      </c>
      <c r="AB180" s="1255"/>
      <c r="AG180" s="485"/>
      <c r="AH180" s="485"/>
      <c r="AI180" s="485"/>
      <c r="AJ180" s="485"/>
      <c r="AK180" s="485"/>
      <c r="AL180" s="485"/>
      <c r="AM180" s="485"/>
      <c r="AN180" s="485"/>
      <c r="AO180" s="485"/>
      <c r="AP180" s="485"/>
      <c r="AQ180" s="485"/>
      <c r="BA180" s="485"/>
      <c r="BB180" s="485"/>
      <c r="BC180" s="485"/>
      <c r="BD180" s="485"/>
      <c r="BE180" s="485"/>
      <c r="BF180" s="485"/>
      <c r="BS180" s="485"/>
      <c r="BT180" s="485"/>
      <c r="BU180" s="485"/>
      <c r="BV180" s="485"/>
      <c r="BW180" s="485"/>
      <c r="BX180" s="485"/>
      <c r="CH180" s="485"/>
      <c r="CI180" s="485"/>
      <c r="CJ180" s="485"/>
      <c r="CK180" s="485"/>
      <c r="CL180" s="485"/>
      <c r="CM180" s="485"/>
    </row>
    <row r="181" spans="1:98" ht="13.5" customHeight="1">
      <c r="A181" s="1313"/>
      <c r="B181" s="1256" t="s">
        <v>627</v>
      </c>
      <c r="C181" s="1257"/>
      <c r="D181" s="1257"/>
      <c r="E181" s="1257"/>
      <c r="F181" s="1257"/>
      <c r="G181" s="1257"/>
      <c r="H181" s="1257"/>
      <c r="I181" s="1257"/>
      <c r="J181" s="1257"/>
      <c r="K181" s="1257"/>
      <c r="L181" s="1257"/>
      <c r="M181" s="1257"/>
      <c r="N181" s="1257"/>
      <c r="O181" s="1257"/>
      <c r="P181" s="1316"/>
      <c r="Q181" s="1298">
        <f>COUNTIF(BA11:BA160,"○")</f>
        <v>0</v>
      </c>
      <c r="R181" s="1299"/>
      <c r="S181" s="1298">
        <f>COUNTIF(BB11:BB160,"○")</f>
        <v>0</v>
      </c>
      <c r="T181" s="1299"/>
      <c r="U181" s="1298">
        <f>COUNTIF(BC11:BC160,"○")</f>
        <v>0</v>
      </c>
      <c r="V181" s="1299"/>
      <c r="W181" s="1298">
        <f>COUNTIF(BD11:BD160,"○")</f>
        <v>0</v>
      </c>
      <c r="X181" s="1299"/>
      <c r="Y181" s="1298">
        <f>COUNTIF(BE11:BE160,"○")</f>
        <v>0</v>
      </c>
      <c r="Z181" s="1299"/>
      <c r="AA181" s="1298">
        <f>COUNTIF(BF11:BF160,"○")</f>
        <v>0</v>
      </c>
      <c r="AB181" s="1299"/>
      <c r="AC181" s="484"/>
      <c r="AD181" s="484"/>
      <c r="AE181" s="484"/>
      <c r="AF181" s="484"/>
      <c r="AG181" s="485"/>
      <c r="AH181" s="485"/>
      <c r="AI181" s="485"/>
      <c r="AJ181" s="485"/>
      <c r="AK181" s="485"/>
      <c r="AL181" s="485"/>
      <c r="AM181" s="485"/>
      <c r="AN181" s="485"/>
      <c r="AO181" s="485"/>
      <c r="AP181" s="485"/>
      <c r="AQ181" s="485"/>
      <c r="BA181" s="485"/>
      <c r="BB181" s="485"/>
      <c r="BC181" s="485"/>
      <c r="BD181" s="485"/>
      <c r="BE181" s="485"/>
      <c r="BF181" s="485"/>
      <c r="BS181" s="485"/>
      <c r="BT181" s="485"/>
      <c r="BU181" s="485"/>
      <c r="BV181" s="485"/>
      <c r="BW181" s="485"/>
      <c r="BX181" s="485"/>
      <c r="CH181" s="485"/>
      <c r="CI181" s="485"/>
      <c r="CJ181" s="485"/>
      <c r="CK181" s="485"/>
      <c r="CL181" s="485"/>
      <c r="CM181" s="485"/>
    </row>
    <row r="182" spans="1:98" ht="13.5" customHeight="1">
      <c r="A182" s="1313"/>
      <c r="B182" s="1258"/>
      <c r="C182" s="1259"/>
      <c r="D182" s="1259"/>
      <c r="E182" s="1259"/>
      <c r="F182" s="1259"/>
      <c r="G182" s="1259"/>
      <c r="H182" s="1259"/>
      <c r="I182" s="1259"/>
      <c r="J182" s="1259"/>
      <c r="K182" s="1259"/>
      <c r="L182" s="1259"/>
      <c r="M182" s="1259"/>
      <c r="N182" s="1259"/>
      <c r="O182" s="1259"/>
      <c r="P182" s="1311"/>
      <c r="Q182" s="1300"/>
      <c r="R182" s="1301"/>
      <c r="S182" s="1300"/>
      <c r="T182" s="1301"/>
      <c r="U182" s="1300"/>
      <c r="V182" s="1301"/>
      <c r="W182" s="1300"/>
      <c r="X182" s="1301"/>
      <c r="Y182" s="1300"/>
      <c r="Z182" s="1301"/>
      <c r="AA182" s="1300"/>
      <c r="AB182" s="1301"/>
      <c r="AC182" s="484"/>
      <c r="AD182" s="484"/>
      <c r="AE182" s="484"/>
      <c r="AF182" s="484"/>
      <c r="AG182" s="485"/>
      <c r="AH182" s="485"/>
      <c r="AI182" s="485"/>
      <c r="AJ182" s="485"/>
      <c r="AK182" s="485"/>
      <c r="AL182" s="485"/>
      <c r="AM182" s="485"/>
      <c r="AN182" s="485"/>
      <c r="AO182" s="485"/>
      <c r="AP182" s="485"/>
      <c r="AQ182" s="485"/>
      <c r="BA182" s="485"/>
      <c r="BB182" s="485"/>
      <c r="BC182" s="485"/>
      <c r="BD182" s="485"/>
      <c r="BE182" s="485"/>
      <c r="BF182" s="485"/>
      <c r="BS182" s="485"/>
      <c r="BT182" s="485"/>
      <c r="BU182" s="485"/>
      <c r="BV182" s="485"/>
      <c r="BW182" s="485"/>
      <c r="BX182" s="485"/>
      <c r="CH182" s="485"/>
      <c r="CI182" s="485"/>
      <c r="CJ182" s="485"/>
      <c r="CK182" s="485"/>
      <c r="CL182" s="485"/>
      <c r="CM182" s="485"/>
    </row>
    <row r="183" spans="1:98" ht="13.5" customHeight="1">
      <c r="A183" s="1313"/>
      <c r="B183" s="1256" t="s">
        <v>628</v>
      </c>
      <c r="C183" s="1257"/>
      <c r="D183" s="1257"/>
      <c r="E183" s="1257"/>
      <c r="F183" s="1257"/>
      <c r="G183" s="1257"/>
      <c r="H183" s="1257"/>
      <c r="I183" s="1257"/>
      <c r="J183" s="1257"/>
      <c r="K183" s="1257"/>
      <c r="L183" s="1257"/>
      <c r="M183" s="1257"/>
      <c r="N183" s="1257"/>
      <c r="O183" s="1257"/>
      <c r="P183" s="1316"/>
      <c r="Q183" s="1298">
        <f>COUNTIF(BG11:BG160,"○")</f>
        <v>0</v>
      </c>
      <c r="R183" s="1299"/>
      <c r="S183" s="1298">
        <f>COUNTIF(BH11:BH160,"○")</f>
        <v>0</v>
      </c>
      <c r="T183" s="1299"/>
      <c r="U183" s="1298">
        <f>COUNTIF(BI11:BI160,"○")</f>
        <v>0</v>
      </c>
      <c r="V183" s="1299"/>
      <c r="W183" s="1298">
        <f>COUNTIF(BJ11:BJ160,"○")</f>
        <v>0</v>
      </c>
      <c r="X183" s="1299"/>
      <c r="Y183" s="1320"/>
      <c r="Z183" s="1321"/>
      <c r="AA183" s="1321"/>
      <c r="AB183" s="1322"/>
      <c r="AC183" s="484"/>
      <c r="AD183" s="484"/>
      <c r="AE183" s="484"/>
      <c r="AF183" s="484"/>
      <c r="AG183" s="485"/>
      <c r="AH183" s="485"/>
      <c r="AI183" s="485"/>
      <c r="AJ183" s="485"/>
      <c r="AK183" s="485"/>
      <c r="AL183" s="485"/>
      <c r="AM183" s="485"/>
      <c r="AN183" s="485"/>
      <c r="AO183" s="485"/>
      <c r="AP183" s="485"/>
      <c r="AQ183" s="485"/>
      <c r="BA183" s="485"/>
      <c r="BB183" s="485"/>
      <c r="BC183" s="485"/>
      <c r="BD183" s="485"/>
      <c r="BE183" s="485"/>
      <c r="BF183" s="485"/>
      <c r="BS183" s="485"/>
      <c r="BT183" s="485"/>
      <c r="BU183" s="485"/>
      <c r="BV183" s="485"/>
      <c r="BW183" s="485"/>
      <c r="BX183" s="485"/>
      <c r="CH183" s="485"/>
      <c r="CI183" s="485"/>
      <c r="CJ183" s="485"/>
      <c r="CK183" s="485"/>
      <c r="CL183" s="485"/>
      <c r="CM183" s="485"/>
    </row>
    <row r="184" spans="1:98" ht="13.5" customHeight="1">
      <c r="A184" s="1313"/>
      <c r="B184" s="1258"/>
      <c r="C184" s="1259"/>
      <c r="D184" s="1259"/>
      <c r="E184" s="1259"/>
      <c r="F184" s="1259"/>
      <c r="G184" s="1259"/>
      <c r="H184" s="1259"/>
      <c r="I184" s="1259"/>
      <c r="J184" s="1259"/>
      <c r="K184" s="1259"/>
      <c r="L184" s="1259"/>
      <c r="M184" s="1259"/>
      <c r="N184" s="1259"/>
      <c r="O184" s="1259"/>
      <c r="P184" s="1311"/>
      <c r="Q184" s="1300"/>
      <c r="R184" s="1301"/>
      <c r="S184" s="1300"/>
      <c r="T184" s="1301"/>
      <c r="U184" s="1300"/>
      <c r="V184" s="1301"/>
      <c r="W184" s="1300"/>
      <c r="X184" s="1301"/>
      <c r="Y184" s="1323"/>
      <c r="Z184" s="1324"/>
      <c r="AA184" s="1324"/>
      <c r="AB184" s="1325"/>
      <c r="AC184" s="484"/>
      <c r="AD184" s="484"/>
      <c r="AE184" s="484"/>
      <c r="AF184" s="484"/>
      <c r="AG184" s="485"/>
      <c r="AH184" s="485"/>
      <c r="AI184" s="485"/>
      <c r="AJ184" s="485"/>
      <c r="AK184" s="485"/>
      <c r="AL184" s="485"/>
      <c r="AM184" s="485"/>
      <c r="AN184" s="485"/>
      <c r="AO184" s="485"/>
      <c r="AP184" s="485"/>
      <c r="AQ184" s="485"/>
      <c r="BA184" s="485"/>
      <c r="BB184" s="485"/>
      <c r="BC184" s="485"/>
      <c r="BD184" s="485"/>
      <c r="BE184" s="485"/>
      <c r="BF184" s="485"/>
      <c r="BS184" s="485"/>
      <c r="BT184" s="485"/>
      <c r="BU184" s="485"/>
      <c r="BV184" s="485"/>
      <c r="BW184" s="485"/>
      <c r="BX184" s="485"/>
      <c r="CH184" s="485"/>
      <c r="CI184" s="485"/>
      <c r="CJ184" s="485"/>
      <c r="CK184" s="485"/>
      <c r="CL184" s="485"/>
      <c r="CM184" s="485"/>
    </row>
    <row r="185" spans="1:98" ht="13.5" customHeight="1">
      <c r="A185" s="1313"/>
      <c r="B185" s="1308" t="s">
        <v>587</v>
      </c>
      <c r="C185" s="1309"/>
      <c r="D185" s="1309"/>
      <c r="E185" s="1309"/>
      <c r="F185" s="1309"/>
      <c r="G185" s="1309"/>
      <c r="H185" s="1309"/>
      <c r="I185" s="1309"/>
      <c r="J185" s="1309"/>
      <c r="K185" s="1309"/>
      <c r="L185" s="1309"/>
      <c r="M185" s="1309"/>
      <c r="N185" s="1309"/>
      <c r="O185" s="1309"/>
      <c r="P185" s="1310"/>
      <c r="Q185" s="1298">
        <f>COUNTIF(BM11:BM160,"○")</f>
        <v>0</v>
      </c>
      <c r="R185" s="1299"/>
      <c r="S185" s="1298">
        <f>COUNTIF(BN11:BN160,"○")</f>
        <v>0</v>
      </c>
      <c r="T185" s="1299"/>
      <c r="U185" s="1298">
        <f>COUNTIF(BO11:BO160,"○")</f>
        <v>0</v>
      </c>
      <c r="V185" s="1299"/>
      <c r="W185" s="1298">
        <f>COUNTIF(BP11:BP160,"○")</f>
        <v>0</v>
      </c>
      <c r="X185" s="1299"/>
      <c r="Y185" s="1298">
        <f>COUNTIF(BQ11:BQ160,"○")</f>
        <v>0</v>
      </c>
      <c r="Z185" s="1299"/>
      <c r="AA185" s="1298">
        <f>COUNTIF(BR11:BR160,"○")</f>
        <v>0</v>
      </c>
      <c r="AB185" s="1299"/>
      <c r="AC185" s="484"/>
      <c r="AD185" s="484"/>
      <c r="AE185" s="484"/>
      <c r="AF185" s="484"/>
      <c r="AG185" s="485"/>
      <c r="AH185" s="485"/>
      <c r="AI185" s="485"/>
      <c r="AJ185" s="485"/>
      <c r="AK185" s="485"/>
      <c r="AL185" s="485"/>
      <c r="AM185" s="485"/>
      <c r="AN185" s="485"/>
      <c r="AO185" s="485"/>
      <c r="AP185" s="485"/>
      <c r="AQ185" s="485"/>
      <c r="BA185" s="485"/>
      <c r="BB185" s="485"/>
      <c r="BC185" s="485"/>
      <c r="BD185" s="485"/>
      <c r="BE185" s="485"/>
      <c r="BF185" s="485"/>
      <c r="BS185" s="485"/>
      <c r="BT185" s="485"/>
      <c r="BU185" s="485"/>
      <c r="BV185" s="485"/>
      <c r="BW185" s="485"/>
      <c r="BX185" s="485"/>
      <c r="CH185" s="485"/>
      <c r="CI185" s="485"/>
      <c r="CJ185" s="485"/>
      <c r="CK185" s="485"/>
      <c r="CL185" s="485"/>
      <c r="CM185" s="485"/>
    </row>
    <row r="186" spans="1:98" ht="13.5" customHeight="1">
      <c r="A186" s="1313"/>
      <c r="B186" s="1258"/>
      <c r="C186" s="1259"/>
      <c r="D186" s="1259"/>
      <c r="E186" s="1259"/>
      <c r="F186" s="1259"/>
      <c r="G186" s="1259"/>
      <c r="H186" s="1259"/>
      <c r="I186" s="1259"/>
      <c r="J186" s="1259"/>
      <c r="K186" s="1259"/>
      <c r="L186" s="1259"/>
      <c r="M186" s="1259"/>
      <c r="N186" s="1259"/>
      <c r="O186" s="1259"/>
      <c r="P186" s="1311"/>
      <c r="Q186" s="1300"/>
      <c r="R186" s="1301"/>
      <c r="S186" s="1300"/>
      <c r="T186" s="1301"/>
      <c r="U186" s="1300"/>
      <c r="V186" s="1301"/>
      <c r="W186" s="1300"/>
      <c r="X186" s="1301"/>
      <c r="Y186" s="1300"/>
      <c r="Z186" s="1301"/>
      <c r="AA186" s="1300"/>
      <c r="AB186" s="1301"/>
      <c r="AC186" s="484"/>
      <c r="AD186" s="484"/>
      <c r="AE186" s="484"/>
      <c r="AF186" s="484"/>
      <c r="AG186" s="474"/>
      <c r="AH186" s="474"/>
      <c r="AI186" s="474"/>
      <c r="AJ186" s="474"/>
      <c r="AK186" s="474"/>
      <c r="AL186" s="474"/>
      <c r="AM186" s="474"/>
      <c r="AN186" s="474"/>
      <c r="AO186" s="474"/>
      <c r="AP186" s="474"/>
      <c r="AQ186" s="474"/>
      <c r="BA186" s="474"/>
      <c r="BB186" s="474"/>
      <c r="BC186" s="474"/>
      <c r="BD186" s="474"/>
      <c r="BE186" s="474"/>
      <c r="BF186" s="474"/>
      <c r="BS186" s="474"/>
      <c r="BT186" s="474"/>
      <c r="BU186" s="474"/>
      <c r="BV186" s="474"/>
      <c r="BW186" s="474"/>
      <c r="BX186" s="474"/>
      <c r="CH186" s="474"/>
      <c r="CI186" s="474"/>
      <c r="CJ186" s="474"/>
      <c r="CK186" s="474"/>
      <c r="CL186" s="474"/>
      <c r="CM186" s="474"/>
    </row>
    <row r="187" spans="1:98" ht="13.5" customHeight="1">
      <c r="A187" s="1313"/>
      <c r="B187" s="501"/>
      <c r="C187" s="487"/>
      <c r="D187" s="487"/>
      <c r="E187" s="487"/>
      <c r="F187" s="487"/>
      <c r="G187" s="487"/>
      <c r="H187" s="487"/>
      <c r="I187" s="487"/>
      <c r="J187" s="487"/>
      <c r="K187" s="487"/>
      <c r="L187" s="487"/>
      <c r="M187" s="487"/>
      <c r="N187" s="487"/>
      <c r="O187" s="487"/>
      <c r="P187" s="487"/>
      <c r="Q187" s="487"/>
      <c r="R187" s="487"/>
      <c r="S187" s="488"/>
      <c r="T187" s="488"/>
      <c r="U187" s="488"/>
      <c r="V187" s="488"/>
      <c r="W187" s="488"/>
      <c r="X187" s="488"/>
      <c r="Y187" s="474"/>
      <c r="Z187" s="474"/>
      <c r="AA187" s="474"/>
      <c r="AB187" s="474"/>
      <c r="AC187" s="474"/>
      <c r="AD187" s="474"/>
      <c r="AE187" s="474"/>
      <c r="AF187" s="474"/>
      <c r="AG187" s="474"/>
      <c r="AH187" s="474"/>
      <c r="AI187" s="474"/>
      <c r="AJ187" s="474"/>
      <c r="AK187" s="474"/>
      <c r="AL187" s="474"/>
      <c r="AM187" s="474"/>
      <c r="AN187" s="474"/>
      <c r="AO187" s="474"/>
      <c r="AP187" s="474"/>
      <c r="AQ187" s="474"/>
      <c r="BA187" s="474"/>
      <c r="BB187" s="474"/>
      <c r="BC187" s="474"/>
      <c r="BD187" s="474"/>
      <c r="BE187" s="474"/>
      <c r="BF187" s="474"/>
      <c r="BS187" s="474"/>
      <c r="BT187" s="474"/>
      <c r="BU187" s="474"/>
      <c r="BV187" s="474"/>
      <c r="BW187" s="474"/>
      <c r="BX187" s="474"/>
      <c r="CH187" s="474"/>
      <c r="CI187" s="474"/>
      <c r="CJ187" s="474"/>
      <c r="CK187" s="474"/>
      <c r="CL187" s="474"/>
      <c r="CM187" s="474"/>
    </row>
    <row r="188" spans="1:98" ht="13.5" customHeight="1">
      <c r="A188" s="1313"/>
      <c r="B188" s="481" t="s">
        <v>601</v>
      </c>
      <c r="C188" s="481"/>
      <c r="D188" s="482"/>
      <c r="E188" s="482"/>
      <c r="F188" s="482"/>
      <c r="G188" s="482"/>
      <c r="H188" s="489"/>
      <c r="I188" s="489"/>
      <c r="J188" s="489"/>
      <c r="K188" s="489"/>
      <c r="L188" s="489"/>
      <c r="M188" s="489"/>
      <c r="N188" s="489"/>
      <c r="O188" s="489"/>
      <c r="P188" s="489"/>
      <c r="Q188" s="1253" t="s">
        <v>583</v>
      </c>
      <c r="R188" s="1254"/>
      <c r="S188" s="1253" t="s">
        <v>584</v>
      </c>
      <c r="T188" s="1254"/>
      <c r="U188" s="1218" t="s">
        <v>585</v>
      </c>
      <c r="V188" s="1218"/>
      <c r="W188" s="1253" t="s">
        <v>597</v>
      </c>
      <c r="X188" s="1254"/>
      <c r="Y188" s="1253" t="s">
        <v>598</v>
      </c>
      <c r="Z188" s="1254"/>
      <c r="AA188" s="1217" t="s">
        <v>462</v>
      </c>
      <c r="AB188" s="1255"/>
      <c r="AG188" s="474"/>
      <c r="AH188" s="474"/>
      <c r="AI188" s="474"/>
      <c r="AJ188" s="474"/>
      <c r="AK188" s="503"/>
      <c r="AL188" s="503"/>
      <c r="AM188" s="503"/>
      <c r="AN188" s="503"/>
      <c r="AO188" s="503"/>
      <c r="AP188" s="503"/>
      <c r="AQ188" s="503"/>
      <c r="AR188" s="503"/>
      <c r="AS188" s="503"/>
      <c r="AT188" s="503"/>
      <c r="AU188" s="503"/>
      <c r="AV188" s="503"/>
      <c r="AW188" s="503"/>
      <c r="AX188" s="503"/>
      <c r="BA188" s="503"/>
      <c r="BB188" s="503"/>
      <c r="BC188" s="503"/>
      <c r="BD188" s="503"/>
      <c r="BE188" s="503"/>
      <c r="BF188" s="503"/>
      <c r="BG188" s="503"/>
      <c r="BH188" s="503"/>
      <c r="BI188" s="503"/>
      <c r="BJ188" s="503"/>
      <c r="BM188" s="503"/>
      <c r="BN188" s="503"/>
      <c r="BO188" s="503"/>
      <c r="BP188" s="503"/>
      <c r="BS188" s="503"/>
      <c r="BT188" s="503"/>
      <c r="BU188" s="503"/>
      <c r="BV188" s="503"/>
      <c r="BW188" s="503"/>
      <c r="BX188" s="503"/>
      <c r="BY188" s="503"/>
      <c r="BZ188" s="503"/>
      <c r="CA188" s="503"/>
      <c r="CB188" s="503"/>
      <c r="CC188" s="503"/>
      <c r="CD188" s="503"/>
      <c r="CE188" s="503"/>
      <c r="CH188" s="503"/>
      <c r="CI188" s="503"/>
      <c r="CJ188" s="503"/>
      <c r="CK188" s="503"/>
      <c r="CL188" s="503"/>
      <c r="CM188" s="503"/>
      <c r="CN188" s="503"/>
      <c r="CO188" s="503"/>
      <c r="CP188" s="503"/>
      <c r="CQ188" s="503"/>
      <c r="CR188" s="503"/>
      <c r="CS188" s="503"/>
      <c r="CT188" s="503"/>
    </row>
    <row r="189" spans="1:98" ht="13.5" hidden="1" customHeight="1">
      <c r="A189" s="1313"/>
      <c r="B189" s="1271" t="s">
        <v>589</v>
      </c>
      <c r="C189" s="1272"/>
      <c r="D189" s="1272"/>
      <c r="E189" s="1272"/>
      <c r="F189" s="1272"/>
      <c r="G189" s="1272"/>
      <c r="H189" s="1272"/>
      <c r="I189" s="1272"/>
      <c r="J189" s="1272"/>
      <c r="K189" s="1272"/>
      <c r="L189" s="1272"/>
      <c r="M189" s="1272"/>
      <c r="N189" s="1272"/>
      <c r="O189" s="1272"/>
      <c r="P189" s="1273"/>
      <c r="Q189" s="1264"/>
      <c r="R189" s="1265"/>
      <c r="S189" s="1274"/>
      <c r="T189" s="1265"/>
      <c r="U189" s="1264"/>
      <c r="V189" s="1265"/>
      <c r="W189" s="1264"/>
      <c r="X189" s="1265"/>
      <c r="Y189" s="1264"/>
      <c r="Z189" s="1265"/>
      <c r="AA189" s="1264"/>
      <c r="AB189" s="1265"/>
      <c r="AC189" s="500"/>
      <c r="AD189" s="500"/>
      <c r="AE189" s="500"/>
      <c r="AF189" s="500"/>
      <c r="AG189" s="503" t="s">
        <v>120</v>
      </c>
      <c r="AH189" s="503"/>
      <c r="AI189" s="503"/>
      <c r="AJ189" s="503"/>
      <c r="AK189" s="503"/>
      <c r="AL189" s="503"/>
      <c r="AM189" s="503"/>
      <c r="AN189" s="503"/>
      <c r="AO189" s="503"/>
      <c r="AP189" s="503"/>
      <c r="AQ189" s="503"/>
      <c r="AR189" s="503"/>
      <c r="AS189" s="503"/>
      <c r="AT189" s="503"/>
      <c r="AU189" s="503"/>
      <c r="AV189" s="503"/>
      <c r="AW189" s="503"/>
      <c r="AX189" s="503"/>
      <c r="BA189" s="503"/>
      <c r="BB189" s="503"/>
      <c r="BC189" s="503"/>
      <c r="BD189" s="503"/>
      <c r="BE189" s="503"/>
      <c r="BF189" s="503"/>
      <c r="BG189" s="503"/>
      <c r="BH189" s="503"/>
      <c r="BI189" s="503"/>
      <c r="BJ189" s="503"/>
      <c r="BM189" s="503"/>
      <c r="BN189" s="503"/>
      <c r="BO189" s="503"/>
      <c r="BP189" s="503"/>
      <c r="BS189" s="503"/>
      <c r="BT189" s="503"/>
      <c r="BU189" s="503"/>
      <c r="BV189" s="503"/>
      <c r="BW189" s="503"/>
      <c r="BX189" s="503"/>
      <c r="BY189" s="503"/>
      <c r="BZ189" s="503"/>
      <c r="CA189" s="503"/>
      <c r="CB189" s="503"/>
      <c r="CC189" s="503"/>
      <c r="CD189" s="503"/>
      <c r="CE189" s="503"/>
      <c r="CH189" s="503"/>
      <c r="CI189" s="503"/>
      <c r="CJ189" s="503"/>
      <c r="CK189" s="503"/>
      <c r="CL189" s="503"/>
      <c r="CM189" s="503"/>
      <c r="CN189" s="503"/>
      <c r="CO189" s="503"/>
      <c r="CP189" s="503"/>
      <c r="CQ189" s="503"/>
      <c r="CR189" s="503"/>
      <c r="CS189" s="503"/>
      <c r="CT189" s="503"/>
    </row>
    <row r="190" spans="1:98" ht="13.5" hidden="1" customHeight="1">
      <c r="A190" s="1313"/>
      <c r="B190" s="1317" t="s">
        <v>590</v>
      </c>
      <c r="C190" s="1318"/>
      <c r="D190" s="1318"/>
      <c r="E190" s="1318"/>
      <c r="F190" s="1318"/>
      <c r="G190" s="1318"/>
      <c r="H190" s="1318"/>
      <c r="I190" s="1318"/>
      <c r="J190" s="1318"/>
      <c r="K190" s="1318"/>
      <c r="L190" s="1318"/>
      <c r="M190" s="1318"/>
      <c r="N190" s="1318"/>
      <c r="O190" s="1318"/>
      <c r="P190" s="1319"/>
      <c r="Q190" s="1269"/>
      <c r="R190" s="1270"/>
      <c r="S190" s="1269"/>
      <c r="T190" s="1270"/>
      <c r="U190" s="1269"/>
      <c r="V190" s="1270"/>
      <c r="W190" s="1269"/>
      <c r="X190" s="1270"/>
      <c r="Y190" s="1269"/>
      <c r="Z190" s="1270"/>
      <c r="AA190" s="1269"/>
      <c r="AB190" s="1270"/>
      <c r="AC190" s="500"/>
      <c r="AD190" s="500"/>
      <c r="AE190" s="500"/>
      <c r="AF190" s="500"/>
      <c r="AG190" s="503"/>
      <c r="AH190" s="503"/>
      <c r="AI190" s="503"/>
      <c r="AJ190" s="503"/>
      <c r="AK190" s="503"/>
      <c r="AL190" s="503"/>
      <c r="AM190" s="503"/>
      <c r="AN190" s="503"/>
      <c r="AO190" s="503"/>
      <c r="AP190" s="503"/>
      <c r="AQ190" s="503"/>
      <c r="AR190" s="503"/>
      <c r="AS190" s="503"/>
      <c r="AT190" s="503"/>
      <c r="AU190" s="503"/>
      <c r="AV190" s="503"/>
      <c r="AW190" s="503"/>
      <c r="AX190" s="503"/>
      <c r="BA190" s="503"/>
      <c r="BB190" s="503"/>
      <c r="BC190" s="503"/>
      <c r="BD190" s="503"/>
      <c r="BE190" s="503"/>
      <c r="BF190" s="503"/>
      <c r="BG190" s="503"/>
      <c r="BH190" s="503"/>
      <c r="BI190" s="503"/>
      <c r="BJ190" s="503"/>
      <c r="BM190" s="503"/>
      <c r="BN190" s="503"/>
      <c r="BO190" s="503"/>
      <c r="BP190" s="503"/>
      <c r="BS190" s="503"/>
      <c r="BT190" s="503"/>
      <c r="BU190" s="503"/>
      <c r="BV190" s="503"/>
      <c r="BW190" s="503"/>
      <c r="BX190" s="503"/>
      <c r="BY190" s="503"/>
      <c r="BZ190" s="503"/>
      <c r="CA190" s="503"/>
      <c r="CB190" s="503"/>
      <c r="CC190" s="503"/>
      <c r="CD190" s="503"/>
      <c r="CE190" s="503"/>
      <c r="CH190" s="503"/>
      <c r="CI190" s="503"/>
      <c r="CJ190" s="503"/>
      <c r="CK190" s="503"/>
      <c r="CL190" s="503"/>
      <c r="CM190" s="503"/>
      <c r="CN190" s="503"/>
      <c r="CO190" s="503"/>
      <c r="CP190" s="503"/>
      <c r="CQ190" s="503"/>
      <c r="CR190" s="503"/>
      <c r="CS190" s="503"/>
      <c r="CT190" s="503"/>
    </row>
    <row r="191" spans="1:98" ht="13.5" hidden="1" customHeight="1">
      <c r="A191" s="1313"/>
      <c r="B191" s="1271" t="s">
        <v>589</v>
      </c>
      <c r="C191" s="1272"/>
      <c r="D191" s="1272"/>
      <c r="E191" s="1272"/>
      <c r="F191" s="1272"/>
      <c r="G191" s="1272"/>
      <c r="H191" s="1272"/>
      <c r="I191" s="1272"/>
      <c r="J191" s="1272"/>
      <c r="K191" s="1272"/>
      <c r="L191" s="1272"/>
      <c r="M191" s="1272"/>
      <c r="N191" s="1272"/>
      <c r="O191" s="1272"/>
      <c r="P191" s="1273"/>
      <c r="Q191" s="1264"/>
      <c r="R191" s="1265"/>
      <c r="S191" s="1264"/>
      <c r="T191" s="1265"/>
      <c r="U191" s="1264"/>
      <c r="V191" s="1265"/>
      <c r="W191" s="1302"/>
      <c r="X191" s="1303"/>
      <c r="Y191" s="1303"/>
      <c r="Z191" s="1303"/>
      <c r="AA191" s="1303"/>
      <c r="AB191" s="1304"/>
      <c r="AC191" s="500"/>
      <c r="AD191" s="500"/>
      <c r="AE191" s="500"/>
      <c r="AF191" s="500"/>
      <c r="AG191" s="503" t="s">
        <v>121</v>
      </c>
      <c r="AH191" s="503"/>
      <c r="AI191" s="503"/>
      <c r="AJ191" s="503"/>
      <c r="AK191" s="503"/>
      <c r="AL191" s="503"/>
      <c r="AM191" s="503"/>
      <c r="AN191" s="503"/>
      <c r="AO191" s="503"/>
      <c r="AP191" s="503"/>
      <c r="AQ191" s="503"/>
      <c r="AR191" s="503"/>
      <c r="AS191" s="503"/>
      <c r="AT191" s="503"/>
      <c r="AU191" s="503"/>
      <c r="AV191" s="503"/>
      <c r="AW191" s="503"/>
      <c r="AX191" s="503"/>
      <c r="BA191" s="503"/>
      <c r="BB191" s="503"/>
      <c r="BC191" s="503"/>
      <c r="BD191" s="503"/>
      <c r="BE191" s="503"/>
      <c r="BF191" s="503"/>
      <c r="BG191" s="503"/>
      <c r="BH191" s="503"/>
      <c r="BI191" s="503"/>
      <c r="BJ191" s="503"/>
      <c r="BM191" s="503"/>
      <c r="BN191" s="503"/>
      <c r="BO191" s="503"/>
      <c r="BP191" s="503"/>
      <c r="BS191" s="503"/>
      <c r="BT191" s="503"/>
      <c r="BU191" s="503"/>
      <c r="BV191" s="503"/>
      <c r="BW191" s="503"/>
      <c r="BX191" s="503"/>
      <c r="BY191" s="503"/>
      <c r="BZ191" s="503"/>
      <c r="CA191" s="503"/>
      <c r="CB191" s="503"/>
      <c r="CC191" s="503"/>
      <c r="CD191" s="503"/>
      <c r="CE191" s="503"/>
      <c r="CH191" s="503"/>
      <c r="CI191" s="503"/>
      <c r="CJ191" s="503"/>
      <c r="CK191" s="503"/>
      <c r="CL191" s="503"/>
      <c r="CM191" s="503"/>
      <c r="CN191" s="503"/>
      <c r="CO191" s="503"/>
      <c r="CP191" s="503"/>
      <c r="CQ191" s="503"/>
      <c r="CR191" s="503"/>
      <c r="CS191" s="503"/>
      <c r="CT191" s="503"/>
    </row>
    <row r="192" spans="1:98" ht="13.5" hidden="1" customHeight="1">
      <c r="A192" s="1313"/>
      <c r="B192" s="1266" t="s">
        <v>645</v>
      </c>
      <c r="C192" s="1267"/>
      <c r="D192" s="1267"/>
      <c r="E192" s="1267"/>
      <c r="F192" s="1267"/>
      <c r="G192" s="1267"/>
      <c r="H192" s="1267"/>
      <c r="I192" s="1267"/>
      <c r="J192" s="1267"/>
      <c r="K192" s="1267"/>
      <c r="L192" s="1267"/>
      <c r="M192" s="1267"/>
      <c r="N192" s="1267"/>
      <c r="O192" s="1267"/>
      <c r="P192" s="1268"/>
      <c r="Q192" s="1269"/>
      <c r="R192" s="1270"/>
      <c r="S192" s="1269"/>
      <c r="T192" s="1270"/>
      <c r="U192" s="1269"/>
      <c r="V192" s="1270"/>
      <c r="W192" s="1305"/>
      <c r="X192" s="1306"/>
      <c r="Y192" s="1306"/>
      <c r="Z192" s="1306"/>
      <c r="AA192" s="1306"/>
      <c r="AB192" s="1307"/>
      <c r="AC192" s="500"/>
      <c r="AD192" s="500"/>
      <c r="AE192" s="500" t="s">
        <v>791</v>
      </c>
      <c r="AF192" s="500"/>
      <c r="AG192" s="503"/>
      <c r="AH192" s="503"/>
      <c r="AI192" s="503"/>
      <c r="AJ192" s="503"/>
      <c r="AK192" s="503"/>
      <c r="AL192" s="503"/>
      <c r="AM192" s="503"/>
      <c r="AN192" s="503"/>
      <c r="AO192" s="503"/>
      <c r="AP192" s="503"/>
      <c r="AQ192" s="503"/>
      <c r="AR192" s="503"/>
      <c r="AS192" s="503"/>
      <c r="AT192" s="503"/>
      <c r="AU192" s="503"/>
      <c r="AV192" s="503"/>
      <c r="AW192" s="503"/>
      <c r="AX192" s="503"/>
      <c r="BA192" s="503"/>
      <c r="BB192" s="503"/>
      <c r="BC192" s="503"/>
      <c r="BD192" s="503"/>
      <c r="BE192" s="503"/>
      <c r="BF192" s="503"/>
      <c r="BG192" s="503"/>
      <c r="BH192" s="503"/>
      <c r="BI192" s="503"/>
      <c r="BJ192" s="503"/>
      <c r="BM192" s="503"/>
      <c r="BN192" s="503"/>
      <c r="BO192" s="503"/>
      <c r="BP192" s="503"/>
      <c r="BS192" s="503"/>
      <c r="BT192" s="503"/>
      <c r="BU192" s="503"/>
      <c r="BV192" s="503"/>
      <c r="BW192" s="503"/>
      <c r="BX192" s="503"/>
      <c r="BY192" s="503"/>
      <c r="BZ192" s="503"/>
      <c r="CA192" s="503"/>
      <c r="CB192" s="503"/>
      <c r="CC192" s="503"/>
      <c r="CD192" s="503"/>
      <c r="CE192" s="503"/>
      <c r="CH192" s="503"/>
      <c r="CI192" s="503"/>
      <c r="CJ192" s="503"/>
      <c r="CK192" s="503"/>
      <c r="CL192" s="503"/>
      <c r="CM192" s="503"/>
      <c r="CN192" s="503"/>
      <c r="CO192" s="503"/>
      <c r="CP192" s="503"/>
      <c r="CQ192" s="503"/>
      <c r="CR192" s="503"/>
      <c r="CS192" s="503"/>
      <c r="CT192" s="503"/>
    </row>
    <row r="193" spans="1:98" ht="13.5" customHeight="1">
      <c r="A193" s="1313"/>
      <c r="B193" s="1271" t="s">
        <v>589</v>
      </c>
      <c r="C193" s="1272"/>
      <c r="D193" s="1272"/>
      <c r="E193" s="1272"/>
      <c r="F193" s="1272"/>
      <c r="G193" s="1272"/>
      <c r="H193" s="1272"/>
      <c r="I193" s="1272"/>
      <c r="J193" s="1272"/>
      <c r="K193" s="1272"/>
      <c r="L193" s="1272"/>
      <c r="M193" s="1272"/>
      <c r="N193" s="1272"/>
      <c r="O193" s="1272"/>
      <c r="P193" s="1273"/>
      <c r="Q193" s="1264"/>
      <c r="R193" s="1265"/>
      <c r="S193" s="1264"/>
      <c r="T193" s="1265"/>
      <c r="U193" s="1264"/>
      <c r="V193" s="1265"/>
      <c r="W193" s="1264"/>
      <c r="X193" s="1265"/>
      <c r="Y193" s="1264"/>
      <c r="Z193" s="1265"/>
      <c r="AA193" s="1264"/>
      <c r="AB193" s="1265"/>
      <c r="AC193" s="500"/>
      <c r="AD193" s="500"/>
      <c r="AE193" s="500"/>
      <c r="AF193" s="500"/>
      <c r="AG193" s="503" t="s">
        <v>132</v>
      </c>
      <c r="AH193" s="503"/>
      <c r="AI193" s="503"/>
      <c r="AJ193" s="503"/>
      <c r="AK193" s="503"/>
      <c r="AL193" s="503"/>
      <c r="AM193" s="503"/>
      <c r="AN193" s="503"/>
      <c r="AO193" s="503"/>
      <c r="AP193" s="503"/>
      <c r="AQ193" s="503"/>
      <c r="AR193" s="503"/>
      <c r="AS193" s="503"/>
      <c r="AT193" s="503"/>
      <c r="AU193" s="503"/>
      <c r="AV193" s="503"/>
      <c r="AW193" s="503"/>
      <c r="AX193" s="503"/>
      <c r="BA193" s="503"/>
      <c r="BB193" s="503"/>
      <c r="BC193" s="503"/>
      <c r="BD193" s="503"/>
      <c r="BE193" s="503"/>
      <c r="BF193" s="503"/>
      <c r="BG193" s="503"/>
      <c r="BH193" s="503"/>
      <c r="BI193" s="503"/>
      <c r="BJ193" s="503"/>
      <c r="BM193" s="503"/>
      <c r="BN193" s="503"/>
      <c r="BO193" s="503"/>
      <c r="BP193" s="503"/>
      <c r="BS193" s="503"/>
      <c r="BT193" s="503"/>
      <c r="BU193" s="503"/>
      <c r="BV193" s="503"/>
      <c r="BW193" s="503"/>
      <c r="BX193" s="503"/>
      <c r="BY193" s="503"/>
      <c r="BZ193" s="503"/>
      <c r="CA193" s="503"/>
      <c r="CB193" s="503"/>
      <c r="CC193" s="503"/>
      <c r="CD193" s="503"/>
      <c r="CE193" s="503"/>
      <c r="CH193" s="503"/>
      <c r="CI193" s="503"/>
      <c r="CJ193" s="503"/>
      <c r="CK193" s="503"/>
      <c r="CL193" s="503"/>
      <c r="CM193" s="503"/>
      <c r="CN193" s="503"/>
      <c r="CO193" s="503"/>
      <c r="CP193" s="503"/>
      <c r="CQ193" s="503"/>
      <c r="CR193" s="503"/>
      <c r="CS193" s="503"/>
      <c r="CT193" s="503"/>
    </row>
    <row r="194" spans="1:98" ht="13.5" customHeight="1">
      <c r="A194" s="1313"/>
      <c r="B194" s="1266" t="s">
        <v>646</v>
      </c>
      <c r="C194" s="1267"/>
      <c r="D194" s="1267"/>
      <c r="E194" s="1267"/>
      <c r="F194" s="1267"/>
      <c r="G194" s="1267"/>
      <c r="H194" s="1267"/>
      <c r="I194" s="1267"/>
      <c r="J194" s="1267"/>
      <c r="K194" s="1267"/>
      <c r="L194" s="1267"/>
      <c r="M194" s="1267"/>
      <c r="N194" s="1267"/>
      <c r="O194" s="1267"/>
      <c r="P194" s="1268"/>
      <c r="Q194" s="1269"/>
      <c r="R194" s="1270"/>
      <c r="S194" s="1269"/>
      <c r="T194" s="1270"/>
      <c r="U194" s="1269"/>
      <c r="V194" s="1270"/>
      <c r="W194" s="1269"/>
      <c r="X194" s="1270"/>
      <c r="Y194" s="1269"/>
      <c r="Z194" s="1270"/>
      <c r="AA194" s="1269"/>
      <c r="AB194" s="1270"/>
      <c r="AC194" s="500"/>
      <c r="AD194" s="500"/>
      <c r="AE194" s="500" t="s">
        <v>832</v>
      </c>
      <c r="AF194" s="500"/>
      <c r="AG194" s="503"/>
      <c r="AH194" s="503"/>
      <c r="AI194" s="503"/>
      <c r="AJ194" s="503"/>
      <c r="AK194" s="503"/>
      <c r="AL194" s="503"/>
      <c r="AM194" s="503"/>
      <c r="AN194" s="503"/>
      <c r="AO194" s="503"/>
      <c r="AP194" s="503"/>
      <c r="AQ194" s="503"/>
      <c r="AR194" s="503"/>
      <c r="AS194" s="503"/>
      <c r="AT194" s="503"/>
      <c r="AU194" s="503"/>
      <c r="AV194" s="503"/>
      <c r="AW194" s="503"/>
      <c r="AX194" s="503"/>
      <c r="BA194" s="503"/>
      <c r="BB194" s="503"/>
      <c r="BC194" s="503"/>
      <c r="BD194" s="503"/>
      <c r="BE194" s="503"/>
      <c r="BF194" s="503"/>
      <c r="BG194" s="503"/>
      <c r="BH194" s="503"/>
      <c r="BI194" s="503"/>
      <c r="BJ194" s="503"/>
      <c r="BM194" s="503"/>
      <c r="BN194" s="503"/>
      <c r="BO194" s="503"/>
      <c r="BP194" s="503"/>
      <c r="BS194" s="503"/>
      <c r="BT194" s="503"/>
      <c r="BU194" s="503"/>
      <c r="BV194" s="503"/>
      <c r="BW194" s="503"/>
      <c r="BX194" s="503"/>
      <c r="BY194" s="503"/>
      <c r="BZ194" s="503"/>
      <c r="CA194" s="503"/>
      <c r="CB194" s="503"/>
      <c r="CC194" s="503"/>
      <c r="CD194" s="503"/>
      <c r="CE194" s="503"/>
      <c r="CH194" s="503"/>
      <c r="CI194" s="503"/>
      <c r="CJ194" s="503"/>
      <c r="CK194" s="503"/>
      <c r="CL194" s="503"/>
      <c r="CM194" s="503"/>
      <c r="CN194" s="503"/>
      <c r="CO194" s="503"/>
      <c r="CP194" s="503"/>
      <c r="CQ194" s="503"/>
      <c r="CR194" s="503"/>
      <c r="CS194" s="503"/>
      <c r="CT194" s="503"/>
    </row>
    <row r="195" spans="1:98" ht="13.5" customHeight="1">
      <c r="A195" s="1313"/>
      <c r="B195" s="1271" t="s">
        <v>589</v>
      </c>
      <c r="C195" s="1272"/>
      <c r="D195" s="1272"/>
      <c r="E195" s="1272"/>
      <c r="F195" s="1272"/>
      <c r="G195" s="1272"/>
      <c r="H195" s="1272"/>
      <c r="I195" s="1272"/>
      <c r="J195" s="1272"/>
      <c r="K195" s="1272"/>
      <c r="L195" s="1272"/>
      <c r="M195" s="1272"/>
      <c r="N195" s="1272"/>
      <c r="O195" s="1272"/>
      <c r="P195" s="1273"/>
      <c r="Q195" s="1264"/>
      <c r="R195" s="1265"/>
      <c r="S195" s="1264"/>
      <c r="T195" s="1265"/>
      <c r="U195" s="1264"/>
      <c r="V195" s="1265"/>
      <c r="W195" s="1302"/>
      <c r="X195" s="1303"/>
      <c r="Y195" s="1303"/>
      <c r="Z195" s="1303"/>
      <c r="AA195" s="1303"/>
      <c r="AB195" s="1304"/>
      <c r="AC195" s="500"/>
      <c r="AD195" s="500"/>
      <c r="AE195" s="500"/>
      <c r="AF195" s="500"/>
      <c r="AG195" s="503" t="s">
        <v>575</v>
      </c>
      <c r="AH195" s="503"/>
      <c r="AI195" s="503"/>
      <c r="AJ195" s="503"/>
      <c r="AK195" s="503"/>
      <c r="AL195" s="503"/>
      <c r="AM195" s="503"/>
      <c r="AN195" s="503"/>
      <c r="AO195" s="503"/>
      <c r="AP195" s="503"/>
      <c r="AQ195" s="503"/>
      <c r="AR195" s="503"/>
      <c r="AS195" s="503"/>
      <c r="AT195" s="503"/>
      <c r="AU195" s="503"/>
      <c r="AV195" s="503"/>
      <c r="AW195" s="503"/>
      <c r="AX195" s="503"/>
      <c r="BA195" s="503"/>
      <c r="BB195" s="503"/>
      <c r="BC195" s="503"/>
      <c r="BD195" s="503"/>
      <c r="BE195" s="503"/>
      <c r="BF195" s="503"/>
      <c r="BG195" s="503"/>
      <c r="BH195" s="503"/>
      <c r="BI195" s="503"/>
      <c r="BJ195" s="503"/>
      <c r="BM195" s="503"/>
      <c r="BN195" s="503"/>
      <c r="BO195" s="503"/>
      <c r="BP195" s="503"/>
      <c r="BS195" s="503"/>
      <c r="BT195" s="503"/>
      <c r="BU195" s="503"/>
      <c r="BV195" s="503"/>
      <c r="BW195" s="503"/>
      <c r="BX195" s="503"/>
      <c r="BY195" s="503"/>
      <c r="BZ195" s="503"/>
      <c r="CA195" s="503"/>
      <c r="CB195" s="503"/>
      <c r="CC195" s="503"/>
      <c r="CD195" s="503"/>
      <c r="CE195" s="503"/>
      <c r="CH195" s="503"/>
      <c r="CI195" s="503"/>
      <c r="CJ195" s="503"/>
      <c r="CK195" s="503"/>
      <c r="CL195" s="503"/>
      <c r="CM195" s="503"/>
      <c r="CN195" s="503"/>
      <c r="CO195" s="503"/>
      <c r="CP195" s="503"/>
      <c r="CQ195" s="503"/>
      <c r="CR195" s="503"/>
      <c r="CS195" s="503"/>
      <c r="CT195" s="503"/>
    </row>
    <row r="196" spans="1:98" ht="13.5" customHeight="1">
      <c r="A196" s="1314"/>
      <c r="B196" s="1266" t="s">
        <v>647</v>
      </c>
      <c r="C196" s="1267"/>
      <c r="D196" s="1267"/>
      <c r="E196" s="1267"/>
      <c r="F196" s="1267"/>
      <c r="G196" s="1267"/>
      <c r="H196" s="1267"/>
      <c r="I196" s="1267"/>
      <c r="J196" s="1267"/>
      <c r="K196" s="1267"/>
      <c r="L196" s="1267"/>
      <c r="M196" s="1267"/>
      <c r="N196" s="1267"/>
      <c r="O196" s="1267"/>
      <c r="P196" s="1268"/>
      <c r="Q196" s="1269"/>
      <c r="R196" s="1270"/>
      <c r="S196" s="1269"/>
      <c r="T196" s="1270"/>
      <c r="U196" s="1269"/>
      <c r="V196" s="1270"/>
      <c r="W196" s="1305"/>
      <c r="X196" s="1306"/>
      <c r="Y196" s="1306"/>
      <c r="Z196" s="1306"/>
      <c r="AA196" s="1306"/>
      <c r="AB196" s="1307"/>
      <c r="AC196" s="500"/>
      <c r="AD196" s="500"/>
      <c r="AE196" s="500"/>
      <c r="AF196" s="500"/>
      <c r="AG196" s="503"/>
      <c r="AH196" s="503"/>
      <c r="AI196" s="503"/>
      <c r="AJ196" s="503"/>
    </row>
    <row r="197" spans="1:98" ht="13.5" customHeight="1"/>
    <row r="198" spans="1:98" ht="13.5" customHeight="1"/>
    <row r="199" spans="1:98" ht="13.5" customHeight="1">
      <c r="A199" s="1312" t="s">
        <v>525</v>
      </c>
      <c r="B199" s="1312" t="s">
        <v>600</v>
      </c>
      <c r="C199" s="497" t="s">
        <v>582</v>
      </c>
      <c r="D199" s="488"/>
      <c r="E199" s="488"/>
      <c r="F199" s="488"/>
      <c r="G199" s="488"/>
      <c r="H199" s="488"/>
      <c r="I199" s="488"/>
      <c r="J199" s="488"/>
      <c r="K199" s="488"/>
      <c r="L199" s="488"/>
      <c r="M199" s="488"/>
      <c r="N199" s="488"/>
      <c r="O199" s="488"/>
      <c r="P199" s="499"/>
      <c r="Q199" s="1253" t="s">
        <v>583</v>
      </c>
      <c r="R199" s="1254"/>
      <c r="S199" s="1253" t="s">
        <v>584</v>
      </c>
      <c r="T199" s="1254"/>
      <c r="U199" s="1218" t="s">
        <v>585</v>
      </c>
      <c r="V199" s="1218"/>
      <c r="W199" s="1253" t="s">
        <v>597</v>
      </c>
      <c r="X199" s="1254"/>
      <c r="Y199" s="1253" t="s">
        <v>598</v>
      </c>
      <c r="Z199" s="1254"/>
      <c r="AA199" s="1217" t="s">
        <v>462</v>
      </c>
      <c r="AB199" s="1255"/>
      <c r="AG199" s="485"/>
      <c r="AH199" s="485"/>
      <c r="AI199" s="485"/>
      <c r="AJ199" s="485"/>
      <c r="AK199" s="485"/>
      <c r="AL199" s="485"/>
      <c r="AM199" s="485"/>
      <c r="AN199" s="485"/>
      <c r="AO199" s="485"/>
      <c r="AP199" s="485"/>
      <c r="AQ199" s="485"/>
      <c r="BA199" s="485"/>
      <c r="BB199" s="485"/>
      <c r="BC199" s="485"/>
      <c r="BD199" s="485"/>
      <c r="BE199" s="485"/>
      <c r="BF199" s="485"/>
      <c r="BS199" s="485"/>
      <c r="BT199" s="485"/>
      <c r="BU199" s="485"/>
      <c r="BV199" s="485"/>
      <c r="BW199" s="485"/>
      <c r="BX199" s="485"/>
      <c r="CH199" s="485"/>
      <c r="CI199" s="485"/>
      <c r="CJ199" s="485"/>
      <c r="CK199" s="485"/>
      <c r="CL199" s="485"/>
      <c r="CM199" s="485"/>
    </row>
    <row r="200" spans="1:98" ht="13.5" customHeight="1">
      <c r="A200" s="1313"/>
      <c r="B200" s="1313"/>
      <c r="C200" s="1256" t="s">
        <v>627</v>
      </c>
      <c r="D200" s="1257"/>
      <c r="E200" s="1257"/>
      <c r="F200" s="1257"/>
      <c r="G200" s="1257"/>
      <c r="H200" s="1257"/>
      <c r="I200" s="1257"/>
      <c r="J200" s="1257"/>
      <c r="K200" s="1257"/>
      <c r="L200" s="1257"/>
      <c r="M200" s="1257"/>
      <c r="N200" s="1257"/>
      <c r="O200" s="1257"/>
      <c r="P200" s="1316"/>
      <c r="Q200" s="1298">
        <f>COUNTIF(BS11:BS160,"○")</f>
        <v>0</v>
      </c>
      <c r="R200" s="1299"/>
      <c r="S200" s="1298">
        <f>COUNTIF(BT11:BT160,"○")</f>
        <v>0</v>
      </c>
      <c r="T200" s="1299"/>
      <c r="U200" s="1298">
        <f>COUNTIF(BU11:BU160,"○")</f>
        <v>0</v>
      </c>
      <c r="V200" s="1299"/>
      <c r="W200" s="1298">
        <f>COUNTIF(BV11:BV160,"○")</f>
        <v>0</v>
      </c>
      <c r="X200" s="1299"/>
      <c r="Y200" s="1298">
        <f>COUNTIF(BW11:BW160,"○")</f>
        <v>0</v>
      </c>
      <c r="Z200" s="1299"/>
      <c r="AA200" s="1298">
        <f>COUNTIF(BX11:BX160,"○")</f>
        <v>0</v>
      </c>
      <c r="AB200" s="1299"/>
      <c r="AC200" s="484"/>
      <c r="AD200" s="484"/>
      <c r="AE200" s="484"/>
      <c r="AF200" s="484"/>
      <c r="AG200" s="485"/>
      <c r="AH200" s="485"/>
      <c r="AI200" s="485"/>
      <c r="AJ200" s="485"/>
      <c r="AK200" s="485"/>
      <c r="AL200" s="485"/>
      <c r="AM200" s="485"/>
      <c r="AN200" s="485"/>
      <c r="AO200" s="485"/>
      <c r="AP200" s="485"/>
      <c r="AQ200" s="485"/>
      <c r="BA200" s="485"/>
      <c r="BB200" s="485"/>
      <c r="BC200" s="485"/>
      <c r="BD200" s="485"/>
      <c r="BE200" s="485"/>
      <c r="BF200" s="485"/>
      <c r="BS200" s="485"/>
      <c r="BT200" s="485"/>
      <c r="BU200" s="485"/>
      <c r="BV200" s="485"/>
      <c r="BW200" s="485"/>
      <c r="BX200" s="485"/>
      <c r="CH200" s="485"/>
      <c r="CI200" s="485"/>
      <c r="CJ200" s="485"/>
      <c r="CK200" s="485"/>
      <c r="CL200" s="485"/>
      <c r="CM200" s="485"/>
    </row>
    <row r="201" spans="1:98" ht="13.5" customHeight="1">
      <c r="A201" s="1313"/>
      <c r="B201" s="1313"/>
      <c r="C201" s="1258"/>
      <c r="D201" s="1259"/>
      <c r="E201" s="1259"/>
      <c r="F201" s="1259"/>
      <c r="G201" s="1259"/>
      <c r="H201" s="1259"/>
      <c r="I201" s="1259"/>
      <c r="J201" s="1259"/>
      <c r="K201" s="1259"/>
      <c r="L201" s="1259"/>
      <c r="M201" s="1259"/>
      <c r="N201" s="1259"/>
      <c r="O201" s="1259"/>
      <c r="P201" s="1311"/>
      <c r="Q201" s="1300"/>
      <c r="R201" s="1301"/>
      <c r="S201" s="1300"/>
      <c r="T201" s="1301"/>
      <c r="U201" s="1300"/>
      <c r="V201" s="1301"/>
      <c r="W201" s="1300"/>
      <c r="X201" s="1301"/>
      <c r="Y201" s="1300"/>
      <c r="Z201" s="1301"/>
      <c r="AA201" s="1300"/>
      <c r="AB201" s="1301"/>
      <c r="AC201" s="484"/>
      <c r="AD201" s="484"/>
      <c r="AE201" s="484"/>
      <c r="AF201" s="484"/>
      <c r="AG201" s="485"/>
      <c r="AH201" s="485"/>
      <c r="AI201" s="485"/>
      <c r="AJ201" s="485"/>
      <c r="AK201" s="485"/>
      <c r="AL201" s="485"/>
      <c r="AM201" s="485"/>
      <c r="AN201" s="485"/>
      <c r="AO201" s="485"/>
      <c r="AP201" s="485"/>
      <c r="AQ201" s="485"/>
      <c r="BA201" s="485"/>
      <c r="BB201" s="485"/>
      <c r="BC201" s="485"/>
      <c r="BD201" s="485"/>
      <c r="BE201" s="485"/>
      <c r="BF201" s="485"/>
      <c r="BS201" s="485"/>
      <c r="BT201" s="485"/>
      <c r="BU201" s="485"/>
      <c r="BV201" s="485"/>
      <c r="BW201" s="485"/>
      <c r="BX201" s="485"/>
      <c r="CH201" s="485"/>
      <c r="CI201" s="485"/>
      <c r="CJ201" s="485"/>
      <c r="CK201" s="485"/>
      <c r="CL201" s="485"/>
      <c r="CM201" s="485"/>
    </row>
    <row r="202" spans="1:98" ht="13.5" customHeight="1">
      <c r="A202" s="1313"/>
      <c r="B202" s="1313"/>
      <c r="C202" s="1256" t="s">
        <v>628</v>
      </c>
      <c r="D202" s="1257"/>
      <c r="E202" s="1257"/>
      <c r="F202" s="1257"/>
      <c r="G202" s="1257"/>
      <c r="H202" s="1257"/>
      <c r="I202" s="1257"/>
      <c r="J202" s="1257"/>
      <c r="K202" s="1257"/>
      <c r="L202" s="1257"/>
      <c r="M202" s="1257"/>
      <c r="N202" s="1257"/>
      <c r="O202" s="1257"/>
      <c r="P202" s="1316"/>
      <c r="Q202" s="1298">
        <f>COUNTIF(BY11:BY160,"○")</f>
        <v>0</v>
      </c>
      <c r="R202" s="1299"/>
      <c r="S202" s="1298">
        <f>COUNTIF(BZ11:BZ160,"○")</f>
        <v>0</v>
      </c>
      <c r="T202" s="1299"/>
      <c r="U202" s="1298">
        <f>COUNTIF(CA11:CA160,"○")</f>
        <v>0</v>
      </c>
      <c r="V202" s="1299"/>
      <c r="W202" s="1302"/>
      <c r="X202" s="1303"/>
      <c r="Y202" s="1303"/>
      <c r="Z202" s="1303"/>
      <c r="AA202" s="1303"/>
      <c r="AB202" s="1304"/>
      <c r="AC202" s="500"/>
      <c r="AD202" s="500"/>
      <c r="AE202" s="500"/>
      <c r="AF202" s="500"/>
      <c r="AG202" s="485"/>
      <c r="AH202" s="485"/>
      <c r="AI202" s="485"/>
      <c r="AJ202" s="485"/>
      <c r="AK202" s="485"/>
      <c r="AL202" s="485"/>
      <c r="AM202" s="485"/>
      <c r="AN202" s="485"/>
      <c r="AO202" s="485"/>
      <c r="AP202" s="485"/>
      <c r="AQ202" s="485"/>
      <c r="BA202" s="485"/>
      <c r="BB202" s="485"/>
      <c r="BC202" s="485"/>
      <c r="BD202" s="485"/>
      <c r="BE202" s="485"/>
      <c r="BF202" s="485"/>
      <c r="BS202" s="485"/>
      <c r="BT202" s="485"/>
      <c r="BU202" s="485"/>
      <c r="BV202" s="485"/>
      <c r="BW202" s="485"/>
      <c r="BX202" s="485"/>
      <c r="CH202" s="485"/>
      <c r="CI202" s="485"/>
      <c r="CJ202" s="485"/>
      <c r="CK202" s="485"/>
      <c r="CL202" s="485"/>
      <c r="CM202" s="485"/>
    </row>
    <row r="203" spans="1:98" ht="13.5" customHeight="1">
      <c r="A203" s="1313"/>
      <c r="B203" s="1313"/>
      <c r="C203" s="1258"/>
      <c r="D203" s="1259"/>
      <c r="E203" s="1259"/>
      <c r="F203" s="1259"/>
      <c r="G203" s="1259"/>
      <c r="H203" s="1259"/>
      <c r="I203" s="1259"/>
      <c r="J203" s="1259"/>
      <c r="K203" s="1259"/>
      <c r="L203" s="1259"/>
      <c r="M203" s="1259"/>
      <c r="N203" s="1259"/>
      <c r="O203" s="1259"/>
      <c r="P203" s="1311"/>
      <c r="Q203" s="1300"/>
      <c r="R203" s="1301"/>
      <c r="S203" s="1300"/>
      <c r="T203" s="1301"/>
      <c r="U203" s="1300"/>
      <c r="V203" s="1301"/>
      <c r="W203" s="1305"/>
      <c r="X203" s="1306"/>
      <c r="Y203" s="1306"/>
      <c r="Z203" s="1306"/>
      <c r="AA203" s="1306"/>
      <c r="AB203" s="1307"/>
      <c r="AC203" s="500"/>
      <c r="AD203" s="500"/>
      <c r="AE203" s="500"/>
      <c r="AF203" s="500"/>
      <c r="AG203" s="485"/>
      <c r="AH203" s="485"/>
      <c r="AI203" s="485"/>
      <c r="AJ203" s="485"/>
      <c r="AK203" s="485"/>
      <c r="AL203" s="485"/>
      <c r="AM203" s="485"/>
      <c r="AN203" s="485"/>
      <c r="AO203" s="485"/>
      <c r="AP203" s="485"/>
      <c r="AQ203" s="485"/>
      <c r="BA203" s="485"/>
      <c r="BB203" s="485"/>
      <c r="BC203" s="485"/>
      <c r="BD203" s="485"/>
      <c r="BE203" s="485"/>
      <c r="BF203" s="485"/>
      <c r="BS203" s="485"/>
      <c r="BT203" s="485"/>
      <c r="BU203" s="485"/>
      <c r="BV203" s="485"/>
      <c r="BW203" s="485"/>
      <c r="BX203" s="485"/>
      <c r="CH203" s="485"/>
      <c r="CI203" s="485"/>
      <c r="CJ203" s="485"/>
      <c r="CK203" s="485"/>
      <c r="CL203" s="485"/>
      <c r="CM203" s="485"/>
    </row>
    <row r="204" spans="1:98" ht="13.5" customHeight="1">
      <c r="A204" s="1313"/>
      <c r="B204" s="1313"/>
      <c r="C204" s="1256" t="s">
        <v>587</v>
      </c>
      <c r="D204" s="1257"/>
      <c r="E204" s="1257"/>
      <c r="F204" s="1257"/>
      <c r="G204" s="1257"/>
      <c r="H204" s="1257"/>
      <c r="I204" s="1257"/>
      <c r="J204" s="1257"/>
      <c r="K204" s="1257"/>
      <c r="L204" s="1257"/>
      <c r="M204" s="1257"/>
      <c r="N204" s="1257"/>
      <c r="O204" s="1257"/>
      <c r="P204" s="1316"/>
      <c r="Q204" s="1260">
        <f>COUNTIF(CB11:CB160,"○")</f>
        <v>0</v>
      </c>
      <c r="R204" s="1261"/>
      <c r="S204" s="1260">
        <f>COUNTIF(CC11:CC160,"○")</f>
        <v>0</v>
      </c>
      <c r="T204" s="1261"/>
      <c r="U204" s="1260">
        <f>COUNTIF(CD11:CD160,"○")</f>
        <v>0</v>
      </c>
      <c r="V204" s="1261"/>
      <c r="W204" s="1260">
        <f>COUNTIF(CE11:CE160,"○")</f>
        <v>0</v>
      </c>
      <c r="X204" s="1261"/>
      <c r="Y204" s="1260">
        <f>COUNTIF(CF11:CF160,"○")</f>
        <v>0</v>
      </c>
      <c r="Z204" s="1261"/>
      <c r="AA204" s="1260">
        <f>COUNTIF(CG11:CG160,"○")</f>
        <v>0</v>
      </c>
      <c r="AB204" s="1261"/>
      <c r="AC204" s="484"/>
      <c r="AD204" s="484"/>
      <c r="AE204" s="484"/>
      <c r="AF204" s="484"/>
      <c r="AG204" s="485"/>
      <c r="AH204" s="485"/>
      <c r="AI204" s="485"/>
      <c r="AJ204" s="485"/>
      <c r="AK204" s="485"/>
      <c r="AL204" s="485"/>
      <c r="AM204" s="485"/>
      <c r="AN204" s="485"/>
      <c r="AO204" s="485"/>
      <c r="AP204" s="485"/>
      <c r="AQ204" s="485"/>
      <c r="BA204" s="485"/>
      <c r="BB204" s="485"/>
      <c r="BC204" s="485"/>
      <c r="BD204" s="485"/>
      <c r="BE204" s="485"/>
      <c r="BF204" s="485"/>
      <c r="BS204" s="485"/>
      <c r="BT204" s="485"/>
      <c r="BU204" s="485"/>
      <c r="BV204" s="485"/>
      <c r="BW204" s="485"/>
      <c r="BX204" s="485"/>
      <c r="CH204" s="485"/>
      <c r="CI204" s="485"/>
      <c r="CJ204" s="485"/>
      <c r="CK204" s="485"/>
      <c r="CL204" s="485"/>
      <c r="CM204" s="485"/>
    </row>
    <row r="205" spans="1:98" ht="13.5" customHeight="1">
      <c r="A205" s="1313"/>
      <c r="B205" s="1313"/>
      <c r="C205" s="1258"/>
      <c r="D205" s="1259"/>
      <c r="E205" s="1259"/>
      <c r="F205" s="1259"/>
      <c r="G205" s="1259"/>
      <c r="H205" s="1259"/>
      <c r="I205" s="1259"/>
      <c r="J205" s="1259"/>
      <c r="K205" s="1259"/>
      <c r="L205" s="1259"/>
      <c r="M205" s="1259"/>
      <c r="N205" s="1259"/>
      <c r="O205" s="1259"/>
      <c r="P205" s="1311"/>
      <c r="Q205" s="1262"/>
      <c r="R205" s="1263"/>
      <c r="S205" s="1262"/>
      <c r="T205" s="1263"/>
      <c r="U205" s="1262"/>
      <c r="V205" s="1263"/>
      <c r="W205" s="1262"/>
      <c r="X205" s="1263"/>
      <c r="Y205" s="1262"/>
      <c r="Z205" s="1263"/>
      <c r="AA205" s="1262"/>
      <c r="AB205" s="1263"/>
      <c r="AC205" s="484"/>
      <c r="AD205" s="484"/>
      <c r="AE205" s="484"/>
      <c r="AF205" s="484"/>
      <c r="AG205" s="474"/>
      <c r="AH205" s="474"/>
      <c r="AI205" s="474"/>
      <c r="AJ205" s="474"/>
      <c r="AK205" s="474"/>
      <c r="AL205" s="474"/>
      <c r="AM205" s="474"/>
      <c r="AN205" s="474"/>
      <c r="AO205" s="474"/>
      <c r="AP205" s="474"/>
      <c r="AQ205" s="474"/>
      <c r="BA205" s="474"/>
      <c r="BB205" s="474"/>
      <c r="BC205" s="474"/>
      <c r="BD205" s="474"/>
      <c r="BE205" s="474"/>
      <c r="BF205" s="474"/>
      <c r="BS205" s="474"/>
      <c r="BT205" s="474"/>
      <c r="BU205" s="474"/>
      <c r="BV205" s="474"/>
      <c r="BW205" s="474"/>
      <c r="BX205" s="474"/>
      <c r="CH205" s="474"/>
      <c r="CI205" s="474"/>
      <c r="CJ205" s="474"/>
      <c r="CK205" s="474"/>
      <c r="CL205" s="474"/>
      <c r="CM205" s="474"/>
    </row>
    <row r="206" spans="1:98" ht="13.5" customHeight="1">
      <c r="A206" s="1313"/>
      <c r="B206" s="1313"/>
      <c r="C206" s="487"/>
      <c r="D206" s="487"/>
      <c r="E206" s="487"/>
      <c r="F206" s="487"/>
      <c r="G206" s="487"/>
      <c r="H206" s="487"/>
      <c r="I206" s="487"/>
      <c r="J206" s="487"/>
      <c r="K206" s="487"/>
      <c r="L206" s="487"/>
      <c r="M206" s="487"/>
      <c r="N206" s="487"/>
      <c r="O206" s="487"/>
      <c r="P206" s="487"/>
      <c r="Q206" s="502"/>
      <c r="R206" s="502"/>
      <c r="S206" s="502"/>
      <c r="T206" s="502"/>
      <c r="U206" s="502"/>
      <c r="V206" s="502"/>
      <c r="W206" s="502"/>
      <c r="X206" s="502"/>
      <c r="Y206" s="502"/>
      <c r="Z206" s="502"/>
      <c r="AA206" s="502"/>
      <c r="AB206" s="502"/>
      <c r="AC206" s="484"/>
      <c r="AD206" s="484"/>
      <c r="AE206" s="484"/>
      <c r="AF206" s="484"/>
      <c r="AG206" s="474"/>
      <c r="AH206" s="474"/>
      <c r="AI206" s="474"/>
      <c r="AJ206" s="474"/>
      <c r="AK206" s="474"/>
      <c r="AL206" s="474"/>
      <c r="AM206" s="474"/>
      <c r="AN206" s="474"/>
      <c r="AO206" s="474"/>
      <c r="AP206" s="474"/>
      <c r="AQ206" s="474"/>
      <c r="BA206" s="474"/>
      <c r="BB206" s="474"/>
      <c r="BC206" s="474"/>
      <c r="BD206" s="474"/>
      <c r="BE206" s="474"/>
      <c r="BF206" s="474"/>
      <c r="BS206" s="474"/>
      <c r="BT206" s="474"/>
      <c r="BU206" s="474"/>
      <c r="BV206" s="474"/>
      <c r="BW206" s="474"/>
      <c r="BX206" s="474"/>
      <c r="CH206" s="474"/>
      <c r="CI206" s="474"/>
      <c r="CJ206" s="474"/>
      <c r="CK206" s="474"/>
      <c r="CL206" s="474"/>
      <c r="CM206" s="474"/>
    </row>
    <row r="207" spans="1:98" ht="13.5" customHeight="1">
      <c r="A207" s="1313"/>
      <c r="B207" s="1313"/>
      <c r="C207" s="481" t="s">
        <v>601</v>
      </c>
      <c r="D207" s="482"/>
      <c r="E207" s="482"/>
      <c r="F207" s="482"/>
      <c r="G207" s="482"/>
      <c r="H207" s="489"/>
      <c r="I207" s="489"/>
      <c r="J207" s="489"/>
      <c r="K207" s="489"/>
      <c r="L207" s="489"/>
      <c r="M207" s="489"/>
      <c r="N207" s="489"/>
      <c r="O207" s="489"/>
      <c r="P207" s="489"/>
      <c r="Q207" s="1253" t="s">
        <v>583</v>
      </c>
      <c r="R207" s="1254"/>
      <c r="S207" s="1253" t="s">
        <v>584</v>
      </c>
      <c r="T207" s="1254"/>
      <c r="U207" s="1218" t="s">
        <v>585</v>
      </c>
      <c r="V207" s="1218"/>
      <c r="W207" s="1253" t="s">
        <v>597</v>
      </c>
      <c r="X207" s="1254"/>
      <c r="Y207" s="1253" t="s">
        <v>598</v>
      </c>
      <c r="Z207" s="1254"/>
      <c r="AA207" s="1217" t="s">
        <v>462</v>
      </c>
      <c r="AB207" s="1255"/>
      <c r="AG207" s="474"/>
      <c r="AH207" s="474"/>
      <c r="AI207" s="474"/>
      <c r="AJ207" s="474"/>
      <c r="AK207" s="503"/>
      <c r="AL207" s="503"/>
      <c r="AM207" s="503"/>
      <c r="AN207" s="503"/>
      <c r="AO207" s="503"/>
      <c r="AP207" s="503"/>
      <c r="AQ207" s="503"/>
      <c r="AR207" s="503"/>
      <c r="AS207" s="503"/>
      <c r="AT207" s="503"/>
      <c r="AU207" s="503"/>
      <c r="AV207" s="503"/>
      <c r="AW207" s="503"/>
      <c r="AX207" s="503"/>
      <c r="BA207" s="503"/>
      <c r="BB207" s="503"/>
      <c r="BC207" s="503"/>
      <c r="BD207" s="503"/>
      <c r="BE207" s="503"/>
      <c r="BF207" s="503"/>
      <c r="BG207" s="503"/>
      <c r="BH207" s="503"/>
      <c r="BI207" s="503"/>
      <c r="BJ207" s="503"/>
      <c r="BM207" s="503"/>
      <c r="BN207" s="503"/>
      <c r="BO207" s="503"/>
      <c r="BP207" s="503"/>
      <c r="BS207" s="503"/>
      <c r="BT207" s="503"/>
      <c r="BU207" s="503"/>
      <c r="BV207" s="503"/>
      <c r="BW207" s="503"/>
      <c r="BX207" s="503"/>
      <c r="BY207" s="503"/>
      <c r="BZ207" s="503"/>
      <c r="CA207" s="503"/>
      <c r="CB207" s="503"/>
      <c r="CC207" s="503"/>
      <c r="CD207" s="503"/>
      <c r="CE207" s="503"/>
      <c r="CH207" s="503"/>
      <c r="CI207" s="503"/>
      <c r="CJ207" s="503"/>
      <c r="CK207" s="503"/>
      <c r="CL207" s="503"/>
      <c r="CM207" s="503"/>
      <c r="CN207" s="503"/>
      <c r="CO207" s="503"/>
      <c r="CP207" s="503"/>
      <c r="CQ207" s="503"/>
      <c r="CR207" s="503"/>
      <c r="CS207" s="503"/>
      <c r="CT207" s="503"/>
    </row>
    <row r="208" spans="1:98" ht="13.5" hidden="1" customHeight="1">
      <c r="A208" s="1313"/>
      <c r="B208" s="1313"/>
      <c r="C208" s="1271" t="s">
        <v>589</v>
      </c>
      <c r="D208" s="1272"/>
      <c r="E208" s="1272"/>
      <c r="F208" s="1272"/>
      <c r="G208" s="1272"/>
      <c r="H208" s="1272"/>
      <c r="I208" s="1272"/>
      <c r="J208" s="1272"/>
      <c r="K208" s="1272"/>
      <c r="L208" s="1272"/>
      <c r="M208" s="1272"/>
      <c r="N208" s="1272"/>
      <c r="O208" s="1272"/>
      <c r="P208" s="1273"/>
      <c r="Q208" s="1264"/>
      <c r="R208" s="1265"/>
      <c r="S208" s="1274"/>
      <c r="T208" s="1265"/>
      <c r="U208" s="1264"/>
      <c r="V208" s="1265"/>
      <c r="W208" s="1264"/>
      <c r="X208" s="1265"/>
      <c r="Y208" s="1264"/>
      <c r="Z208" s="1265"/>
      <c r="AA208" s="1264"/>
      <c r="AB208" s="1265"/>
      <c r="AC208" s="500"/>
      <c r="AD208" s="500"/>
      <c r="AE208" s="500"/>
      <c r="AF208" s="500"/>
      <c r="AG208" s="503" t="s">
        <v>120</v>
      </c>
      <c r="AH208" s="503"/>
      <c r="AI208" s="503"/>
      <c r="AJ208" s="503"/>
      <c r="AK208" s="503"/>
      <c r="AL208" s="503"/>
      <c r="AM208" s="503"/>
      <c r="AN208" s="503"/>
      <c r="AO208" s="503"/>
      <c r="AP208" s="503"/>
      <c r="AQ208" s="503"/>
      <c r="AR208" s="503"/>
      <c r="AS208" s="503"/>
      <c r="AT208" s="503"/>
      <c r="AU208" s="503"/>
      <c r="AV208" s="503"/>
      <c r="AW208" s="503"/>
      <c r="AX208" s="503"/>
      <c r="BA208" s="503"/>
      <c r="BB208" s="503"/>
      <c r="BC208" s="503"/>
      <c r="BD208" s="503"/>
      <c r="BE208" s="503"/>
      <c r="BF208" s="503"/>
      <c r="BG208" s="503"/>
      <c r="BH208" s="503"/>
      <c r="BI208" s="503"/>
      <c r="BJ208" s="503"/>
      <c r="BM208" s="503"/>
      <c r="BN208" s="503"/>
      <c r="BO208" s="503"/>
      <c r="BP208" s="503"/>
      <c r="BS208" s="503"/>
      <c r="BT208" s="503"/>
      <c r="BU208" s="503"/>
      <c r="BV208" s="503"/>
      <c r="BW208" s="503"/>
      <c r="BX208" s="503"/>
      <c r="BY208" s="503"/>
      <c r="BZ208" s="503"/>
      <c r="CA208" s="503"/>
      <c r="CB208" s="503"/>
      <c r="CC208" s="503"/>
      <c r="CD208" s="503"/>
      <c r="CE208" s="503"/>
      <c r="CH208" s="503"/>
      <c r="CI208" s="503"/>
      <c r="CJ208" s="503"/>
      <c r="CK208" s="503"/>
      <c r="CL208" s="503"/>
      <c r="CM208" s="503"/>
      <c r="CN208" s="503"/>
      <c r="CO208" s="503"/>
      <c r="CP208" s="503"/>
      <c r="CQ208" s="503"/>
      <c r="CR208" s="503"/>
      <c r="CS208" s="503"/>
      <c r="CT208" s="503"/>
    </row>
    <row r="209" spans="1:98" ht="13.5" hidden="1" customHeight="1">
      <c r="A209" s="1313"/>
      <c r="B209" s="1313"/>
      <c r="C209" s="1266" t="s">
        <v>590</v>
      </c>
      <c r="D209" s="1267"/>
      <c r="E209" s="1267"/>
      <c r="F209" s="1267"/>
      <c r="G209" s="1267"/>
      <c r="H209" s="1267"/>
      <c r="I209" s="1267"/>
      <c r="J209" s="1267"/>
      <c r="K209" s="1267"/>
      <c r="L209" s="1267"/>
      <c r="M209" s="1267"/>
      <c r="N209" s="1267"/>
      <c r="O209" s="1267"/>
      <c r="P209" s="1268"/>
      <c r="Q209" s="1269"/>
      <c r="R209" s="1270"/>
      <c r="S209" s="1269"/>
      <c r="T209" s="1270"/>
      <c r="U209" s="1269"/>
      <c r="V209" s="1270"/>
      <c r="W209" s="1269"/>
      <c r="X209" s="1270"/>
      <c r="Y209" s="1269"/>
      <c r="Z209" s="1270"/>
      <c r="AA209" s="1269"/>
      <c r="AB209" s="1270"/>
      <c r="AC209" s="500"/>
      <c r="AD209" s="500"/>
      <c r="AE209" s="500"/>
      <c r="AF209" s="500"/>
      <c r="AG209" s="503"/>
      <c r="AH209" s="503"/>
      <c r="AI209" s="503"/>
      <c r="AJ209" s="503"/>
      <c r="AK209" s="503"/>
      <c r="AL209" s="503"/>
      <c r="AM209" s="503"/>
      <c r="AN209" s="503"/>
      <c r="AO209" s="503"/>
      <c r="AP209" s="503"/>
      <c r="AQ209" s="503"/>
      <c r="AR209" s="503"/>
      <c r="AS209" s="503"/>
      <c r="AT209" s="503"/>
      <c r="AU209" s="503"/>
      <c r="AV209" s="503"/>
      <c r="AW209" s="503"/>
      <c r="AX209" s="503"/>
      <c r="BA209" s="503"/>
      <c r="BB209" s="503"/>
      <c r="BC209" s="503"/>
      <c r="BD209" s="503"/>
      <c r="BE209" s="503"/>
      <c r="BF209" s="503"/>
      <c r="BG209" s="503"/>
      <c r="BH209" s="503"/>
      <c r="BI209" s="503"/>
      <c r="BJ209" s="503"/>
      <c r="BM209" s="503"/>
      <c r="BN209" s="503"/>
      <c r="BO209" s="503"/>
      <c r="BP209" s="503"/>
      <c r="BS209" s="503"/>
      <c r="BT209" s="503"/>
      <c r="BU209" s="503"/>
      <c r="BV209" s="503"/>
      <c r="BW209" s="503"/>
      <c r="BX209" s="503"/>
      <c r="BY209" s="503"/>
      <c r="BZ209" s="503"/>
      <c r="CA209" s="503"/>
      <c r="CB209" s="503"/>
      <c r="CC209" s="503"/>
      <c r="CD209" s="503"/>
      <c r="CE209" s="503"/>
      <c r="CH209" s="503"/>
      <c r="CI209" s="503"/>
      <c r="CJ209" s="503"/>
      <c r="CK209" s="503"/>
      <c r="CL209" s="503"/>
      <c r="CM209" s="503"/>
      <c r="CN209" s="503"/>
      <c r="CO209" s="503"/>
      <c r="CP209" s="503"/>
      <c r="CQ209" s="503"/>
      <c r="CR209" s="503"/>
      <c r="CS209" s="503"/>
      <c r="CT209" s="503"/>
    </row>
    <row r="210" spans="1:98" ht="13.5" hidden="1" customHeight="1">
      <c r="A210" s="1313"/>
      <c r="B210" s="1313"/>
      <c r="C210" s="1271" t="s">
        <v>589</v>
      </c>
      <c r="D210" s="1272"/>
      <c r="E210" s="1272"/>
      <c r="F210" s="1272"/>
      <c r="G210" s="1272"/>
      <c r="H210" s="1272"/>
      <c r="I210" s="1272"/>
      <c r="J210" s="1272"/>
      <c r="K210" s="1272"/>
      <c r="L210" s="1272"/>
      <c r="M210" s="1272"/>
      <c r="N210" s="1272"/>
      <c r="O210" s="1272"/>
      <c r="P210" s="1273"/>
      <c r="Q210" s="1264"/>
      <c r="R210" s="1265"/>
      <c r="S210" s="1264"/>
      <c r="T210" s="1265"/>
      <c r="U210" s="1264"/>
      <c r="V210" s="1265"/>
      <c r="W210" s="1302"/>
      <c r="X210" s="1303"/>
      <c r="Y210" s="1303"/>
      <c r="Z210" s="1303"/>
      <c r="AA210" s="1303"/>
      <c r="AB210" s="1304"/>
      <c r="AC210" s="500"/>
      <c r="AD210" s="500"/>
      <c r="AE210" s="500"/>
      <c r="AF210" s="500"/>
      <c r="AG210" s="503" t="s">
        <v>121</v>
      </c>
      <c r="AH210" s="503"/>
      <c r="AI210" s="503"/>
      <c r="AJ210" s="503"/>
      <c r="AK210" s="503"/>
      <c r="AL210" s="503"/>
      <c r="AM210" s="503"/>
      <c r="AN210" s="503"/>
      <c r="AO210" s="503"/>
      <c r="AP210" s="503"/>
      <c r="AQ210" s="503"/>
      <c r="AR210" s="503"/>
      <c r="AS210" s="503"/>
      <c r="AT210" s="503"/>
      <c r="AU210" s="503"/>
      <c r="AV210" s="503"/>
      <c r="AW210" s="503"/>
      <c r="AX210" s="503"/>
      <c r="BA210" s="503"/>
      <c r="BB210" s="503"/>
      <c r="BC210" s="503"/>
      <c r="BD210" s="503"/>
      <c r="BE210" s="503"/>
      <c r="BF210" s="503"/>
      <c r="BG210" s="503"/>
      <c r="BH210" s="503"/>
      <c r="BI210" s="503"/>
      <c r="BJ210" s="503"/>
      <c r="BM210" s="503"/>
      <c r="BN210" s="503"/>
      <c r="BO210" s="503"/>
      <c r="BP210" s="503"/>
      <c r="BS210" s="503"/>
      <c r="BT210" s="503"/>
      <c r="BU210" s="503"/>
      <c r="BV210" s="503"/>
      <c r="BW210" s="503"/>
      <c r="BX210" s="503"/>
      <c r="BY210" s="503"/>
      <c r="BZ210" s="503"/>
      <c r="CA210" s="503"/>
      <c r="CB210" s="503"/>
      <c r="CC210" s="503"/>
      <c r="CD210" s="503"/>
      <c r="CE210" s="503"/>
      <c r="CH210" s="503"/>
      <c r="CI210" s="503"/>
      <c r="CJ210" s="503"/>
      <c r="CK210" s="503"/>
      <c r="CL210" s="503"/>
      <c r="CM210" s="503"/>
      <c r="CN210" s="503"/>
      <c r="CO210" s="503"/>
      <c r="CP210" s="503"/>
      <c r="CQ210" s="503"/>
      <c r="CR210" s="503"/>
      <c r="CS210" s="503"/>
      <c r="CT210" s="503"/>
    </row>
    <row r="211" spans="1:98" ht="13.5" hidden="1" customHeight="1">
      <c r="A211" s="1313"/>
      <c r="B211" s="1313"/>
      <c r="C211" s="1266" t="s">
        <v>645</v>
      </c>
      <c r="D211" s="1267"/>
      <c r="E211" s="1267"/>
      <c r="F211" s="1267"/>
      <c r="G211" s="1267"/>
      <c r="H211" s="1267"/>
      <c r="I211" s="1267"/>
      <c r="J211" s="1267"/>
      <c r="K211" s="1267"/>
      <c r="L211" s="1267"/>
      <c r="M211" s="1267"/>
      <c r="N211" s="1267"/>
      <c r="O211" s="1267"/>
      <c r="P211" s="1268"/>
      <c r="Q211" s="1269"/>
      <c r="R211" s="1270"/>
      <c r="S211" s="1269"/>
      <c r="T211" s="1270"/>
      <c r="U211" s="1269"/>
      <c r="V211" s="1270"/>
      <c r="W211" s="1305"/>
      <c r="X211" s="1306"/>
      <c r="Y211" s="1306"/>
      <c r="Z211" s="1306"/>
      <c r="AA211" s="1306"/>
      <c r="AB211" s="1307"/>
      <c r="AC211" s="500"/>
      <c r="AD211" s="500"/>
      <c r="AE211" s="500" t="s">
        <v>792</v>
      </c>
      <c r="AF211" s="500"/>
      <c r="AG211" s="503"/>
      <c r="AH211" s="503"/>
      <c r="AI211" s="503"/>
      <c r="AJ211" s="503"/>
      <c r="AK211" s="503"/>
      <c r="AL211" s="503"/>
      <c r="AM211" s="503"/>
      <c r="AN211" s="503"/>
      <c r="AO211" s="503"/>
      <c r="AP211" s="503"/>
      <c r="AQ211" s="503"/>
      <c r="AR211" s="503"/>
      <c r="AS211" s="503"/>
      <c r="AT211" s="503"/>
      <c r="AU211" s="503"/>
      <c r="AV211" s="503"/>
      <c r="AW211" s="503"/>
      <c r="AX211" s="503"/>
      <c r="BA211" s="503"/>
      <c r="BB211" s="503"/>
      <c r="BC211" s="503"/>
      <c r="BD211" s="503"/>
      <c r="BE211" s="503"/>
      <c r="BF211" s="503"/>
      <c r="BG211" s="503"/>
      <c r="BH211" s="503"/>
      <c r="BI211" s="503"/>
      <c r="BJ211" s="503"/>
      <c r="BM211" s="503"/>
      <c r="BN211" s="503"/>
      <c r="BO211" s="503"/>
      <c r="BP211" s="503"/>
      <c r="BS211" s="503"/>
      <c r="BT211" s="503"/>
      <c r="BU211" s="503"/>
      <c r="BV211" s="503"/>
      <c r="BW211" s="503"/>
      <c r="BX211" s="503"/>
      <c r="BY211" s="503"/>
      <c r="BZ211" s="503"/>
      <c r="CA211" s="503"/>
      <c r="CB211" s="503"/>
      <c r="CC211" s="503"/>
      <c r="CD211" s="503"/>
      <c r="CE211" s="503"/>
      <c r="CH211" s="503"/>
      <c r="CI211" s="503"/>
      <c r="CJ211" s="503"/>
      <c r="CK211" s="503"/>
      <c r="CL211" s="503"/>
      <c r="CM211" s="503"/>
      <c r="CN211" s="503"/>
      <c r="CO211" s="503"/>
      <c r="CP211" s="503"/>
      <c r="CQ211" s="503"/>
      <c r="CR211" s="503"/>
      <c r="CS211" s="503"/>
      <c r="CT211" s="503"/>
    </row>
    <row r="212" spans="1:98" ht="13.5" customHeight="1">
      <c r="A212" s="1313"/>
      <c r="B212" s="1313"/>
      <c r="C212" s="1271" t="s">
        <v>589</v>
      </c>
      <c r="D212" s="1272"/>
      <c r="E212" s="1272"/>
      <c r="F212" s="1272"/>
      <c r="G212" s="1272"/>
      <c r="H212" s="1272"/>
      <c r="I212" s="1272"/>
      <c r="J212" s="1272"/>
      <c r="K212" s="1272"/>
      <c r="L212" s="1272"/>
      <c r="M212" s="1272"/>
      <c r="N212" s="1272"/>
      <c r="O212" s="1272"/>
      <c r="P212" s="1273"/>
      <c r="Q212" s="1264"/>
      <c r="R212" s="1265"/>
      <c r="S212" s="1264"/>
      <c r="T212" s="1265"/>
      <c r="U212" s="1264"/>
      <c r="V212" s="1265"/>
      <c r="W212" s="1264"/>
      <c r="X212" s="1265"/>
      <c r="Y212" s="1264"/>
      <c r="Z212" s="1265"/>
      <c r="AA212" s="1264"/>
      <c r="AB212" s="1265"/>
      <c r="AC212" s="500"/>
      <c r="AD212" s="500"/>
      <c r="AE212" s="500"/>
      <c r="AF212" s="500"/>
      <c r="AG212" s="503" t="s">
        <v>132</v>
      </c>
      <c r="AH212" s="503"/>
      <c r="AI212" s="503"/>
      <c r="AJ212" s="503"/>
      <c r="AK212" s="503"/>
      <c r="AL212" s="503"/>
      <c r="AM212" s="503"/>
      <c r="AN212" s="503"/>
      <c r="AO212" s="503"/>
      <c r="AP212" s="503"/>
      <c r="AQ212" s="503"/>
      <c r="AR212" s="503"/>
      <c r="AS212" s="503"/>
      <c r="AT212" s="503"/>
      <c r="AU212" s="503"/>
      <c r="AV212" s="503"/>
      <c r="AW212" s="503"/>
      <c r="AX212" s="503"/>
      <c r="BA212" s="503"/>
      <c r="BB212" s="503"/>
      <c r="BC212" s="503"/>
      <c r="BD212" s="503"/>
      <c r="BE212" s="503"/>
      <c r="BF212" s="503"/>
      <c r="BG212" s="503"/>
      <c r="BH212" s="503"/>
      <c r="BI212" s="503"/>
      <c r="BJ212" s="503"/>
      <c r="BM212" s="503"/>
      <c r="BN212" s="503"/>
      <c r="BO212" s="503"/>
      <c r="BP212" s="503"/>
      <c r="BS212" s="503"/>
      <c r="BT212" s="503"/>
      <c r="BU212" s="503"/>
      <c r="BV212" s="503"/>
      <c r="BW212" s="503"/>
      <c r="BX212" s="503"/>
      <c r="BY212" s="503"/>
      <c r="BZ212" s="503"/>
      <c r="CA212" s="503"/>
      <c r="CB212" s="503"/>
      <c r="CC212" s="503"/>
      <c r="CD212" s="503"/>
      <c r="CE212" s="503"/>
      <c r="CH212" s="503"/>
      <c r="CI212" s="503"/>
      <c r="CJ212" s="503"/>
      <c r="CK212" s="503"/>
      <c r="CL212" s="503"/>
      <c r="CM212" s="503"/>
      <c r="CN212" s="503"/>
      <c r="CO212" s="503"/>
      <c r="CP212" s="503"/>
      <c r="CQ212" s="503"/>
      <c r="CR212" s="503"/>
      <c r="CS212" s="503"/>
      <c r="CT212" s="503"/>
    </row>
    <row r="213" spans="1:98" ht="13.5" customHeight="1">
      <c r="A213" s="1313"/>
      <c r="B213" s="1313"/>
      <c r="C213" s="1266" t="s">
        <v>646</v>
      </c>
      <c r="D213" s="1267"/>
      <c r="E213" s="1267"/>
      <c r="F213" s="1267"/>
      <c r="G213" s="1267"/>
      <c r="H213" s="1267"/>
      <c r="I213" s="1267"/>
      <c r="J213" s="1267"/>
      <c r="K213" s="1267"/>
      <c r="L213" s="1267"/>
      <c r="M213" s="1267"/>
      <c r="N213" s="1267"/>
      <c r="O213" s="1267"/>
      <c r="P213" s="1268"/>
      <c r="Q213" s="1269"/>
      <c r="R213" s="1270"/>
      <c r="S213" s="1269"/>
      <c r="T213" s="1270"/>
      <c r="U213" s="1269"/>
      <c r="V213" s="1270"/>
      <c r="W213" s="1269"/>
      <c r="X213" s="1270"/>
      <c r="Y213" s="1269"/>
      <c r="Z213" s="1270"/>
      <c r="AA213" s="1269"/>
      <c r="AB213" s="1270"/>
      <c r="AC213" s="500"/>
      <c r="AD213" s="500"/>
      <c r="AE213" s="500" t="s">
        <v>830</v>
      </c>
      <c r="AF213" s="500"/>
      <c r="AG213" s="503"/>
      <c r="AH213" s="503"/>
      <c r="AI213" s="503"/>
      <c r="AJ213" s="503"/>
      <c r="AK213" s="503"/>
      <c r="AL213" s="503"/>
      <c r="AM213" s="503"/>
      <c r="AN213" s="503"/>
      <c r="AO213" s="503"/>
      <c r="AP213" s="503"/>
      <c r="AQ213" s="503"/>
      <c r="AR213" s="503"/>
      <c r="AS213" s="503"/>
      <c r="AT213" s="503"/>
      <c r="AU213" s="503"/>
      <c r="AV213" s="503"/>
      <c r="AW213" s="503"/>
      <c r="AX213" s="503"/>
      <c r="BA213" s="503"/>
      <c r="BB213" s="503"/>
      <c r="BC213" s="503"/>
      <c r="BD213" s="503"/>
      <c r="BE213" s="503"/>
      <c r="BF213" s="503"/>
      <c r="BG213" s="503"/>
      <c r="BH213" s="503"/>
      <c r="BI213" s="503"/>
      <c r="BJ213" s="503"/>
      <c r="BM213" s="503"/>
      <c r="BN213" s="503"/>
      <c r="BO213" s="503"/>
      <c r="BP213" s="503"/>
      <c r="BS213" s="503"/>
      <c r="BT213" s="503"/>
      <c r="BU213" s="503"/>
      <c r="BV213" s="503"/>
      <c r="BW213" s="503"/>
      <c r="BX213" s="503"/>
      <c r="BY213" s="503"/>
      <c r="BZ213" s="503"/>
      <c r="CA213" s="503"/>
      <c r="CB213" s="503"/>
      <c r="CC213" s="503"/>
      <c r="CD213" s="503"/>
      <c r="CE213" s="503"/>
      <c r="CH213" s="503"/>
      <c r="CI213" s="503"/>
      <c r="CJ213" s="503"/>
      <c r="CK213" s="503"/>
      <c r="CL213" s="503"/>
      <c r="CM213" s="503"/>
      <c r="CN213" s="503"/>
      <c r="CO213" s="503"/>
      <c r="CP213" s="503"/>
      <c r="CQ213" s="503"/>
      <c r="CR213" s="503"/>
      <c r="CS213" s="503"/>
      <c r="CT213" s="503"/>
    </row>
    <row r="214" spans="1:98" ht="13.5" customHeight="1">
      <c r="A214" s="1313"/>
      <c r="B214" s="1313"/>
      <c r="C214" s="1271" t="s">
        <v>589</v>
      </c>
      <c r="D214" s="1272"/>
      <c r="E214" s="1272"/>
      <c r="F214" s="1272"/>
      <c r="G214" s="1272"/>
      <c r="H214" s="1272"/>
      <c r="I214" s="1272"/>
      <c r="J214" s="1272"/>
      <c r="K214" s="1272"/>
      <c r="L214" s="1272"/>
      <c r="M214" s="1272"/>
      <c r="N214" s="1272"/>
      <c r="O214" s="1272"/>
      <c r="P214" s="1273"/>
      <c r="Q214" s="1264"/>
      <c r="R214" s="1265"/>
      <c r="S214" s="1264"/>
      <c r="T214" s="1265"/>
      <c r="U214" s="1264"/>
      <c r="V214" s="1265"/>
      <c r="W214" s="1302"/>
      <c r="X214" s="1303"/>
      <c r="Y214" s="1303"/>
      <c r="Z214" s="1303"/>
      <c r="AA214" s="1303"/>
      <c r="AB214" s="1304"/>
      <c r="AC214" s="500"/>
      <c r="AD214" s="500"/>
      <c r="AE214" s="500"/>
      <c r="AF214" s="500"/>
      <c r="AG214" s="503" t="s">
        <v>575</v>
      </c>
      <c r="AH214" s="503"/>
      <c r="AI214" s="503"/>
      <c r="AJ214" s="503"/>
      <c r="AK214" s="503"/>
      <c r="AL214" s="503"/>
      <c r="AM214" s="503"/>
      <c r="AN214" s="503"/>
      <c r="AO214" s="503"/>
      <c r="AP214" s="503"/>
      <c r="AQ214" s="503"/>
      <c r="AR214" s="503"/>
      <c r="AS214" s="503"/>
      <c r="AT214" s="503"/>
      <c r="AU214" s="503"/>
      <c r="AV214" s="503"/>
      <c r="AW214" s="503"/>
      <c r="AX214" s="503"/>
      <c r="BA214" s="503"/>
      <c r="BB214" s="503"/>
      <c r="BC214" s="503"/>
      <c r="BD214" s="503"/>
      <c r="BE214" s="503"/>
      <c r="BF214" s="503"/>
      <c r="BG214" s="503"/>
      <c r="BH214" s="503"/>
      <c r="BI214" s="503"/>
      <c r="BJ214" s="503"/>
      <c r="BM214" s="503"/>
      <c r="BN214" s="503"/>
      <c r="BO214" s="503"/>
      <c r="BP214" s="503"/>
      <c r="BS214" s="503"/>
      <c r="BT214" s="503"/>
      <c r="BU214" s="503"/>
      <c r="BV214" s="503"/>
      <c r="BW214" s="503"/>
      <c r="BX214" s="503"/>
      <c r="BY214" s="503"/>
      <c r="BZ214" s="503"/>
      <c r="CA214" s="503"/>
      <c r="CB214" s="503"/>
      <c r="CC214" s="503"/>
      <c r="CD214" s="503"/>
      <c r="CE214" s="503"/>
      <c r="CH214" s="503"/>
      <c r="CI214" s="503"/>
      <c r="CJ214" s="503"/>
      <c r="CK214" s="503"/>
      <c r="CL214" s="503"/>
      <c r="CM214" s="503"/>
      <c r="CN214" s="503"/>
      <c r="CO214" s="503"/>
      <c r="CP214" s="503"/>
      <c r="CQ214" s="503"/>
      <c r="CR214" s="503"/>
      <c r="CS214" s="503"/>
      <c r="CT214" s="503"/>
    </row>
    <row r="215" spans="1:98" ht="13.5" customHeight="1">
      <c r="A215" s="1314"/>
      <c r="B215" s="1314"/>
      <c r="C215" s="1266" t="s">
        <v>647</v>
      </c>
      <c r="D215" s="1267"/>
      <c r="E215" s="1267"/>
      <c r="F215" s="1267"/>
      <c r="G215" s="1267"/>
      <c r="H215" s="1267"/>
      <c r="I215" s="1267"/>
      <c r="J215" s="1267"/>
      <c r="K215" s="1267"/>
      <c r="L215" s="1267"/>
      <c r="M215" s="1267"/>
      <c r="N215" s="1267"/>
      <c r="O215" s="1267"/>
      <c r="P215" s="1268"/>
      <c r="Q215" s="1269"/>
      <c r="R215" s="1270"/>
      <c r="S215" s="1269"/>
      <c r="T215" s="1270"/>
      <c r="U215" s="1269"/>
      <c r="V215" s="1270"/>
      <c r="W215" s="1305"/>
      <c r="X215" s="1306"/>
      <c r="Y215" s="1306"/>
      <c r="Z215" s="1306"/>
      <c r="AA215" s="1306"/>
      <c r="AB215" s="1307"/>
      <c r="AC215" s="500"/>
      <c r="AD215" s="500"/>
      <c r="AE215" s="500"/>
      <c r="AF215" s="500"/>
      <c r="AG215" s="503"/>
      <c r="AH215" s="503"/>
      <c r="AI215" s="503"/>
      <c r="AJ215" s="503"/>
    </row>
    <row r="216" spans="1:98" ht="13.5" customHeight="1"/>
    <row r="217" spans="1:98" ht="13.5" customHeight="1">
      <c r="A217" s="1312" t="s">
        <v>525</v>
      </c>
      <c r="B217" s="1312" t="s">
        <v>603</v>
      </c>
      <c r="C217" s="497" t="s">
        <v>582</v>
      </c>
      <c r="D217" s="488"/>
      <c r="E217" s="488"/>
      <c r="F217" s="488"/>
      <c r="G217" s="488"/>
      <c r="H217" s="488"/>
      <c r="I217" s="488"/>
      <c r="J217" s="488"/>
      <c r="K217" s="488"/>
      <c r="L217" s="488"/>
      <c r="M217" s="488"/>
      <c r="N217" s="488"/>
      <c r="O217" s="488"/>
      <c r="P217" s="499"/>
      <c r="Q217" s="1253" t="s">
        <v>583</v>
      </c>
      <c r="R217" s="1254"/>
      <c r="S217" s="1253" t="s">
        <v>584</v>
      </c>
      <c r="T217" s="1254"/>
      <c r="U217" s="1218" t="s">
        <v>585</v>
      </c>
      <c r="V217" s="1218"/>
      <c r="W217" s="1253" t="s">
        <v>597</v>
      </c>
      <c r="X217" s="1254"/>
      <c r="Y217" s="1253" t="s">
        <v>598</v>
      </c>
      <c r="Z217" s="1254"/>
      <c r="AA217" s="1217" t="s">
        <v>462</v>
      </c>
      <c r="AB217" s="1255"/>
      <c r="AG217" s="485"/>
      <c r="AH217" s="485"/>
      <c r="AI217" s="485"/>
      <c r="AJ217" s="485"/>
      <c r="AK217" s="485"/>
      <c r="AL217" s="485"/>
      <c r="AM217" s="485"/>
      <c r="AN217" s="485"/>
      <c r="AO217" s="485"/>
      <c r="AP217" s="485"/>
      <c r="AQ217" s="485"/>
      <c r="BA217" s="485"/>
      <c r="BB217" s="485"/>
      <c r="BC217" s="485"/>
      <c r="BD217" s="485"/>
      <c r="BE217" s="485"/>
      <c r="BF217" s="485"/>
      <c r="BS217" s="485"/>
      <c r="BT217" s="485"/>
      <c r="BU217" s="485"/>
      <c r="BV217" s="485"/>
      <c r="BW217" s="485"/>
      <c r="BX217" s="485"/>
      <c r="CH217" s="485"/>
      <c r="CI217" s="485"/>
      <c r="CJ217" s="485"/>
      <c r="CK217" s="485"/>
      <c r="CL217" s="485"/>
      <c r="CM217" s="485"/>
    </row>
    <row r="218" spans="1:98" ht="13.5" customHeight="1">
      <c r="A218" s="1313"/>
      <c r="B218" s="1313"/>
      <c r="C218" s="1256" t="s">
        <v>627</v>
      </c>
      <c r="D218" s="1257"/>
      <c r="E218" s="1257"/>
      <c r="F218" s="1257"/>
      <c r="G218" s="1257"/>
      <c r="H218" s="1257"/>
      <c r="I218" s="1257"/>
      <c r="J218" s="1257"/>
      <c r="K218" s="1257"/>
      <c r="L218" s="1257"/>
      <c r="M218" s="1257"/>
      <c r="N218" s="1257"/>
      <c r="O218" s="1257"/>
      <c r="P218" s="1316"/>
      <c r="Q218" s="1298">
        <f>COUNTIF(CH11:CH160,"○")</f>
        <v>0</v>
      </c>
      <c r="R218" s="1299"/>
      <c r="S218" s="1298">
        <f>COUNTIF(CI11:CI160,"○")</f>
        <v>0</v>
      </c>
      <c r="T218" s="1299"/>
      <c r="U218" s="1298">
        <f>COUNTIF(CJ11:CJ160,"○")</f>
        <v>0</v>
      </c>
      <c r="V218" s="1299"/>
      <c r="W218" s="1298">
        <f>COUNTIF(CK11:CK160,"○")</f>
        <v>0</v>
      </c>
      <c r="X218" s="1299"/>
      <c r="Y218" s="1298">
        <f>COUNTIF(CL11:CL160,"○")</f>
        <v>0</v>
      </c>
      <c r="Z218" s="1299"/>
      <c r="AA218" s="1298">
        <f>COUNTIF(CM11:CM160,"○")</f>
        <v>0</v>
      </c>
      <c r="AB218" s="1299"/>
      <c r="AC218" s="484"/>
      <c r="AD218" s="484"/>
      <c r="AE218" s="484"/>
      <c r="AF218" s="484"/>
      <c r="AG218" s="485"/>
      <c r="AH218" s="485"/>
      <c r="AI218" s="485"/>
      <c r="AJ218" s="485"/>
      <c r="AK218" s="485"/>
      <c r="AL218" s="485"/>
      <c r="AM218" s="485"/>
      <c r="AN218" s="485"/>
      <c r="AO218" s="485"/>
      <c r="AP218" s="485"/>
      <c r="AQ218" s="485"/>
      <c r="BA218" s="485"/>
      <c r="BB218" s="485"/>
      <c r="BC218" s="485"/>
      <c r="BD218" s="485"/>
      <c r="BE218" s="485"/>
      <c r="BF218" s="485"/>
      <c r="BS218" s="485"/>
      <c r="BT218" s="485"/>
      <c r="BU218" s="485"/>
      <c r="BV218" s="485"/>
      <c r="BW218" s="485"/>
      <c r="BX218" s="485"/>
      <c r="CH218" s="485"/>
      <c r="CI218" s="485"/>
      <c r="CJ218" s="485"/>
      <c r="CK218" s="485"/>
      <c r="CL218" s="485"/>
      <c r="CM218" s="485"/>
    </row>
    <row r="219" spans="1:98" ht="13.5" customHeight="1">
      <c r="A219" s="1313"/>
      <c r="B219" s="1313"/>
      <c r="C219" s="1258"/>
      <c r="D219" s="1259"/>
      <c r="E219" s="1259"/>
      <c r="F219" s="1259"/>
      <c r="G219" s="1259"/>
      <c r="H219" s="1259"/>
      <c r="I219" s="1259"/>
      <c r="J219" s="1259"/>
      <c r="K219" s="1259"/>
      <c r="L219" s="1259"/>
      <c r="M219" s="1259"/>
      <c r="N219" s="1259"/>
      <c r="O219" s="1259"/>
      <c r="P219" s="1311"/>
      <c r="Q219" s="1300"/>
      <c r="R219" s="1301"/>
      <c r="S219" s="1300"/>
      <c r="T219" s="1301"/>
      <c r="U219" s="1300"/>
      <c r="V219" s="1301"/>
      <c r="W219" s="1300"/>
      <c r="X219" s="1301"/>
      <c r="Y219" s="1300"/>
      <c r="Z219" s="1301"/>
      <c r="AA219" s="1300"/>
      <c r="AB219" s="1301"/>
      <c r="AC219" s="484"/>
      <c r="AD219" s="484"/>
      <c r="AE219" s="484"/>
      <c r="AF219" s="484"/>
      <c r="AG219" s="485"/>
      <c r="AH219" s="485"/>
      <c r="AI219" s="485"/>
      <c r="AJ219" s="485"/>
      <c r="AK219" s="485"/>
      <c r="AL219" s="485"/>
      <c r="AM219" s="485"/>
      <c r="AN219" s="485"/>
      <c r="AO219" s="485"/>
      <c r="AP219" s="485"/>
      <c r="AQ219" s="485"/>
      <c r="BA219" s="485"/>
      <c r="BB219" s="485"/>
      <c r="BC219" s="485"/>
      <c r="BD219" s="485"/>
      <c r="BE219" s="485"/>
      <c r="BF219" s="485"/>
      <c r="BS219" s="485"/>
      <c r="BT219" s="485"/>
      <c r="BU219" s="485"/>
      <c r="BV219" s="485"/>
      <c r="BW219" s="485"/>
      <c r="BX219" s="485"/>
      <c r="CH219" s="485"/>
      <c r="CI219" s="485"/>
      <c r="CJ219" s="485"/>
      <c r="CK219" s="485"/>
      <c r="CL219" s="485"/>
      <c r="CM219" s="485"/>
    </row>
    <row r="220" spans="1:98" ht="13.5" customHeight="1">
      <c r="A220" s="1313"/>
      <c r="B220" s="1313"/>
      <c r="C220" s="1256" t="s">
        <v>628</v>
      </c>
      <c r="D220" s="1257"/>
      <c r="E220" s="1257"/>
      <c r="F220" s="1257"/>
      <c r="G220" s="1257"/>
      <c r="H220" s="1257"/>
      <c r="I220" s="1257"/>
      <c r="J220" s="1257"/>
      <c r="K220" s="1257"/>
      <c r="L220" s="1257"/>
      <c r="M220" s="1257"/>
      <c r="N220" s="1257"/>
      <c r="O220" s="1257"/>
      <c r="P220" s="1316"/>
      <c r="Q220" s="1298">
        <f>COUNTIF(CN11:CN160,"○")</f>
        <v>0</v>
      </c>
      <c r="R220" s="1299"/>
      <c r="S220" s="1298">
        <f>COUNTIF(CO11:CO160,"○")</f>
        <v>0</v>
      </c>
      <c r="T220" s="1299"/>
      <c r="U220" s="1298">
        <f>COUNTIF(CP11:CP160,"○")</f>
        <v>0</v>
      </c>
      <c r="V220" s="1299"/>
      <c r="W220" s="1320"/>
      <c r="X220" s="1321"/>
      <c r="Y220" s="1321"/>
      <c r="Z220" s="1321"/>
      <c r="AA220" s="1321"/>
      <c r="AB220" s="1322"/>
      <c r="AC220" s="484"/>
      <c r="AD220" s="484"/>
      <c r="AE220" s="484"/>
      <c r="AF220" s="484"/>
      <c r="AG220" s="485"/>
      <c r="AH220" s="485"/>
      <c r="AI220" s="485"/>
      <c r="AJ220" s="485"/>
      <c r="AK220" s="485"/>
      <c r="AL220" s="485"/>
      <c r="AM220" s="485"/>
      <c r="AN220" s="485"/>
      <c r="AO220" s="485"/>
      <c r="AP220" s="485"/>
      <c r="AQ220" s="485"/>
      <c r="BA220" s="485"/>
      <c r="BB220" s="485"/>
      <c r="BC220" s="485"/>
      <c r="BD220" s="485"/>
      <c r="BE220" s="485"/>
      <c r="BF220" s="485"/>
      <c r="BS220" s="485"/>
      <c r="BT220" s="485"/>
      <c r="BU220" s="485"/>
      <c r="BV220" s="485"/>
      <c r="BW220" s="485"/>
      <c r="BX220" s="485"/>
      <c r="CH220" s="485"/>
      <c r="CI220" s="485"/>
      <c r="CJ220" s="485"/>
      <c r="CK220" s="485"/>
      <c r="CL220" s="485"/>
      <c r="CM220" s="485"/>
    </row>
    <row r="221" spans="1:98" ht="13.5" customHeight="1">
      <c r="A221" s="1313"/>
      <c r="B221" s="1313"/>
      <c r="C221" s="1258"/>
      <c r="D221" s="1259"/>
      <c r="E221" s="1259"/>
      <c r="F221" s="1259"/>
      <c r="G221" s="1259"/>
      <c r="H221" s="1259"/>
      <c r="I221" s="1259"/>
      <c r="J221" s="1259"/>
      <c r="K221" s="1259"/>
      <c r="L221" s="1259"/>
      <c r="M221" s="1259"/>
      <c r="N221" s="1259"/>
      <c r="O221" s="1259"/>
      <c r="P221" s="1311"/>
      <c r="Q221" s="1300"/>
      <c r="R221" s="1301"/>
      <c r="S221" s="1300"/>
      <c r="T221" s="1301"/>
      <c r="U221" s="1300"/>
      <c r="V221" s="1301"/>
      <c r="W221" s="1323"/>
      <c r="X221" s="1324"/>
      <c r="Y221" s="1324"/>
      <c r="Z221" s="1324"/>
      <c r="AA221" s="1324"/>
      <c r="AB221" s="1325"/>
      <c r="AC221" s="484"/>
      <c r="AD221" s="484"/>
      <c r="AE221" s="484"/>
      <c r="AF221" s="484"/>
      <c r="AG221" s="485"/>
      <c r="AH221" s="485"/>
      <c r="AI221" s="485"/>
      <c r="AJ221" s="485"/>
      <c r="AK221" s="485"/>
      <c r="AL221" s="485"/>
      <c r="AM221" s="485"/>
      <c r="AN221" s="485"/>
      <c r="AO221" s="485"/>
      <c r="AP221" s="485"/>
      <c r="AQ221" s="485"/>
      <c r="BA221" s="485"/>
      <c r="BB221" s="485"/>
      <c r="BC221" s="485"/>
      <c r="BD221" s="485"/>
      <c r="BE221" s="485"/>
      <c r="BF221" s="485"/>
      <c r="BS221" s="485"/>
      <c r="BT221" s="485"/>
      <c r="BU221" s="485"/>
      <c r="BV221" s="485"/>
      <c r="BW221" s="485"/>
      <c r="BX221" s="485"/>
      <c r="CH221" s="485"/>
      <c r="CI221" s="485"/>
      <c r="CJ221" s="485"/>
      <c r="CK221" s="485"/>
      <c r="CL221" s="485"/>
      <c r="CM221" s="485"/>
    </row>
    <row r="222" spans="1:98" ht="13.5" customHeight="1">
      <c r="A222" s="1313"/>
      <c r="B222" s="1313"/>
      <c r="C222" s="1256" t="s">
        <v>587</v>
      </c>
      <c r="D222" s="1257"/>
      <c r="E222" s="1257"/>
      <c r="F222" s="1257"/>
      <c r="G222" s="1257"/>
      <c r="H222" s="1257"/>
      <c r="I222" s="1257"/>
      <c r="J222" s="1257"/>
      <c r="K222" s="1257"/>
      <c r="L222" s="1257"/>
      <c r="M222" s="1257"/>
      <c r="N222" s="1257"/>
      <c r="O222" s="1257"/>
      <c r="P222" s="1316"/>
      <c r="Q222" s="1298">
        <f>COUNTIF(CQ11:CQ160,"○")</f>
        <v>0</v>
      </c>
      <c r="R222" s="1299"/>
      <c r="S222" s="1298">
        <f>COUNTIF(CR11:CR160,"○")</f>
        <v>0</v>
      </c>
      <c r="T222" s="1299"/>
      <c r="U222" s="1298">
        <f>COUNTIF(CS11:CS160,"○")</f>
        <v>0</v>
      </c>
      <c r="V222" s="1299"/>
      <c r="W222" s="1298">
        <f>COUNTIF(CT11:CT160,"○")</f>
        <v>0</v>
      </c>
      <c r="X222" s="1299"/>
      <c r="Y222" s="1298">
        <f>COUNTIF(CU11:CU160,"○")</f>
        <v>0</v>
      </c>
      <c r="Z222" s="1299"/>
      <c r="AA222" s="1298">
        <f>COUNTIF(CV11:CV160,"○")</f>
        <v>0</v>
      </c>
      <c r="AB222" s="1299"/>
      <c r="AC222" s="484"/>
      <c r="AD222" s="484"/>
      <c r="AE222" s="484"/>
      <c r="AF222" s="484"/>
      <c r="AG222" s="485"/>
      <c r="AH222" s="485"/>
      <c r="AI222" s="485"/>
      <c r="AJ222" s="485"/>
      <c r="AK222" s="485"/>
      <c r="AL222" s="485"/>
      <c r="AM222" s="485"/>
      <c r="AN222" s="485"/>
      <c r="AO222" s="485"/>
      <c r="AP222" s="485"/>
      <c r="AQ222" s="485"/>
      <c r="BA222" s="485"/>
      <c r="BB222" s="485"/>
      <c r="BC222" s="485"/>
      <c r="BD222" s="485"/>
      <c r="BE222" s="485"/>
      <c r="BF222" s="485"/>
      <c r="BS222" s="485"/>
      <c r="BT222" s="485"/>
      <c r="BU222" s="485"/>
      <c r="BV222" s="485"/>
      <c r="BW222" s="485"/>
      <c r="BX222" s="485"/>
      <c r="CH222" s="485"/>
      <c r="CI222" s="485"/>
      <c r="CJ222" s="485"/>
      <c r="CK222" s="485"/>
      <c r="CL222" s="485"/>
      <c r="CM222" s="485"/>
    </row>
    <row r="223" spans="1:98" ht="13.5" customHeight="1">
      <c r="A223" s="1313"/>
      <c r="B223" s="1313"/>
      <c r="C223" s="1258"/>
      <c r="D223" s="1259"/>
      <c r="E223" s="1259"/>
      <c r="F223" s="1259"/>
      <c r="G223" s="1259"/>
      <c r="H223" s="1259"/>
      <c r="I223" s="1259"/>
      <c r="J223" s="1259"/>
      <c r="K223" s="1259"/>
      <c r="L223" s="1259"/>
      <c r="M223" s="1259"/>
      <c r="N223" s="1259"/>
      <c r="O223" s="1259"/>
      <c r="P223" s="1311"/>
      <c r="Q223" s="1300"/>
      <c r="R223" s="1301"/>
      <c r="S223" s="1300"/>
      <c r="T223" s="1301"/>
      <c r="U223" s="1300"/>
      <c r="V223" s="1301"/>
      <c r="W223" s="1300"/>
      <c r="X223" s="1301"/>
      <c r="Y223" s="1300"/>
      <c r="Z223" s="1301"/>
      <c r="AA223" s="1300"/>
      <c r="AB223" s="1301"/>
      <c r="AC223" s="484"/>
      <c r="AD223" s="484"/>
      <c r="AE223" s="484"/>
      <c r="AF223" s="484"/>
      <c r="AG223" s="474"/>
      <c r="AH223" s="474"/>
      <c r="AI223" s="474"/>
      <c r="AJ223" s="474"/>
      <c r="AK223" s="474"/>
      <c r="AL223" s="474"/>
      <c r="AM223" s="474"/>
      <c r="AN223" s="474"/>
      <c r="AO223" s="474"/>
      <c r="AP223" s="474"/>
      <c r="AQ223" s="474"/>
      <c r="BA223" s="474"/>
      <c r="BB223" s="474"/>
      <c r="BC223" s="474"/>
      <c r="BD223" s="474"/>
      <c r="BE223" s="474"/>
      <c r="BF223" s="474"/>
      <c r="BS223" s="474"/>
      <c r="BT223" s="474"/>
      <c r="BU223" s="474"/>
      <c r="BV223" s="474"/>
      <c r="BW223" s="474"/>
      <c r="BX223" s="474"/>
      <c r="CH223" s="474"/>
      <c r="CI223" s="474"/>
      <c r="CJ223" s="474"/>
      <c r="CK223" s="474"/>
      <c r="CL223" s="474"/>
      <c r="CM223" s="474"/>
    </row>
    <row r="224" spans="1:98" ht="13.5" customHeight="1">
      <c r="A224" s="1313"/>
      <c r="B224" s="1313"/>
      <c r="C224" s="487"/>
      <c r="D224" s="487"/>
      <c r="E224" s="487"/>
      <c r="F224" s="487"/>
      <c r="G224" s="487"/>
      <c r="H224" s="487"/>
      <c r="I224" s="487"/>
      <c r="J224" s="487"/>
      <c r="K224" s="487"/>
      <c r="L224" s="487"/>
      <c r="M224" s="487"/>
      <c r="N224" s="487"/>
      <c r="O224" s="487"/>
      <c r="P224" s="487"/>
      <c r="Q224" s="487"/>
      <c r="R224" s="487"/>
      <c r="S224" s="488"/>
      <c r="T224" s="488"/>
      <c r="U224" s="488"/>
      <c r="V224" s="488"/>
      <c r="W224" s="488"/>
      <c r="X224" s="488"/>
      <c r="Y224" s="474"/>
      <c r="Z224" s="474"/>
      <c r="AA224" s="474"/>
      <c r="AB224" s="474"/>
      <c r="AC224" s="474"/>
      <c r="AD224" s="474"/>
      <c r="AE224" s="474"/>
      <c r="AF224" s="474"/>
      <c r="AG224" s="474"/>
      <c r="AH224" s="474"/>
      <c r="AI224" s="474"/>
      <c r="AJ224" s="474"/>
      <c r="AK224" s="474"/>
      <c r="AL224" s="474"/>
      <c r="AM224" s="474"/>
      <c r="AN224" s="474"/>
      <c r="AO224" s="474"/>
      <c r="AP224" s="474"/>
      <c r="AQ224" s="474"/>
      <c r="BA224" s="474"/>
      <c r="BB224" s="474"/>
      <c r="BC224" s="474"/>
      <c r="BD224" s="474"/>
      <c r="BE224" s="474"/>
      <c r="BF224" s="474"/>
      <c r="BS224" s="474"/>
      <c r="BT224" s="474"/>
      <c r="BU224" s="474"/>
      <c r="BV224" s="474"/>
      <c r="BW224" s="474"/>
      <c r="BX224" s="474"/>
      <c r="CH224" s="474"/>
      <c r="CI224" s="474"/>
      <c r="CJ224" s="474"/>
      <c r="CK224" s="474"/>
      <c r="CL224" s="474"/>
      <c r="CM224" s="474"/>
    </row>
    <row r="225" spans="1:98" ht="13.5" customHeight="1">
      <c r="A225" s="1313"/>
      <c r="B225" s="1313"/>
      <c r="C225" s="481" t="s">
        <v>601</v>
      </c>
      <c r="D225" s="482"/>
      <c r="E225" s="482"/>
      <c r="F225" s="482"/>
      <c r="G225" s="482"/>
      <c r="H225" s="489"/>
      <c r="I225" s="489"/>
      <c r="J225" s="489"/>
      <c r="K225" s="489"/>
      <c r="L225" s="489"/>
      <c r="M225" s="489"/>
      <c r="N225" s="489"/>
      <c r="O225" s="489"/>
      <c r="P225" s="489"/>
      <c r="Q225" s="1253" t="s">
        <v>583</v>
      </c>
      <c r="R225" s="1254"/>
      <c r="S225" s="1253" t="s">
        <v>584</v>
      </c>
      <c r="T225" s="1254"/>
      <c r="U225" s="1218" t="s">
        <v>585</v>
      </c>
      <c r="V225" s="1218"/>
      <c r="W225" s="1253" t="s">
        <v>597</v>
      </c>
      <c r="X225" s="1254"/>
      <c r="Y225" s="1253" t="s">
        <v>598</v>
      </c>
      <c r="Z225" s="1254"/>
      <c r="AA225" s="1217" t="s">
        <v>462</v>
      </c>
      <c r="AB225" s="1255"/>
      <c r="AG225" s="474"/>
      <c r="AH225" s="474"/>
      <c r="AI225" s="474"/>
      <c r="AJ225" s="474"/>
      <c r="AK225" s="503"/>
      <c r="AL225" s="503"/>
      <c r="AM225" s="503"/>
      <c r="AN225" s="503"/>
      <c r="AO225" s="503"/>
      <c r="AP225" s="503"/>
      <c r="AQ225" s="503"/>
      <c r="AR225" s="503"/>
      <c r="AS225" s="503"/>
      <c r="AT225" s="503"/>
      <c r="AU225" s="503"/>
      <c r="AV225" s="503"/>
      <c r="AW225" s="503"/>
      <c r="AX225" s="503"/>
      <c r="BA225" s="503"/>
      <c r="BB225" s="503"/>
      <c r="BC225" s="503"/>
      <c r="BD225" s="503"/>
      <c r="BE225" s="503"/>
      <c r="BF225" s="503"/>
      <c r="BG225" s="503"/>
      <c r="BH225" s="503"/>
      <c r="BI225" s="503"/>
      <c r="BJ225" s="503"/>
      <c r="BM225" s="503"/>
      <c r="BN225" s="503"/>
      <c r="BO225" s="503"/>
      <c r="BP225" s="503"/>
      <c r="BS225" s="503"/>
      <c r="BT225" s="503"/>
      <c r="BU225" s="503"/>
      <c r="BV225" s="503"/>
      <c r="BW225" s="503"/>
      <c r="BX225" s="503"/>
      <c r="BY225" s="503"/>
      <c r="BZ225" s="503"/>
      <c r="CA225" s="503"/>
      <c r="CB225" s="503"/>
      <c r="CC225" s="503"/>
      <c r="CD225" s="503"/>
      <c r="CE225" s="503"/>
      <c r="CH225" s="503"/>
      <c r="CI225" s="503"/>
      <c r="CJ225" s="503"/>
      <c r="CK225" s="503"/>
      <c r="CL225" s="503"/>
      <c r="CM225" s="503"/>
      <c r="CN225" s="503"/>
      <c r="CO225" s="503"/>
      <c r="CP225" s="503"/>
      <c r="CQ225" s="503"/>
      <c r="CR225" s="503"/>
      <c r="CS225" s="503"/>
      <c r="CT225" s="503"/>
    </row>
    <row r="226" spans="1:98" ht="13.5" hidden="1" customHeight="1">
      <c r="A226" s="1313"/>
      <c r="B226" s="1313"/>
      <c r="C226" s="1271" t="s">
        <v>589</v>
      </c>
      <c r="D226" s="1272"/>
      <c r="E226" s="1272"/>
      <c r="F226" s="1272"/>
      <c r="G226" s="1272"/>
      <c r="H226" s="1272"/>
      <c r="I226" s="1272"/>
      <c r="J226" s="1272"/>
      <c r="K226" s="1272"/>
      <c r="L226" s="1272"/>
      <c r="M226" s="1272"/>
      <c r="N226" s="1272"/>
      <c r="O226" s="1272"/>
      <c r="P226" s="1273"/>
      <c r="Q226" s="1264"/>
      <c r="R226" s="1265"/>
      <c r="S226" s="1274"/>
      <c r="T226" s="1265"/>
      <c r="U226" s="1264"/>
      <c r="V226" s="1265"/>
      <c r="W226" s="1264"/>
      <c r="X226" s="1265"/>
      <c r="Y226" s="1264"/>
      <c r="Z226" s="1265"/>
      <c r="AA226" s="1264"/>
      <c r="AB226" s="1265"/>
      <c r="AC226" s="500"/>
      <c r="AD226" s="500"/>
      <c r="AE226" s="500"/>
      <c r="AF226" s="500"/>
      <c r="AG226" s="503" t="s">
        <v>120</v>
      </c>
      <c r="AH226" s="503"/>
      <c r="AI226" s="503"/>
      <c r="AJ226" s="503"/>
      <c r="AK226" s="503"/>
      <c r="AL226" s="503"/>
      <c r="AM226" s="503"/>
      <c r="AN226" s="503"/>
      <c r="AO226" s="503"/>
      <c r="AP226" s="503"/>
      <c r="AQ226" s="503"/>
      <c r="AR226" s="503"/>
      <c r="AS226" s="503"/>
      <c r="AT226" s="503"/>
      <c r="AU226" s="503"/>
      <c r="AV226" s="503"/>
      <c r="AW226" s="503"/>
      <c r="AX226" s="503"/>
      <c r="BA226" s="503"/>
      <c r="BB226" s="503"/>
      <c r="BC226" s="503"/>
      <c r="BD226" s="503"/>
      <c r="BE226" s="503"/>
      <c r="BF226" s="503"/>
      <c r="BG226" s="503"/>
      <c r="BH226" s="503"/>
      <c r="BI226" s="503"/>
      <c r="BJ226" s="503"/>
      <c r="BM226" s="503"/>
      <c r="BN226" s="503"/>
      <c r="BO226" s="503"/>
      <c r="BP226" s="503"/>
      <c r="BS226" s="503"/>
      <c r="BT226" s="503"/>
      <c r="BU226" s="503"/>
      <c r="BV226" s="503"/>
      <c r="BW226" s="503"/>
      <c r="BX226" s="503"/>
      <c r="BY226" s="503"/>
      <c r="BZ226" s="503"/>
      <c r="CA226" s="503"/>
      <c r="CB226" s="503"/>
      <c r="CC226" s="503"/>
      <c r="CD226" s="503"/>
      <c r="CE226" s="503"/>
      <c r="CH226" s="503"/>
      <c r="CI226" s="503"/>
      <c r="CJ226" s="503"/>
      <c r="CK226" s="503"/>
      <c r="CL226" s="503"/>
      <c r="CM226" s="503"/>
      <c r="CN226" s="503"/>
      <c r="CO226" s="503"/>
      <c r="CP226" s="503"/>
      <c r="CQ226" s="503"/>
      <c r="CR226" s="503"/>
      <c r="CS226" s="503"/>
      <c r="CT226" s="503"/>
    </row>
    <row r="227" spans="1:98" ht="13.5" hidden="1" customHeight="1">
      <c r="A227" s="1313"/>
      <c r="B227" s="1313"/>
      <c r="C227" s="1266" t="s">
        <v>590</v>
      </c>
      <c r="D227" s="1267"/>
      <c r="E227" s="1267"/>
      <c r="F227" s="1267"/>
      <c r="G227" s="1267"/>
      <c r="H227" s="1267"/>
      <c r="I227" s="1267"/>
      <c r="J227" s="1267"/>
      <c r="K227" s="1267"/>
      <c r="L227" s="1267"/>
      <c r="M227" s="1267"/>
      <c r="N227" s="1267"/>
      <c r="O227" s="1267"/>
      <c r="P227" s="1268"/>
      <c r="Q227" s="1269"/>
      <c r="R227" s="1270"/>
      <c r="S227" s="1269"/>
      <c r="T227" s="1270"/>
      <c r="U227" s="1269"/>
      <c r="V227" s="1270"/>
      <c r="W227" s="1269"/>
      <c r="X227" s="1270"/>
      <c r="Y227" s="1269"/>
      <c r="Z227" s="1270"/>
      <c r="AA227" s="1269"/>
      <c r="AB227" s="1270"/>
      <c r="AC227" s="500"/>
      <c r="AD227" s="500"/>
      <c r="AE227" s="500"/>
      <c r="AF227" s="500"/>
      <c r="AG227" s="503"/>
      <c r="AH227" s="503"/>
      <c r="AI227" s="503"/>
      <c r="AJ227" s="503"/>
      <c r="AK227" s="503"/>
      <c r="AL227" s="503"/>
      <c r="AM227" s="503"/>
      <c r="AN227" s="503"/>
      <c r="AO227" s="503"/>
      <c r="AP227" s="503"/>
      <c r="AQ227" s="503"/>
      <c r="AR227" s="503"/>
      <c r="AS227" s="503"/>
      <c r="AT227" s="503"/>
      <c r="AU227" s="503"/>
      <c r="AV227" s="503"/>
      <c r="AW227" s="503"/>
      <c r="AX227" s="503"/>
      <c r="BA227" s="503"/>
      <c r="BB227" s="503"/>
      <c r="BC227" s="503"/>
      <c r="BD227" s="503"/>
      <c r="BE227" s="503"/>
      <c r="BF227" s="503"/>
      <c r="BG227" s="503"/>
      <c r="BH227" s="503"/>
      <c r="BI227" s="503"/>
      <c r="BJ227" s="503"/>
      <c r="BM227" s="503"/>
      <c r="BN227" s="503"/>
      <c r="BO227" s="503"/>
      <c r="BP227" s="503"/>
      <c r="BS227" s="503"/>
      <c r="BT227" s="503"/>
      <c r="BU227" s="503"/>
      <c r="BV227" s="503"/>
      <c r="BW227" s="503"/>
      <c r="BX227" s="503"/>
      <c r="BY227" s="503"/>
      <c r="BZ227" s="503"/>
      <c r="CA227" s="503"/>
      <c r="CB227" s="503"/>
      <c r="CC227" s="503"/>
      <c r="CD227" s="503"/>
      <c r="CE227" s="503"/>
      <c r="CH227" s="503"/>
      <c r="CI227" s="503"/>
      <c r="CJ227" s="503"/>
      <c r="CK227" s="503"/>
      <c r="CL227" s="503"/>
      <c r="CM227" s="503"/>
      <c r="CN227" s="503"/>
      <c r="CO227" s="503"/>
      <c r="CP227" s="503"/>
      <c r="CQ227" s="503"/>
      <c r="CR227" s="503"/>
      <c r="CS227" s="503"/>
      <c r="CT227" s="503"/>
    </row>
    <row r="228" spans="1:98" ht="13.5" hidden="1" customHeight="1">
      <c r="A228" s="1313"/>
      <c r="B228" s="1313"/>
      <c r="C228" s="1271" t="s">
        <v>589</v>
      </c>
      <c r="D228" s="1272"/>
      <c r="E228" s="1272"/>
      <c r="F228" s="1272"/>
      <c r="G228" s="1272"/>
      <c r="H228" s="1272"/>
      <c r="I228" s="1272"/>
      <c r="J228" s="1272"/>
      <c r="K228" s="1272"/>
      <c r="L228" s="1272"/>
      <c r="M228" s="1272"/>
      <c r="N228" s="1272"/>
      <c r="O228" s="1272"/>
      <c r="P228" s="1273"/>
      <c r="Q228" s="1264"/>
      <c r="R228" s="1265"/>
      <c r="S228" s="1264"/>
      <c r="T228" s="1265"/>
      <c r="U228" s="1264"/>
      <c r="V228" s="1265"/>
      <c r="W228" s="1302"/>
      <c r="X228" s="1303"/>
      <c r="Y228" s="1303"/>
      <c r="Z228" s="1303"/>
      <c r="AA228" s="1303"/>
      <c r="AB228" s="1304"/>
      <c r="AC228" s="500"/>
      <c r="AD228" s="500"/>
      <c r="AE228" s="500"/>
      <c r="AF228" s="500"/>
      <c r="AG228" s="503" t="s">
        <v>121</v>
      </c>
      <c r="AH228" s="503"/>
      <c r="AI228" s="503"/>
      <c r="AJ228" s="503"/>
      <c r="AK228" s="503"/>
      <c r="AL228" s="503"/>
      <c r="AM228" s="503"/>
      <c r="AN228" s="503"/>
      <c r="AO228" s="503"/>
      <c r="AP228" s="503"/>
      <c r="AQ228" s="503"/>
      <c r="AR228" s="503"/>
      <c r="AS228" s="503"/>
      <c r="AT228" s="503"/>
      <c r="AU228" s="503"/>
      <c r="AV228" s="503"/>
      <c r="AW228" s="503"/>
      <c r="AX228" s="503"/>
      <c r="BA228" s="503"/>
      <c r="BB228" s="503"/>
      <c r="BC228" s="503"/>
      <c r="BD228" s="503"/>
      <c r="BE228" s="503"/>
      <c r="BF228" s="503"/>
      <c r="BG228" s="503"/>
      <c r="BH228" s="503"/>
      <c r="BI228" s="503"/>
      <c r="BJ228" s="503"/>
      <c r="BM228" s="503"/>
      <c r="BN228" s="503"/>
      <c r="BO228" s="503"/>
      <c r="BP228" s="503"/>
      <c r="BS228" s="503"/>
      <c r="BT228" s="503"/>
      <c r="BU228" s="503"/>
      <c r="BV228" s="503"/>
      <c r="BW228" s="503"/>
      <c r="BX228" s="503"/>
      <c r="BY228" s="503"/>
      <c r="BZ228" s="503"/>
      <c r="CA228" s="503"/>
      <c r="CB228" s="503"/>
      <c r="CC228" s="503"/>
      <c r="CD228" s="503"/>
      <c r="CE228" s="503"/>
      <c r="CH228" s="503"/>
      <c r="CI228" s="503"/>
      <c r="CJ228" s="503"/>
      <c r="CK228" s="503"/>
      <c r="CL228" s="503"/>
      <c r="CM228" s="503"/>
      <c r="CN228" s="503"/>
      <c r="CO228" s="503"/>
      <c r="CP228" s="503"/>
      <c r="CQ228" s="503"/>
      <c r="CR228" s="503"/>
      <c r="CS228" s="503"/>
      <c r="CT228" s="503"/>
    </row>
    <row r="229" spans="1:98" ht="13.5" hidden="1" customHeight="1">
      <c r="A229" s="1313"/>
      <c r="B229" s="1313"/>
      <c r="C229" s="1266" t="s">
        <v>645</v>
      </c>
      <c r="D229" s="1267"/>
      <c r="E229" s="1267"/>
      <c r="F229" s="1267"/>
      <c r="G229" s="1267"/>
      <c r="H229" s="1267"/>
      <c r="I229" s="1267"/>
      <c r="J229" s="1267"/>
      <c r="K229" s="1267"/>
      <c r="L229" s="1267"/>
      <c r="M229" s="1267"/>
      <c r="N229" s="1267"/>
      <c r="O229" s="1267"/>
      <c r="P229" s="1268"/>
      <c r="Q229" s="1269"/>
      <c r="R229" s="1270"/>
      <c r="S229" s="1269"/>
      <c r="T229" s="1270"/>
      <c r="U229" s="1269"/>
      <c r="V229" s="1270"/>
      <c r="W229" s="1305"/>
      <c r="X229" s="1306"/>
      <c r="Y229" s="1306"/>
      <c r="Z229" s="1306"/>
      <c r="AA229" s="1306"/>
      <c r="AB229" s="1307"/>
      <c r="AC229" s="500"/>
      <c r="AD229" s="500"/>
      <c r="AE229" s="500" t="s">
        <v>793</v>
      </c>
      <c r="AF229" s="500"/>
      <c r="AG229" s="503"/>
      <c r="AH229" s="503"/>
      <c r="AI229" s="503"/>
      <c r="AJ229" s="503"/>
      <c r="AK229" s="503"/>
      <c r="AL229" s="503"/>
      <c r="AM229" s="503"/>
      <c r="AN229" s="503"/>
      <c r="AO229" s="503"/>
      <c r="AP229" s="503"/>
      <c r="AQ229" s="503"/>
      <c r="AR229" s="503"/>
      <c r="AS229" s="503"/>
      <c r="AT229" s="503"/>
      <c r="AU229" s="503"/>
      <c r="AV229" s="503"/>
      <c r="AW229" s="503"/>
      <c r="AX229" s="503"/>
      <c r="BA229" s="503"/>
      <c r="BB229" s="503"/>
      <c r="BC229" s="503"/>
      <c r="BD229" s="503"/>
      <c r="BE229" s="503"/>
      <c r="BF229" s="503"/>
      <c r="BG229" s="503"/>
      <c r="BH229" s="503"/>
      <c r="BI229" s="503"/>
      <c r="BJ229" s="503"/>
      <c r="BM229" s="503"/>
      <c r="BN229" s="503"/>
      <c r="BO229" s="503"/>
      <c r="BP229" s="503"/>
      <c r="BS229" s="503"/>
      <c r="BT229" s="503"/>
      <c r="BU229" s="503"/>
      <c r="BV229" s="503"/>
      <c r="BW229" s="503"/>
      <c r="BX229" s="503"/>
      <c r="BY229" s="503"/>
      <c r="BZ229" s="503"/>
      <c r="CA229" s="503"/>
      <c r="CB229" s="503"/>
      <c r="CC229" s="503"/>
      <c r="CD229" s="503"/>
      <c r="CE229" s="503"/>
      <c r="CH229" s="503"/>
      <c r="CI229" s="503"/>
      <c r="CJ229" s="503"/>
      <c r="CK229" s="503"/>
      <c r="CL229" s="503"/>
      <c r="CM229" s="503"/>
      <c r="CN229" s="503"/>
      <c r="CO229" s="503"/>
      <c r="CP229" s="503"/>
      <c r="CQ229" s="503"/>
      <c r="CR229" s="503"/>
      <c r="CS229" s="503"/>
      <c r="CT229" s="503"/>
    </row>
    <row r="230" spans="1:98" ht="13.5" customHeight="1">
      <c r="A230" s="1313"/>
      <c r="B230" s="1313"/>
      <c r="C230" s="1271" t="s">
        <v>589</v>
      </c>
      <c r="D230" s="1272"/>
      <c r="E230" s="1272"/>
      <c r="F230" s="1272"/>
      <c r="G230" s="1272"/>
      <c r="H230" s="1272"/>
      <c r="I230" s="1272"/>
      <c r="J230" s="1272"/>
      <c r="K230" s="1272"/>
      <c r="L230" s="1272"/>
      <c r="M230" s="1272"/>
      <c r="N230" s="1272"/>
      <c r="O230" s="1272"/>
      <c r="P230" s="1273"/>
      <c r="Q230" s="1264"/>
      <c r="R230" s="1265"/>
      <c r="S230" s="1264"/>
      <c r="T230" s="1265"/>
      <c r="U230" s="1264"/>
      <c r="V230" s="1265"/>
      <c r="W230" s="1264"/>
      <c r="X230" s="1265"/>
      <c r="Y230" s="1264"/>
      <c r="Z230" s="1265"/>
      <c r="AA230" s="1264"/>
      <c r="AB230" s="1265"/>
      <c r="AC230" s="500"/>
      <c r="AD230" s="500"/>
      <c r="AE230" s="500"/>
      <c r="AF230" s="500"/>
      <c r="AG230" s="503" t="s">
        <v>132</v>
      </c>
      <c r="AH230" s="503"/>
      <c r="AI230" s="503"/>
      <c r="AJ230" s="503"/>
      <c r="AK230" s="503"/>
      <c r="AL230" s="503"/>
      <c r="AM230" s="503"/>
      <c r="AN230" s="503"/>
      <c r="AO230" s="503"/>
      <c r="AP230" s="503"/>
      <c r="AQ230" s="503"/>
      <c r="AR230" s="503"/>
      <c r="AS230" s="503"/>
      <c r="AT230" s="503"/>
      <c r="AU230" s="503"/>
      <c r="AV230" s="503"/>
      <c r="AW230" s="503"/>
      <c r="AX230" s="503"/>
      <c r="BA230" s="503"/>
      <c r="BB230" s="503"/>
      <c r="BC230" s="503"/>
      <c r="BD230" s="503"/>
      <c r="BE230" s="503"/>
      <c r="BF230" s="503"/>
      <c r="BG230" s="503"/>
      <c r="BH230" s="503"/>
      <c r="BI230" s="503"/>
      <c r="BJ230" s="503"/>
      <c r="BM230" s="503"/>
      <c r="BN230" s="503"/>
      <c r="BO230" s="503"/>
      <c r="BP230" s="503"/>
      <c r="BS230" s="503"/>
      <c r="BT230" s="503"/>
      <c r="BU230" s="503"/>
      <c r="BV230" s="503"/>
      <c r="BW230" s="503"/>
      <c r="BX230" s="503"/>
      <c r="BY230" s="503"/>
      <c r="BZ230" s="503"/>
      <c r="CA230" s="503"/>
      <c r="CB230" s="503"/>
      <c r="CC230" s="503"/>
      <c r="CD230" s="503"/>
      <c r="CE230" s="503"/>
      <c r="CH230" s="503"/>
      <c r="CI230" s="503"/>
      <c r="CJ230" s="503"/>
      <c r="CK230" s="503"/>
      <c r="CL230" s="503"/>
      <c r="CM230" s="503"/>
      <c r="CN230" s="503"/>
      <c r="CO230" s="503"/>
      <c r="CP230" s="503"/>
      <c r="CQ230" s="503"/>
      <c r="CR230" s="503"/>
      <c r="CS230" s="503"/>
      <c r="CT230" s="503"/>
    </row>
    <row r="231" spans="1:98" ht="13.5" customHeight="1">
      <c r="A231" s="1313"/>
      <c r="B231" s="1313"/>
      <c r="C231" s="1266" t="s">
        <v>646</v>
      </c>
      <c r="D231" s="1267"/>
      <c r="E231" s="1267"/>
      <c r="F231" s="1267"/>
      <c r="G231" s="1267"/>
      <c r="H231" s="1267"/>
      <c r="I231" s="1267"/>
      <c r="J231" s="1267"/>
      <c r="K231" s="1267"/>
      <c r="L231" s="1267"/>
      <c r="M231" s="1267"/>
      <c r="N231" s="1267"/>
      <c r="O231" s="1267"/>
      <c r="P231" s="1268"/>
      <c r="Q231" s="1269"/>
      <c r="R231" s="1270"/>
      <c r="S231" s="1269"/>
      <c r="T231" s="1270"/>
      <c r="U231" s="1269"/>
      <c r="V231" s="1270"/>
      <c r="W231" s="1269"/>
      <c r="X231" s="1270"/>
      <c r="Y231" s="1269"/>
      <c r="Z231" s="1270"/>
      <c r="AA231" s="1269"/>
      <c r="AB231" s="1270"/>
      <c r="AC231" s="500"/>
      <c r="AD231" s="500"/>
      <c r="AE231" s="500" t="s">
        <v>831</v>
      </c>
      <c r="AF231" s="500"/>
      <c r="AG231" s="503"/>
      <c r="AH231" s="503"/>
      <c r="AI231" s="503"/>
      <c r="AJ231" s="503"/>
      <c r="AK231" s="503"/>
      <c r="AL231" s="503"/>
      <c r="AM231" s="503"/>
      <c r="AN231" s="503"/>
      <c r="AO231" s="503"/>
      <c r="AP231" s="503"/>
      <c r="AQ231" s="503"/>
      <c r="AR231" s="503"/>
      <c r="AS231" s="503"/>
      <c r="AT231" s="503"/>
      <c r="AU231" s="503"/>
      <c r="AV231" s="503"/>
      <c r="AW231" s="503"/>
      <c r="AX231" s="503"/>
      <c r="BA231" s="503"/>
      <c r="BB231" s="503"/>
      <c r="BC231" s="503"/>
      <c r="BD231" s="503"/>
      <c r="BE231" s="503"/>
      <c r="BF231" s="503"/>
      <c r="BG231" s="503"/>
      <c r="BH231" s="503"/>
      <c r="BI231" s="503"/>
      <c r="BJ231" s="503"/>
      <c r="BM231" s="503"/>
      <c r="BN231" s="503"/>
      <c r="BO231" s="503"/>
      <c r="BP231" s="503"/>
      <c r="BS231" s="503"/>
      <c r="BT231" s="503"/>
      <c r="BU231" s="503"/>
      <c r="BV231" s="503"/>
      <c r="BW231" s="503"/>
      <c r="BX231" s="503"/>
      <c r="BY231" s="503"/>
      <c r="BZ231" s="503"/>
      <c r="CA231" s="503"/>
      <c r="CB231" s="503"/>
      <c r="CC231" s="503"/>
      <c r="CD231" s="503"/>
      <c r="CE231" s="503"/>
      <c r="CH231" s="503"/>
      <c r="CI231" s="503"/>
      <c r="CJ231" s="503"/>
      <c r="CK231" s="503"/>
      <c r="CL231" s="503"/>
      <c r="CM231" s="503"/>
      <c r="CN231" s="503"/>
      <c r="CO231" s="503"/>
      <c r="CP231" s="503"/>
      <c r="CQ231" s="503"/>
      <c r="CR231" s="503"/>
      <c r="CS231" s="503"/>
      <c r="CT231" s="503"/>
    </row>
    <row r="232" spans="1:98" ht="13.5" customHeight="1">
      <c r="A232" s="1313"/>
      <c r="B232" s="1313"/>
      <c r="C232" s="1271" t="s">
        <v>589</v>
      </c>
      <c r="D232" s="1272"/>
      <c r="E232" s="1272"/>
      <c r="F232" s="1272"/>
      <c r="G232" s="1272"/>
      <c r="H232" s="1272"/>
      <c r="I232" s="1272"/>
      <c r="J232" s="1272"/>
      <c r="K232" s="1272"/>
      <c r="L232" s="1272"/>
      <c r="M232" s="1272"/>
      <c r="N232" s="1272"/>
      <c r="O232" s="1272"/>
      <c r="P232" s="1273"/>
      <c r="Q232" s="1264"/>
      <c r="R232" s="1265"/>
      <c r="S232" s="1264"/>
      <c r="T232" s="1265"/>
      <c r="U232" s="1264"/>
      <c r="V232" s="1265"/>
      <c r="W232" s="1302"/>
      <c r="X232" s="1303"/>
      <c r="Y232" s="1303"/>
      <c r="Z232" s="1303"/>
      <c r="AA232" s="1303"/>
      <c r="AB232" s="1304"/>
      <c r="AC232" s="500"/>
      <c r="AD232" s="500"/>
      <c r="AE232" s="500"/>
      <c r="AF232" s="500"/>
      <c r="AG232" s="503" t="s">
        <v>575</v>
      </c>
      <c r="AH232" s="503"/>
      <c r="AI232" s="503"/>
      <c r="AJ232" s="503"/>
      <c r="AK232" s="503"/>
      <c r="AL232" s="503"/>
      <c r="AM232" s="503"/>
      <c r="AN232" s="503"/>
      <c r="AO232" s="503"/>
      <c r="AP232" s="503"/>
      <c r="AQ232" s="503"/>
      <c r="AR232" s="503"/>
      <c r="AS232" s="503"/>
      <c r="AT232" s="503"/>
      <c r="AU232" s="503"/>
      <c r="AV232" s="503"/>
      <c r="AW232" s="503"/>
      <c r="AX232" s="503"/>
      <c r="BA232" s="503"/>
      <c r="BB232" s="503"/>
      <c r="BC232" s="503"/>
      <c r="BD232" s="503"/>
      <c r="BE232" s="503"/>
      <c r="BF232" s="503"/>
      <c r="BG232" s="503"/>
      <c r="BH232" s="503"/>
      <c r="BI232" s="503"/>
      <c r="BJ232" s="503"/>
      <c r="BM232" s="503"/>
      <c r="BN232" s="503"/>
      <c r="BO232" s="503"/>
      <c r="BP232" s="503"/>
      <c r="BS232" s="503"/>
      <c r="BT232" s="503"/>
      <c r="BU232" s="503"/>
      <c r="BV232" s="503"/>
      <c r="BW232" s="503"/>
      <c r="BX232" s="503"/>
      <c r="BY232" s="503"/>
      <c r="BZ232" s="503"/>
      <c r="CA232" s="503"/>
      <c r="CB232" s="503"/>
      <c r="CC232" s="503"/>
      <c r="CD232" s="503"/>
      <c r="CE232" s="503"/>
      <c r="CH232" s="503"/>
      <c r="CI232" s="503"/>
      <c r="CJ232" s="503"/>
      <c r="CK232" s="503"/>
      <c r="CL232" s="503"/>
      <c r="CM232" s="503"/>
      <c r="CN232" s="503"/>
      <c r="CO232" s="503"/>
      <c r="CP232" s="503"/>
      <c r="CQ232" s="503"/>
      <c r="CR232" s="503"/>
      <c r="CS232" s="503"/>
      <c r="CT232" s="503"/>
    </row>
    <row r="233" spans="1:98" ht="13.5" customHeight="1">
      <c r="A233" s="1314"/>
      <c r="B233" s="1314"/>
      <c r="C233" s="1266" t="s">
        <v>647</v>
      </c>
      <c r="D233" s="1267"/>
      <c r="E233" s="1267"/>
      <c r="F233" s="1267"/>
      <c r="G233" s="1267"/>
      <c r="H233" s="1267"/>
      <c r="I233" s="1267"/>
      <c r="J233" s="1267"/>
      <c r="K233" s="1267"/>
      <c r="L233" s="1267"/>
      <c r="M233" s="1267"/>
      <c r="N233" s="1267"/>
      <c r="O233" s="1267"/>
      <c r="P233" s="1268"/>
      <c r="Q233" s="1269"/>
      <c r="R233" s="1270"/>
      <c r="S233" s="1269"/>
      <c r="T233" s="1270"/>
      <c r="U233" s="1269"/>
      <c r="V233" s="1270"/>
      <c r="W233" s="1305"/>
      <c r="X233" s="1306"/>
      <c r="Y233" s="1306"/>
      <c r="Z233" s="1306"/>
      <c r="AA233" s="1306"/>
      <c r="AB233" s="1307"/>
      <c r="AC233" s="500"/>
      <c r="AD233" s="500"/>
      <c r="AE233" s="500"/>
      <c r="AF233" s="500"/>
      <c r="AG233" s="503"/>
      <c r="AH233" s="503"/>
      <c r="AI233" s="503"/>
      <c r="AJ233" s="503"/>
    </row>
  </sheetData>
  <mergeCells count="2517">
    <mergeCell ref="AC155:AF155"/>
    <mergeCell ref="AC156:AF156"/>
    <mergeCell ref="AC157:AF157"/>
    <mergeCell ref="AC158:AF158"/>
    <mergeCell ref="AC159:AF159"/>
    <mergeCell ref="AC160:AF160"/>
    <mergeCell ref="AC137:AF137"/>
    <mergeCell ref="AC138:AF138"/>
    <mergeCell ref="AC139:AF139"/>
    <mergeCell ref="AC140:AF140"/>
    <mergeCell ref="AC141:AF141"/>
    <mergeCell ref="AC142:AF142"/>
    <mergeCell ref="AC143:AF143"/>
    <mergeCell ref="AC144:AF144"/>
    <mergeCell ref="AC145:AF145"/>
    <mergeCell ref="AC146:AF146"/>
    <mergeCell ref="AC147:AF147"/>
    <mergeCell ref="AC148:AF148"/>
    <mergeCell ref="AC149:AF149"/>
    <mergeCell ref="AC150:AF150"/>
    <mergeCell ref="AC151:AF151"/>
    <mergeCell ref="AC152:AF152"/>
    <mergeCell ref="AC153:AF153"/>
    <mergeCell ref="AC117:AF117"/>
    <mergeCell ref="AC118:AF118"/>
    <mergeCell ref="AC119:AF119"/>
    <mergeCell ref="AC120:AF120"/>
    <mergeCell ref="AC121:AF121"/>
    <mergeCell ref="AC122:AF122"/>
    <mergeCell ref="AC123:AF123"/>
    <mergeCell ref="AC124:AF124"/>
    <mergeCell ref="AC125:AF125"/>
    <mergeCell ref="AC126:AF126"/>
    <mergeCell ref="AC127:AF127"/>
    <mergeCell ref="AC128:AF128"/>
    <mergeCell ref="AC129:AF129"/>
    <mergeCell ref="AC130:AF130"/>
    <mergeCell ref="AC131:AF131"/>
    <mergeCell ref="AC132:AF132"/>
    <mergeCell ref="AC154:AF154"/>
    <mergeCell ref="AC73:AF73"/>
    <mergeCell ref="AC74:AF74"/>
    <mergeCell ref="AC75:AF75"/>
    <mergeCell ref="AC76:AF76"/>
    <mergeCell ref="AC77:AF77"/>
    <mergeCell ref="AC78:AF78"/>
    <mergeCell ref="AC79:AF79"/>
    <mergeCell ref="AC80:AF80"/>
    <mergeCell ref="AC81:AF81"/>
    <mergeCell ref="AC82:AF82"/>
    <mergeCell ref="AC83:AF83"/>
    <mergeCell ref="AC84:AF84"/>
    <mergeCell ref="AC85:AF85"/>
    <mergeCell ref="AC99:AF99"/>
    <mergeCell ref="AC100:AF100"/>
    <mergeCell ref="AC101:AF101"/>
    <mergeCell ref="AC102:AF102"/>
    <mergeCell ref="AC47:AF47"/>
    <mergeCell ref="AC48:AF48"/>
    <mergeCell ref="AC49:AF49"/>
    <mergeCell ref="AC50:AF50"/>
    <mergeCell ref="AC51:AF51"/>
    <mergeCell ref="AC52:AF52"/>
    <mergeCell ref="AC53:AF53"/>
    <mergeCell ref="AC54:AF54"/>
    <mergeCell ref="AC55:AF55"/>
    <mergeCell ref="AC56:AF56"/>
    <mergeCell ref="AC57:AF57"/>
    <mergeCell ref="AC58:AF58"/>
    <mergeCell ref="AC59:AF59"/>
    <mergeCell ref="AC60:AF60"/>
    <mergeCell ref="AC69:AF69"/>
    <mergeCell ref="AC70:AF70"/>
    <mergeCell ref="AC71:AF71"/>
    <mergeCell ref="AC30:AF30"/>
    <mergeCell ref="AC31:AF31"/>
    <mergeCell ref="AC32:AF32"/>
    <mergeCell ref="AC33:AF33"/>
    <mergeCell ref="AC34:AF34"/>
    <mergeCell ref="AC35:AF35"/>
    <mergeCell ref="AC36:AF36"/>
    <mergeCell ref="AC37:AF37"/>
    <mergeCell ref="AC38:AF38"/>
    <mergeCell ref="AC39:AF39"/>
    <mergeCell ref="AC40:AF40"/>
    <mergeCell ref="AC41:AF41"/>
    <mergeCell ref="AC42:AF42"/>
    <mergeCell ref="AC43:AF43"/>
    <mergeCell ref="AC44:AF44"/>
    <mergeCell ref="AC45:AF45"/>
    <mergeCell ref="AC46:AF46"/>
    <mergeCell ref="AA148:AB148"/>
    <mergeCell ref="AA149:AB149"/>
    <mergeCell ref="AA150:AB150"/>
    <mergeCell ref="AA151:AB151"/>
    <mergeCell ref="AA152:AB152"/>
    <mergeCell ref="AA153:AB153"/>
    <mergeCell ref="AA154:AB154"/>
    <mergeCell ref="AA155:AB155"/>
    <mergeCell ref="AA156:AB156"/>
    <mergeCell ref="AA157:AB157"/>
    <mergeCell ref="AA158:AB158"/>
    <mergeCell ref="AA159:AB159"/>
    <mergeCell ref="AA160:AB160"/>
    <mergeCell ref="AC11:AF11"/>
    <mergeCell ref="AC12:AF12"/>
    <mergeCell ref="AC13:AF13"/>
    <mergeCell ref="AC14:AF14"/>
    <mergeCell ref="AC15:AF15"/>
    <mergeCell ref="AC16:AF16"/>
    <mergeCell ref="AC17:AF17"/>
    <mergeCell ref="AC18:AF18"/>
    <mergeCell ref="AC19:AF19"/>
    <mergeCell ref="AC20:AF20"/>
    <mergeCell ref="AC21:AF21"/>
    <mergeCell ref="AC22:AF22"/>
    <mergeCell ref="AC23:AF23"/>
    <mergeCell ref="AC24:AF24"/>
    <mergeCell ref="AC25:AF25"/>
    <mergeCell ref="AC26:AF26"/>
    <mergeCell ref="AC27:AF27"/>
    <mergeCell ref="AC28:AF28"/>
    <mergeCell ref="AC29:AF29"/>
    <mergeCell ref="AA121:AB121"/>
    <mergeCell ref="AA122:AB122"/>
    <mergeCell ref="AA123:AB123"/>
    <mergeCell ref="AA124:AB124"/>
    <mergeCell ref="AA125:AB125"/>
    <mergeCell ref="AA126:AB126"/>
    <mergeCell ref="AA127:AB127"/>
    <mergeCell ref="AA128:AB128"/>
    <mergeCell ref="AA129:AB129"/>
    <mergeCell ref="AA130:AB130"/>
    <mergeCell ref="AA131:AB131"/>
    <mergeCell ref="AA132:AB132"/>
    <mergeCell ref="AA133:AB133"/>
    <mergeCell ref="AA134:AB134"/>
    <mergeCell ref="AA145:AB145"/>
    <mergeCell ref="AA146:AB146"/>
    <mergeCell ref="AA147:AB147"/>
    <mergeCell ref="AA65:AB65"/>
    <mergeCell ref="AA66:AB66"/>
    <mergeCell ref="AA84:AB84"/>
    <mergeCell ref="AA85:AB85"/>
    <mergeCell ref="AA86:AB86"/>
    <mergeCell ref="AA87:AB87"/>
    <mergeCell ref="AA88:AB88"/>
    <mergeCell ref="AA89:AB89"/>
    <mergeCell ref="AA90:AB90"/>
    <mergeCell ref="AA91:AB91"/>
    <mergeCell ref="AA92:AB92"/>
    <mergeCell ref="AA93:AB93"/>
    <mergeCell ref="AA94:AB94"/>
    <mergeCell ref="AA95:AB95"/>
    <mergeCell ref="AA96:AB96"/>
    <mergeCell ref="AA97:AB97"/>
    <mergeCell ref="AA98:AB98"/>
    <mergeCell ref="AA70:AB70"/>
    <mergeCell ref="AA71:AB71"/>
    <mergeCell ref="AA72:AB72"/>
    <mergeCell ref="AA73:AB73"/>
    <mergeCell ref="AA74:AB74"/>
    <mergeCell ref="AA75:AB75"/>
    <mergeCell ref="AA76:AB76"/>
    <mergeCell ref="AA77:AB77"/>
    <mergeCell ref="AA78:AB78"/>
    <mergeCell ref="AA79:AB79"/>
    <mergeCell ref="AA80:AB80"/>
    <mergeCell ref="AA81:AB81"/>
    <mergeCell ref="AA82:AB82"/>
    <mergeCell ref="AA83:AB83"/>
    <mergeCell ref="AA7:AB10"/>
    <mergeCell ref="AA11:AB11"/>
    <mergeCell ref="AA12:AB12"/>
    <mergeCell ref="AA13:AB13"/>
    <mergeCell ref="AA14:AB14"/>
    <mergeCell ref="AA15:AB15"/>
    <mergeCell ref="AA16:AB16"/>
    <mergeCell ref="AA17:AB17"/>
    <mergeCell ref="AA18:AB18"/>
    <mergeCell ref="AA19:AB19"/>
    <mergeCell ref="AA20:AB20"/>
    <mergeCell ref="AA21:AB21"/>
    <mergeCell ref="AA22:AB22"/>
    <mergeCell ref="AA23:AB23"/>
    <mergeCell ref="AA24:AB24"/>
    <mergeCell ref="AA25:AB25"/>
    <mergeCell ref="AA26:AB26"/>
    <mergeCell ref="U97:V97"/>
    <mergeCell ref="W97:X97"/>
    <mergeCell ref="Y97:Z97"/>
    <mergeCell ref="A98:B98"/>
    <mergeCell ref="C98:E98"/>
    <mergeCell ref="F98:H98"/>
    <mergeCell ref="I98:J98"/>
    <mergeCell ref="K98:L98"/>
    <mergeCell ref="M98:N98"/>
    <mergeCell ref="O98:P98"/>
    <mergeCell ref="Q98:R98"/>
    <mergeCell ref="S98:T98"/>
    <mergeCell ref="U98:V98"/>
    <mergeCell ref="W98:X98"/>
    <mergeCell ref="Y98:Z98"/>
    <mergeCell ref="A97:B97"/>
    <mergeCell ref="C97:E97"/>
    <mergeCell ref="F97:H97"/>
    <mergeCell ref="I97:J97"/>
    <mergeCell ref="K97:L97"/>
    <mergeCell ref="M97:N97"/>
    <mergeCell ref="O97:P97"/>
    <mergeCell ref="Q97:R97"/>
    <mergeCell ref="S97:T97"/>
    <mergeCell ref="U95:V95"/>
    <mergeCell ref="W95:X95"/>
    <mergeCell ref="Y95:Z95"/>
    <mergeCell ref="A96:B96"/>
    <mergeCell ref="C96:E96"/>
    <mergeCell ref="F96:H96"/>
    <mergeCell ref="I96:J96"/>
    <mergeCell ref="K96:L96"/>
    <mergeCell ref="M96:N96"/>
    <mergeCell ref="O96:P96"/>
    <mergeCell ref="Q96:R96"/>
    <mergeCell ref="S96:T96"/>
    <mergeCell ref="U96:V96"/>
    <mergeCell ref="W96:X96"/>
    <mergeCell ref="Y96:Z96"/>
    <mergeCell ref="A95:B95"/>
    <mergeCell ref="C95:E95"/>
    <mergeCell ref="F95:H95"/>
    <mergeCell ref="I95:J95"/>
    <mergeCell ref="K95:L95"/>
    <mergeCell ref="M95:N95"/>
    <mergeCell ref="O95:P95"/>
    <mergeCell ref="Q95:R95"/>
    <mergeCell ref="S95:T95"/>
    <mergeCell ref="U93:V93"/>
    <mergeCell ref="W93:X93"/>
    <mergeCell ref="Y93:Z93"/>
    <mergeCell ref="A94:B94"/>
    <mergeCell ref="C94:E94"/>
    <mergeCell ref="F94:H94"/>
    <mergeCell ref="I94:J94"/>
    <mergeCell ref="K94:L94"/>
    <mergeCell ref="M94:N94"/>
    <mergeCell ref="O94:P94"/>
    <mergeCell ref="Q94:R94"/>
    <mergeCell ref="S94:T94"/>
    <mergeCell ref="U94:V94"/>
    <mergeCell ref="W94:X94"/>
    <mergeCell ref="Y94:Z94"/>
    <mergeCell ref="A93:B93"/>
    <mergeCell ref="C93:E93"/>
    <mergeCell ref="F93:H93"/>
    <mergeCell ref="I93:J93"/>
    <mergeCell ref="K93:L93"/>
    <mergeCell ref="M93:N93"/>
    <mergeCell ref="O93:P93"/>
    <mergeCell ref="Q93:R93"/>
    <mergeCell ref="S93:T93"/>
    <mergeCell ref="U91:V91"/>
    <mergeCell ref="W91:X91"/>
    <mergeCell ref="Y91:Z91"/>
    <mergeCell ref="A92:B92"/>
    <mergeCell ref="C92:E92"/>
    <mergeCell ref="F92:H92"/>
    <mergeCell ref="I92:J92"/>
    <mergeCell ref="K92:L92"/>
    <mergeCell ref="M92:N92"/>
    <mergeCell ref="O92:P92"/>
    <mergeCell ref="Q92:R92"/>
    <mergeCell ref="S92:T92"/>
    <mergeCell ref="U92:V92"/>
    <mergeCell ref="W92:X92"/>
    <mergeCell ref="Y92:Z92"/>
    <mergeCell ref="A91:B91"/>
    <mergeCell ref="C91:E91"/>
    <mergeCell ref="F91:H91"/>
    <mergeCell ref="I91:J91"/>
    <mergeCell ref="K91:L91"/>
    <mergeCell ref="M91:N91"/>
    <mergeCell ref="O91:P91"/>
    <mergeCell ref="Q91:R91"/>
    <mergeCell ref="S91:T91"/>
    <mergeCell ref="U89:V89"/>
    <mergeCell ref="W89:X89"/>
    <mergeCell ref="Y89:Z89"/>
    <mergeCell ref="A90:B90"/>
    <mergeCell ref="C90:E90"/>
    <mergeCell ref="F90:H90"/>
    <mergeCell ref="I90:J90"/>
    <mergeCell ref="K90:L90"/>
    <mergeCell ref="M90:N90"/>
    <mergeCell ref="O90:P90"/>
    <mergeCell ref="Q90:R90"/>
    <mergeCell ref="S90:T90"/>
    <mergeCell ref="U90:V90"/>
    <mergeCell ref="W90:X90"/>
    <mergeCell ref="Y90:Z90"/>
    <mergeCell ref="A89:B89"/>
    <mergeCell ref="C89:E89"/>
    <mergeCell ref="F89:H89"/>
    <mergeCell ref="I89:J89"/>
    <mergeCell ref="K89:L89"/>
    <mergeCell ref="M89:N89"/>
    <mergeCell ref="O89:P89"/>
    <mergeCell ref="Q89:R89"/>
    <mergeCell ref="S89:T89"/>
    <mergeCell ref="U87:V87"/>
    <mergeCell ref="W87:X87"/>
    <mergeCell ref="Y87:Z87"/>
    <mergeCell ref="A88:B88"/>
    <mergeCell ref="C88:E88"/>
    <mergeCell ref="F88:H88"/>
    <mergeCell ref="I88:J88"/>
    <mergeCell ref="K88:L88"/>
    <mergeCell ref="M88:N88"/>
    <mergeCell ref="O88:P88"/>
    <mergeCell ref="Q88:R88"/>
    <mergeCell ref="S88:T88"/>
    <mergeCell ref="U88:V88"/>
    <mergeCell ref="W88:X88"/>
    <mergeCell ref="Y88:Z88"/>
    <mergeCell ref="A87:B87"/>
    <mergeCell ref="C87:E87"/>
    <mergeCell ref="F87:H87"/>
    <mergeCell ref="I87:J87"/>
    <mergeCell ref="K87:L87"/>
    <mergeCell ref="M87:N87"/>
    <mergeCell ref="O87:P87"/>
    <mergeCell ref="Q87:R87"/>
    <mergeCell ref="S87:T87"/>
    <mergeCell ref="U85:V85"/>
    <mergeCell ref="W85:X85"/>
    <mergeCell ref="Y85:Z85"/>
    <mergeCell ref="A86:B86"/>
    <mergeCell ref="C86:E86"/>
    <mergeCell ref="F86:H86"/>
    <mergeCell ref="I86:J86"/>
    <mergeCell ref="K86:L86"/>
    <mergeCell ref="M86:N86"/>
    <mergeCell ref="O86:P86"/>
    <mergeCell ref="Q86:R86"/>
    <mergeCell ref="S86:T86"/>
    <mergeCell ref="U86:V86"/>
    <mergeCell ref="W86:X86"/>
    <mergeCell ref="Y86:Z86"/>
    <mergeCell ref="A85:B85"/>
    <mergeCell ref="C85:E85"/>
    <mergeCell ref="F85:H85"/>
    <mergeCell ref="I85:J85"/>
    <mergeCell ref="K85:L85"/>
    <mergeCell ref="M85:N85"/>
    <mergeCell ref="O85:P85"/>
    <mergeCell ref="Q85:R85"/>
    <mergeCell ref="S85:T85"/>
    <mergeCell ref="U83:V83"/>
    <mergeCell ref="W83:X83"/>
    <mergeCell ref="Y83:Z83"/>
    <mergeCell ref="A84:B84"/>
    <mergeCell ref="C84:E84"/>
    <mergeCell ref="F84:H84"/>
    <mergeCell ref="I84:J84"/>
    <mergeCell ref="K84:L84"/>
    <mergeCell ref="M84:N84"/>
    <mergeCell ref="O84:P84"/>
    <mergeCell ref="Q84:R84"/>
    <mergeCell ref="S84:T84"/>
    <mergeCell ref="U84:V84"/>
    <mergeCell ref="W84:X84"/>
    <mergeCell ref="Y84:Z84"/>
    <mergeCell ref="A83:B83"/>
    <mergeCell ref="C83:E83"/>
    <mergeCell ref="F83:H83"/>
    <mergeCell ref="I83:J83"/>
    <mergeCell ref="K83:L83"/>
    <mergeCell ref="M83:N83"/>
    <mergeCell ref="O83:P83"/>
    <mergeCell ref="Q83:R83"/>
    <mergeCell ref="S83:T83"/>
    <mergeCell ref="U81:V81"/>
    <mergeCell ref="W81:X81"/>
    <mergeCell ref="Y81:Z81"/>
    <mergeCell ref="A82:B82"/>
    <mergeCell ref="C82:E82"/>
    <mergeCell ref="F82:H82"/>
    <mergeCell ref="I82:J82"/>
    <mergeCell ref="K82:L82"/>
    <mergeCell ref="M82:N82"/>
    <mergeCell ref="O82:P82"/>
    <mergeCell ref="Q82:R82"/>
    <mergeCell ref="S82:T82"/>
    <mergeCell ref="U82:V82"/>
    <mergeCell ref="W82:X82"/>
    <mergeCell ref="Y82:Z82"/>
    <mergeCell ref="A81:B81"/>
    <mergeCell ref="C81:E81"/>
    <mergeCell ref="F81:H81"/>
    <mergeCell ref="I81:J81"/>
    <mergeCell ref="K81:L81"/>
    <mergeCell ref="M81:N81"/>
    <mergeCell ref="O81:P81"/>
    <mergeCell ref="Q81:R81"/>
    <mergeCell ref="S81:T81"/>
    <mergeCell ref="U79:V79"/>
    <mergeCell ref="W79:X79"/>
    <mergeCell ref="Y79:Z79"/>
    <mergeCell ref="A80:B80"/>
    <mergeCell ref="C80:E80"/>
    <mergeCell ref="F80:H80"/>
    <mergeCell ref="I80:J80"/>
    <mergeCell ref="K80:L80"/>
    <mergeCell ref="M80:N80"/>
    <mergeCell ref="O80:P80"/>
    <mergeCell ref="Q80:R80"/>
    <mergeCell ref="S80:T80"/>
    <mergeCell ref="U80:V80"/>
    <mergeCell ref="W80:X80"/>
    <mergeCell ref="Y80:Z80"/>
    <mergeCell ref="A79:B79"/>
    <mergeCell ref="C79:E79"/>
    <mergeCell ref="F79:H79"/>
    <mergeCell ref="I79:J79"/>
    <mergeCell ref="K79:L79"/>
    <mergeCell ref="M79:N79"/>
    <mergeCell ref="O79:P79"/>
    <mergeCell ref="Q79:R79"/>
    <mergeCell ref="S79:T79"/>
    <mergeCell ref="U77:V77"/>
    <mergeCell ref="W77:X77"/>
    <mergeCell ref="Y77:Z77"/>
    <mergeCell ref="A78:B78"/>
    <mergeCell ref="C78:E78"/>
    <mergeCell ref="F78:H78"/>
    <mergeCell ref="I78:J78"/>
    <mergeCell ref="K78:L78"/>
    <mergeCell ref="M78:N78"/>
    <mergeCell ref="O78:P78"/>
    <mergeCell ref="Q78:R78"/>
    <mergeCell ref="S78:T78"/>
    <mergeCell ref="U78:V78"/>
    <mergeCell ref="W78:X78"/>
    <mergeCell ref="Y78:Z78"/>
    <mergeCell ref="A77:B77"/>
    <mergeCell ref="C77:E77"/>
    <mergeCell ref="F77:H77"/>
    <mergeCell ref="I77:J77"/>
    <mergeCell ref="K77:L77"/>
    <mergeCell ref="M77:N77"/>
    <mergeCell ref="O77:P77"/>
    <mergeCell ref="Q77:R77"/>
    <mergeCell ref="S77:T77"/>
    <mergeCell ref="U75:V75"/>
    <mergeCell ref="W75:X75"/>
    <mergeCell ref="Y75:Z75"/>
    <mergeCell ref="A76:B76"/>
    <mergeCell ref="C76:E76"/>
    <mergeCell ref="F76:H76"/>
    <mergeCell ref="I76:J76"/>
    <mergeCell ref="K76:L76"/>
    <mergeCell ref="M76:N76"/>
    <mergeCell ref="O76:P76"/>
    <mergeCell ref="Q76:R76"/>
    <mergeCell ref="S76:T76"/>
    <mergeCell ref="U76:V76"/>
    <mergeCell ref="W76:X76"/>
    <mergeCell ref="Y76:Z76"/>
    <mergeCell ref="A75:B75"/>
    <mergeCell ref="C75:E75"/>
    <mergeCell ref="F75:H75"/>
    <mergeCell ref="I75:J75"/>
    <mergeCell ref="K75:L75"/>
    <mergeCell ref="M75:N75"/>
    <mergeCell ref="O75:P75"/>
    <mergeCell ref="Q75:R75"/>
    <mergeCell ref="S75:T75"/>
    <mergeCell ref="U73:V73"/>
    <mergeCell ref="W73:X73"/>
    <mergeCell ref="Y73:Z73"/>
    <mergeCell ref="A74:B74"/>
    <mergeCell ref="C74:E74"/>
    <mergeCell ref="F74:H74"/>
    <mergeCell ref="I74:J74"/>
    <mergeCell ref="K74:L74"/>
    <mergeCell ref="M74:N74"/>
    <mergeCell ref="O74:P74"/>
    <mergeCell ref="Q74:R74"/>
    <mergeCell ref="S74:T74"/>
    <mergeCell ref="U74:V74"/>
    <mergeCell ref="W74:X74"/>
    <mergeCell ref="Y74:Z74"/>
    <mergeCell ref="A73:B73"/>
    <mergeCell ref="C73:E73"/>
    <mergeCell ref="F73:H73"/>
    <mergeCell ref="I73:J73"/>
    <mergeCell ref="K73:L73"/>
    <mergeCell ref="M73:N73"/>
    <mergeCell ref="O73:P73"/>
    <mergeCell ref="Q73:R73"/>
    <mergeCell ref="S73:T73"/>
    <mergeCell ref="U71:V71"/>
    <mergeCell ref="W71:X71"/>
    <mergeCell ref="Y71:Z71"/>
    <mergeCell ref="A72:B72"/>
    <mergeCell ref="C72:E72"/>
    <mergeCell ref="F72:H72"/>
    <mergeCell ref="I72:J72"/>
    <mergeCell ref="K72:L72"/>
    <mergeCell ref="M72:N72"/>
    <mergeCell ref="O72:P72"/>
    <mergeCell ref="Q72:R72"/>
    <mergeCell ref="S72:T72"/>
    <mergeCell ref="U72:V72"/>
    <mergeCell ref="W72:X72"/>
    <mergeCell ref="Y72:Z72"/>
    <mergeCell ref="A71:B71"/>
    <mergeCell ref="C71:E71"/>
    <mergeCell ref="F71:H71"/>
    <mergeCell ref="I71:J71"/>
    <mergeCell ref="K71:L71"/>
    <mergeCell ref="M71:N71"/>
    <mergeCell ref="O71:P71"/>
    <mergeCell ref="Q71:R71"/>
    <mergeCell ref="S71:T71"/>
    <mergeCell ref="U69:V69"/>
    <mergeCell ref="W69:X69"/>
    <mergeCell ref="Y69:Z69"/>
    <mergeCell ref="A70:B70"/>
    <mergeCell ref="C70:E70"/>
    <mergeCell ref="F70:H70"/>
    <mergeCell ref="I70:J70"/>
    <mergeCell ref="K70:L70"/>
    <mergeCell ref="M70:N70"/>
    <mergeCell ref="O70:P70"/>
    <mergeCell ref="Q70:R70"/>
    <mergeCell ref="S70:T70"/>
    <mergeCell ref="U70:V70"/>
    <mergeCell ref="W70:X70"/>
    <mergeCell ref="Y70:Z70"/>
    <mergeCell ref="A69:B69"/>
    <mergeCell ref="C69:E69"/>
    <mergeCell ref="F69:H69"/>
    <mergeCell ref="I69:J69"/>
    <mergeCell ref="K69:L69"/>
    <mergeCell ref="M69:N69"/>
    <mergeCell ref="O69:P69"/>
    <mergeCell ref="Q69:R69"/>
    <mergeCell ref="S69:T69"/>
    <mergeCell ref="U67:V67"/>
    <mergeCell ref="W67:X67"/>
    <mergeCell ref="Y67:Z67"/>
    <mergeCell ref="A68:B68"/>
    <mergeCell ref="C68:E68"/>
    <mergeCell ref="F68:H68"/>
    <mergeCell ref="I68:J68"/>
    <mergeCell ref="K68:L68"/>
    <mergeCell ref="M68:N68"/>
    <mergeCell ref="O68:P68"/>
    <mergeCell ref="Q68:R68"/>
    <mergeCell ref="S68:T68"/>
    <mergeCell ref="U68:V68"/>
    <mergeCell ref="W68:X68"/>
    <mergeCell ref="Y68:Z68"/>
    <mergeCell ref="A67:B67"/>
    <mergeCell ref="C67:E67"/>
    <mergeCell ref="F67:H67"/>
    <mergeCell ref="I67:J67"/>
    <mergeCell ref="K67:L67"/>
    <mergeCell ref="M67:N67"/>
    <mergeCell ref="O67:P67"/>
    <mergeCell ref="Q67:R67"/>
    <mergeCell ref="S67:T67"/>
    <mergeCell ref="U65:V65"/>
    <mergeCell ref="W65:X65"/>
    <mergeCell ref="Y65:Z65"/>
    <mergeCell ref="A66:B66"/>
    <mergeCell ref="C66:E66"/>
    <mergeCell ref="F66:H66"/>
    <mergeCell ref="I66:J66"/>
    <mergeCell ref="K66:L66"/>
    <mergeCell ref="M66:N66"/>
    <mergeCell ref="O66:P66"/>
    <mergeCell ref="Q66:R66"/>
    <mergeCell ref="S66:T66"/>
    <mergeCell ref="U66:V66"/>
    <mergeCell ref="W66:X66"/>
    <mergeCell ref="Y66:Z66"/>
    <mergeCell ref="A65:B65"/>
    <mergeCell ref="C65:E65"/>
    <mergeCell ref="F65:H65"/>
    <mergeCell ref="I65:J65"/>
    <mergeCell ref="K65:L65"/>
    <mergeCell ref="M65:N65"/>
    <mergeCell ref="O65:P65"/>
    <mergeCell ref="Q65:R65"/>
    <mergeCell ref="S65:T65"/>
    <mergeCell ref="U63:V63"/>
    <mergeCell ref="W63:X63"/>
    <mergeCell ref="Y63:Z63"/>
    <mergeCell ref="A64:B64"/>
    <mergeCell ref="C64:E64"/>
    <mergeCell ref="F64:H64"/>
    <mergeCell ref="I64:J64"/>
    <mergeCell ref="K64:L64"/>
    <mergeCell ref="M64:N64"/>
    <mergeCell ref="O64:P64"/>
    <mergeCell ref="Q64:R64"/>
    <mergeCell ref="S64:T64"/>
    <mergeCell ref="U64:V64"/>
    <mergeCell ref="W64:X64"/>
    <mergeCell ref="Y64:Z64"/>
    <mergeCell ref="A63:B63"/>
    <mergeCell ref="C63:E63"/>
    <mergeCell ref="F63:H63"/>
    <mergeCell ref="I63:J63"/>
    <mergeCell ref="K63:L63"/>
    <mergeCell ref="M63:N63"/>
    <mergeCell ref="O63:P63"/>
    <mergeCell ref="Q63:R63"/>
    <mergeCell ref="S63:T63"/>
    <mergeCell ref="U61:V61"/>
    <mergeCell ref="W61:X61"/>
    <mergeCell ref="Y61:Z61"/>
    <mergeCell ref="A62:B62"/>
    <mergeCell ref="C62:E62"/>
    <mergeCell ref="F62:H62"/>
    <mergeCell ref="I62:J62"/>
    <mergeCell ref="K62:L62"/>
    <mergeCell ref="M62:N62"/>
    <mergeCell ref="O62:P62"/>
    <mergeCell ref="Q62:R62"/>
    <mergeCell ref="S62:T62"/>
    <mergeCell ref="U62:V62"/>
    <mergeCell ref="W62:X62"/>
    <mergeCell ref="Y62:Z62"/>
    <mergeCell ref="A61:B61"/>
    <mergeCell ref="C61:E61"/>
    <mergeCell ref="F61:H61"/>
    <mergeCell ref="I61:J61"/>
    <mergeCell ref="K61:L61"/>
    <mergeCell ref="M61:N61"/>
    <mergeCell ref="O61:P61"/>
    <mergeCell ref="Q61:R61"/>
    <mergeCell ref="S61:T61"/>
    <mergeCell ref="U59:V59"/>
    <mergeCell ref="W59:X59"/>
    <mergeCell ref="Y59:Z59"/>
    <mergeCell ref="A60:B60"/>
    <mergeCell ref="C60:E60"/>
    <mergeCell ref="F60:H60"/>
    <mergeCell ref="I60:J60"/>
    <mergeCell ref="K60:L60"/>
    <mergeCell ref="M60:N60"/>
    <mergeCell ref="O60:P60"/>
    <mergeCell ref="Q60:R60"/>
    <mergeCell ref="S60:T60"/>
    <mergeCell ref="U60:V60"/>
    <mergeCell ref="W60:X60"/>
    <mergeCell ref="Y60:Z60"/>
    <mergeCell ref="A59:B59"/>
    <mergeCell ref="C59:E59"/>
    <mergeCell ref="F59:H59"/>
    <mergeCell ref="I59:J59"/>
    <mergeCell ref="K59:L59"/>
    <mergeCell ref="M59:N59"/>
    <mergeCell ref="O59:P59"/>
    <mergeCell ref="Q59:R59"/>
    <mergeCell ref="S59:T59"/>
    <mergeCell ref="U57:V57"/>
    <mergeCell ref="W57:X57"/>
    <mergeCell ref="Y57:Z57"/>
    <mergeCell ref="A58:B58"/>
    <mergeCell ref="C58:E58"/>
    <mergeCell ref="F58:H58"/>
    <mergeCell ref="I58:J58"/>
    <mergeCell ref="K58:L58"/>
    <mergeCell ref="M58:N58"/>
    <mergeCell ref="O58:P58"/>
    <mergeCell ref="Q58:R58"/>
    <mergeCell ref="S58:T58"/>
    <mergeCell ref="U58:V58"/>
    <mergeCell ref="W58:X58"/>
    <mergeCell ref="Y58:Z58"/>
    <mergeCell ref="A57:B57"/>
    <mergeCell ref="C57:E57"/>
    <mergeCell ref="F57:H57"/>
    <mergeCell ref="I57:J57"/>
    <mergeCell ref="K57:L57"/>
    <mergeCell ref="M57:N57"/>
    <mergeCell ref="O57:P57"/>
    <mergeCell ref="Q57:R57"/>
    <mergeCell ref="S57:T57"/>
    <mergeCell ref="U55:V55"/>
    <mergeCell ref="W55:X55"/>
    <mergeCell ref="Y55:Z55"/>
    <mergeCell ref="A56:B56"/>
    <mergeCell ref="C56:E56"/>
    <mergeCell ref="F56:H56"/>
    <mergeCell ref="I56:J56"/>
    <mergeCell ref="K56:L56"/>
    <mergeCell ref="M56:N56"/>
    <mergeCell ref="O56:P56"/>
    <mergeCell ref="Q56:R56"/>
    <mergeCell ref="S56:T56"/>
    <mergeCell ref="U56:V56"/>
    <mergeCell ref="W56:X56"/>
    <mergeCell ref="Y56:Z56"/>
    <mergeCell ref="A55:B55"/>
    <mergeCell ref="C55:E55"/>
    <mergeCell ref="F55:H55"/>
    <mergeCell ref="I55:J55"/>
    <mergeCell ref="K55:L55"/>
    <mergeCell ref="M55:N55"/>
    <mergeCell ref="O55:P55"/>
    <mergeCell ref="Q55:R55"/>
    <mergeCell ref="S55:T55"/>
    <mergeCell ref="U53:V53"/>
    <mergeCell ref="W53:X53"/>
    <mergeCell ref="Y53:Z53"/>
    <mergeCell ref="A54:B54"/>
    <mergeCell ref="C54:E54"/>
    <mergeCell ref="F54:H54"/>
    <mergeCell ref="I54:J54"/>
    <mergeCell ref="K54:L54"/>
    <mergeCell ref="M54:N54"/>
    <mergeCell ref="O54:P54"/>
    <mergeCell ref="Q54:R54"/>
    <mergeCell ref="S54:T54"/>
    <mergeCell ref="U54:V54"/>
    <mergeCell ref="W54:X54"/>
    <mergeCell ref="Y54:Z54"/>
    <mergeCell ref="A53:B53"/>
    <mergeCell ref="C53:E53"/>
    <mergeCell ref="F53:H53"/>
    <mergeCell ref="I53:J53"/>
    <mergeCell ref="K53:L53"/>
    <mergeCell ref="M53:N53"/>
    <mergeCell ref="O53:P53"/>
    <mergeCell ref="Q53:R53"/>
    <mergeCell ref="S53:T53"/>
    <mergeCell ref="U51:V51"/>
    <mergeCell ref="W51:X51"/>
    <mergeCell ref="Y51:Z51"/>
    <mergeCell ref="A52:B52"/>
    <mergeCell ref="C52:E52"/>
    <mergeCell ref="F52:H52"/>
    <mergeCell ref="I52:J52"/>
    <mergeCell ref="K52:L52"/>
    <mergeCell ref="M52:N52"/>
    <mergeCell ref="O52:P52"/>
    <mergeCell ref="Q52:R52"/>
    <mergeCell ref="S52:T52"/>
    <mergeCell ref="U52:V52"/>
    <mergeCell ref="W52:X52"/>
    <mergeCell ref="Y52:Z52"/>
    <mergeCell ref="A51:B51"/>
    <mergeCell ref="C51:E51"/>
    <mergeCell ref="F51:H51"/>
    <mergeCell ref="I51:J51"/>
    <mergeCell ref="K51:L51"/>
    <mergeCell ref="M51:N51"/>
    <mergeCell ref="O51:P51"/>
    <mergeCell ref="Q51:R51"/>
    <mergeCell ref="S51:T51"/>
    <mergeCell ref="U49:V49"/>
    <mergeCell ref="W49:X49"/>
    <mergeCell ref="Y49:Z49"/>
    <mergeCell ref="A50:B50"/>
    <mergeCell ref="C50:E50"/>
    <mergeCell ref="F50:H50"/>
    <mergeCell ref="I50:J50"/>
    <mergeCell ref="K50:L50"/>
    <mergeCell ref="M50:N50"/>
    <mergeCell ref="O50:P50"/>
    <mergeCell ref="Q50:R50"/>
    <mergeCell ref="S50:T50"/>
    <mergeCell ref="U50:V50"/>
    <mergeCell ref="W50:X50"/>
    <mergeCell ref="Y50:Z50"/>
    <mergeCell ref="A49:B49"/>
    <mergeCell ref="C49:E49"/>
    <mergeCell ref="F49:H49"/>
    <mergeCell ref="I49:J49"/>
    <mergeCell ref="K49:L49"/>
    <mergeCell ref="M49:N49"/>
    <mergeCell ref="O49:P49"/>
    <mergeCell ref="Q49:R49"/>
    <mergeCell ref="S49:T49"/>
    <mergeCell ref="U47:V47"/>
    <mergeCell ref="W47:X47"/>
    <mergeCell ref="Y47:Z47"/>
    <mergeCell ref="A48:B48"/>
    <mergeCell ref="C48:E48"/>
    <mergeCell ref="F48:H48"/>
    <mergeCell ref="I48:J48"/>
    <mergeCell ref="K48:L48"/>
    <mergeCell ref="M48:N48"/>
    <mergeCell ref="O48:P48"/>
    <mergeCell ref="Q48:R48"/>
    <mergeCell ref="S48:T48"/>
    <mergeCell ref="U48:V48"/>
    <mergeCell ref="W48:X48"/>
    <mergeCell ref="Y48:Z48"/>
    <mergeCell ref="A47:B47"/>
    <mergeCell ref="C47:E47"/>
    <mergeCell ref="F47:H47"/>
    <mergeCell ref="I47:J47"/>
    <mergeCell ref="K47:L47"/>
    <mergeCell ref="M47:N47"/>
    <mergeCell ref="O47:P47"/>
    <mergeCell ref="Q47:R47"/>
    <mergeCell ref="S47:T47"/>
    <mergeCell ref="U45:V45"/>
    <mergeCell ref="W45:X45"/>
    <mergeCell ref="Y45:Z45"/>
    <mergeCell ref="A46:B46"/>
    <mergeCell ref="C46:E46"/>
    <mergeCell ref="F46:H46"/>
    <mergeCell ref="I46:J46"/>
    <mergeCell ref="K46:L46"/>
    <mergeCell ref="M46:N46"/>
    <mergeCell ref="O46:P46"/>
    <mergeCell ref="Q46:R46"/>
    <mergeCell ref="S46:T46"/>
    <mergeCell ref="U46:V46"/>
    <mergeCell ref="W46:X46"/>
    <mergeCell ref="Y46:Z46"/>
    <mergeCell ref="A45:B45"/>
    <mergeCell ref="C45:E45"/>
    <mergeCell ref="F45:H45"/>
    <mergeCell ref="I45:J45"/>
    <mergeCell ref="K45:L45"/>
    <mergeCell ref="M45:N45"/>
    <mergeCell ref="O45:P45"/>
    <mergeCell ref="Q45:R45"/>
    <mergeCell ref="S45:T45"/>
    <mergeCell ref="U43:V43"/>
    <mergeCell ref="W43:X43"/>
    <mergeCell ref="Y43:Z43"/>
    <mergeCell ref="A44:B44"/>
    <mergeCell ref="C44:E44"/>
    <mergeCell ref="F44:H44"/>
    <mergeCell ref="I44:J44"/>
    <mergeCell ref="K44:L44"/>
    <mergeCell ref="M44:N44"/>
    <mergeCell ref="O44:P44"/>
    <mergeCell ref="Q44:R44"/>
    <mergeCell ref="S44:T44"/>
    <mergeCell ref="U44:V44"/>
    <mergeCell ref="W44:X44"/>
    <mergeCell ref="Y44:Z44"/>
    <mergeCell ref="A43:B43"/>
    <mergeCell ref="C43:E43"/>
    <mergeCell ref="F43:H43"/>
    <mergeCell ref="I43:J43"/>
    <mergeCell ref="K43:L43"/>
    <mergeCell ref="M43:N43"/>
    <mergeCell ref="O43:P43"/>
    <mergeCell ref="Q43:R43"/>
    <mergeCell ref="S43:T43"/>
    <mergeCell ref="U41:V41"/>
    <mergeCell ref="W41:X41"/>
    <mergeCell ref="Y41:Z41"/>
    <mergeCell ref="A42:B42"/>
    <mergeCell ref="C42:E42"/>
    <mergeCell ref="F42:H42"/>
    <mergeCell ref="I42:J42"/>
    <mergeCell ref="K42:L42"/>
    <mergeCell ref="M42:N42"/>
    <mergeCell ref="O42:P42"/>
    <mergeCell ref="Q42:R42"/>
    <mergeCell ref="S42:T42"/>
    <mergeCell ref="U42:V42"/>
    <mergeCell ref="W42:X42"/>
    <mergeCell ref="Y42:Z42"/>
    <mergeCell ref="A41:B41"/>
    <mergeCell ref="C41:E41"/>
    <mergeCell ref="F41:H41"/>
    <mergeCell ref="I41:J41"/>
    <mergeCell ref="K41:L41"/>
    <mergeCell ref="M41:N41"/>
    <mergeCell ref="O41:P41"/>
    <mergeCell ref="Q41:R41"/>
    <mergeCell ref="S41:T41"/>
    <mergeCell ref="U39:V39"/>
    <mergeCell ref="W39:X39"/>
    <mergeCell ref="Y39:Z39"/>
    <mergeCell ref="A40:B40"/>
    <mergeCell ref="C40:E40"/>
    <mergeCell ref="F40:H40"/>
    <mergeCell ref="I40:J40"/>
    <mergeCell ref="K40:L40"/>
    <mergeCell ref="M40:N40"/>
    <mergeCell ref="O40:P40"/>
    <mergeCell ref="Q40:R40"/>
    <mergeCell ref="S40:T40"/>
    <mergeCell ref="U40:V40"/>
    <mergeCell ref="W40:X40"/>
    <mergeCell ref="Y40:Z40"/>
    <mergeCell ref="A39:B39"/>
    <mergeCell ref="C39:E39"/>
    <mergeCell ref="F39:H39"/>
    <mergeCell ref="I39:J39"/>
    <mergeCell ref="K39:L39"/>
    <mergeCell ref="M39:N39"/>
    <mergeCell ref="O39:P39"/>
    <mergeCell ref="Q39:R39"/>
    <mergeCell ref="S39:T39"/>
    <mergeCell ref="U37:V37"/>
    <mergeCell ref="W37:X37"/>
    <mergeCell ref="Y37:Z37"/>
    <mergeCell ref="A38:B38"/>
    <mergeCell ref="C38:E38"/>
    <mergeCell ref="F38:H38"/>
    <mergeCell ref="I38:J38"/>
    <mergeCell ref="K38:L38"/>
    <mergeCell ref="M38:N38"/>
    <mergeCell ref="O38:P38"/>
    <mergeCell ref="Q38:R38"/>
    <mergeCell ref="S38:T38"/>
    <mergeCell ref="U38:V38"/>
    <mergeCell ref="W38:X38"/>
    <mergeCell ref="Y38:Z38"/>
    <mergeCell ref="A37:B37"/>
    <mergeCell ref="C37:E37"/>
    <mergeCell ref="F37:H37"/>
    <mergeCell ref="I37:J37"/>
    <mergeCell ref="K37:L37"/>
    <mergeCell ref="M37:N37"/>
    <mergeCell ref="O37:P37"/>
    <mergeCell ref="Q37:R37"/>
    <mergeCell ref="S37:T37"/>
    <mergeCell ref="U35:V35"/>
    <mergeCell ref="W35:X35"/>
    <mergeCell ref="Y35:Z35"/>
    <mergeCell ref="A36:B36"/>
    <mergeCell ref="C36:E36"/>
    <mergeCell ref="F36:H36"/>
    <mergeCell ref="I36:J36"/>
    <mergeCell ref="K36:L36"/>
    <mergeCell ref="M36:N36"/>
    <mergeCell ref="O36:P36"/>
    <mergeCell ref="Q36:R36"/>
    <mergeCell ref="S36:T36"/>
    <mergeCell ref="U36:V36"/>
    <mergeCell ref="W36:X36"/>
    <mergeCell ref="Y36:Z36"/>
    <mergeCell ref="A35:B35"/>
    <mergeCell ref="C35:E35"/>
    <mergeCell ref="F35:H35"/>
    <mergeCell ref="I35:J35"/>
    <mergeCell ref="K35:L35"/>
    <mergeCell ref="M35:N35"/>
    <mergeCell ref="O35:P35"/>
    <mergeCell ref="Q35:R35"/>
    <mergeCell ref="S35:T35"/>
    <mergeCell ref="U129:V129"/>
    <mergeCell ref="W129:X129"/>
    <mergeCell ref="Y129:Z129"/>
    <mergeCell ref="A130:B130"/>
    <mergeCell ref="C130:E130"/>
    <mergeCell ref="F130:H130"/>
    <mergeCell ref="I130:J130"/>
    <mergeCell ref="K130:L130"/>
    <mergeCell ref="M130:N130"/>
    <mergeCell ref="O130:P130"/>
    <mergeCell ref="Q130:R130"/>
    <mergeCell ref="S130:T130"/>
    <mergeCell ref="U130:V130"/>
    <mergeCell ref="W130:X130"/>
    <mergeCell ref="Y130:Z130"/>
    <mergeCell ref="A129:B129"/>
    <mergeCell ref="C129:E129"/>
    <mergeCell ref="F129:H129"/>
    <mergeCell ref="I129:J129"/>
    <mergeCell ref="K129:L129"/>
    <mergeCell ref="M129:N129"/>
    <mergeCell ref="O129:P129"/>
    <mergeCell ref="Q129:R129"/>
    <mergeCell ref="S129:T129"/>
    <mergeCell ref="U127:V127"/>
    <mergeCell ref="W127:X127"/>
    <mergeCell ref="Y127:Z127"/>
    <mergeCell ref="A128:B128"/>
    <mergeCell ref="C128:E128"/>
    <mergeCell ref="F128:H128"/>
    <mergeCell ref="I128:J128"/>
    <mergeCell ref="K128:L128"/>
    <mergeCell ref="M128:N128"/>
    <mergeCell ref="O128:P128"/>
    <mergeCell ref="Q128:R128"/>
    <mergeCell ref="S128:T128"/>
    <mergeCell ref="U128:V128"/>
    <mergeCell ref="W128:X128"/>
    <mergeCell ref="Y128:Z128"/>
    <mergeCell ref="A127:B127"/>
    <mergeCell ref="C127:E127"/>
    <mergeCell ref="F127:H127"/>
    <mergeCell ref="I127:J127"/>
    <mergeCell ref="K127:L127"/>
    <mergeCell ref="M127:N127"/>
    <mergeCell ref="O127:P127"/>
    <mergeCell ref="Q127:R127"/>
    <mergeCell ref="S127:T127"/>
    <mergeCell ref="U125:V125"/>
    <mergeCell ref="W125:X125"/>
    <mergeCell ref="Y125:Z125"/>
    <mergeCell ref="A126:B126"/>
    <mergeCell ref="C126:E126"/>
    <mergeCell ref="F126:H126"/>
    <mergeCell ref="I126:J126"/>
    <mergeCell ref="K126:L126"/>
    <mergeCell ref="M126:N126"/>
    <mergeCell ref="O126:P126"/>
    <mergeCell ref="Q126:R126"/>
    <mergeCell ref="S126:T126"/>
    <mergeCell ref="U126:V126"/>
    <mergeCell ref="W126:X126"/>
    <mergeCell ref="Y126:Z126"/>
    <mergeCell ref="A125:B125"/>
    <mergeCell ref="C125:E125"/>
    <mergeCell ref="F125:H125"/>
    <mergeCell ref="I125:J125"/>
    <mergeCell ref="K125:L125"/>
    <mergeCell ref="M125:N125"/>
    <mergeCell ref="O125:P125"/>
    <mergeCell ref="Q125:R125"/>
    <mergeCell ref="S125:T125"/>
    <mergeCell ref="U123:V123"/>
    <mergeCell ref="W123:X123"/>
    <mergeCell ref="Y123:Z123"/>
    <mergeCell ref="A124:B124"/>
    <mergeCell ref="C124:E124"/>
    <mergeCell ref="F124:H124"/>
    <mergeCell ref="I124:J124"/>
    <mergeCell ref="K124:L124"/>
    <mergeCell ref="M124:N124"/>
    <mergeCell ref="O124:P124"/>
    <mergeCell ref="Q124:R124"/>
    <mergeCell ref="S124:T124"/>
    <mergeCell ref="U124:V124"/>
    <mergeCell ref="W124:X124"/>
    <mergeCell ref="Y124:Z124"/>
    <mergeCell ref="A123:B123"/>
    <mergeCell ref="C123:E123"/>
    <mergeCell ref="F123:H123"/>
    <mergeCell ref="I123:J123"/>
    <mergeCell ref="K123:L123"/>
    <mergeCell ref="M123:N123"/>
    <mergeCell ref="O123:P123"/>
    <mergeCell ref="Q123:R123"/>
    <mergeCell ref="S123:T123"/>
    <mergeCell ref="U121:V121"/>
    <mergeCell ref="W121:X121"/>
    <mergeCell ref="Y121:Z121"/>
    <mergeCell ref="A122:B122"/>
    <mergeCell ref="C122:E122"/>
    <mergeCell ref="F122:H122"/>
    <mergeCell ref="I122:J122"/>
    <mergeCell ref="K122:L122"/>
    <mergeCell ref="M122:N122"/>
    <mergeCell ref="O122:P122"/>
    <mergeCell ref="Q122:R122"/>
    <mergeCell ref="S122:T122"/>
    <mergeCell ref="U122:V122"/>
    <mergeCell ref="W122:X122"/>
    <mergeCell ref="Y122:Z122"/>
    <mergeCell ref="A121:B121"/>
    <mergeCell ref="C121:E121"/>
    <mergeCell ref="F121:H121"/>
    <mergeCell ref="I121:J121"/>
    <mergeCell ref="K121:L121"/>
    <mergeCell ref="M121:N121"/>
    <mergeCell ref="O121:P121"/>
    <mergeCell ref="Q121:R121"/>
    <mergeCell ref="S121:T121"/>
    <mergeCell ref="U119:V119"/>
    <mergeCell ref="W119:X119"/>
    <mergeCell ref="Y119:Z119"/>
    <mergeCell ref="A120:B120"/>
    <mergeCell ref="C120:E120"/>
    <mergeCell ref="F120:H120"/>
    <mergeCell ref="I120:J120"/>
    <mergeCell ref="K120:L120"/>
    <mergeCell ref="M120:N120"/>
    <mergeCell ref="O120:P120"/>
    <mergeCell ref="Q120:R120"/>
    <mergeCell ref="S120:T120"/>
    <mergeCell ref="U120:V120"/>
    <mergeCell ref="W120:X120"/>
    <mergeCell ref="Y120:Z120"/>
    <mergeCell ref="A119:B119"/>
    <mergeCell ref="C119:E119"/>
    <mergeCell ref="F119:H119"/>
    <mergeCell ref="I119:J119"/>
    <mergeCell ref="K119:L119"/>
    <mergeCell ref="M119:N119"/>
    <mergeCell ref="O119:P119"/>
    <mergeCell ref="Q119:R119"/>
    <mergeCell ref="S119:T119"/>
    <mergeCell ref="U117:V117"/>
    <mergeCell ref="W117:X117"/>
    <mergeCell ref="Y117:Z117"/>
    <mergeCell ref="A118:B118"/>
    <mergeCell ref="C118:E118"/>
    <mergeCell ref="F118:H118"/>
    <mergeCell ref="I118:J118"/>
    <mergeCell ref="K118:L118"/>
    <mergeCell ref="M118:N118"/>
    <mergeCell ref="O118:P118"/>
    <mergeCell ref="Q118:R118"/>
    <mergeCell ref="S118:T118"/>
    <mergeCell ref="U118:V118"/>
    <mergeCell ref="W118:X118"/>
    <mergeCell ref="Y118:Z118"/>
    <mergeCell ref="A117:B117"/>
    <mergeCell ref="C117:E117"/>
    <mergeCell ref="F117:H117"/>
    <mergeCell ref="I117:J117"/>
    <mergeCell ref="K117:L117"/>
    <mergeCell ref="M117:N117"/>
    <mergeCell ref="O117:P117"/>
    <mergeCell ref="Q117:R117"/>
    <mergeCell ref="S117:T117"/>
    <mergeCell ref="U115:V115"/>
    <mergeCell ref="W115:X115"/>
    <mergeCell ref="Y115:Z115"/>
    <mergeCell ref="A116:B116"/>
    <mergeCell ref="C116:E116"/>
    <mergeCell ref="F116:H116"/>
    <mergeCell ref="I116:J116"/>
    <mergeCell ref="K116:L116"/>
    <mergeCell ref="M116:N116"/>
    <mergeCell ref="O116:P116"/>
    <mergeCell ref="Q116:R116"/>
    <mergeCell ref="S116:T116"/>
    <mergeCell ref="U116:V116"/>
    <mergeCell ref="W116:X116"/>
    <mergeCell ref="Y116:Z116"/>
    <mergeCell ref="A115:B115"/>
    <mergeCell ref="C115:E115"/>
    <mergeCell ref="F115:H115"/>
    <mergeCell ref="I115:J115"/>
    <mergeCell ref="K115:L115"/>
    <mergeCell ref="M115:N115"/>
    <mergeCell ref="O115:P115"/>
    <mergeCell ref="Q115:R115"/>
    <mergeCell ref="S115:T115"/>
    <mergeCell ref="U113:V113"/>
    <mergeCell ref="W113:X113"/>
    <mergeCell ref="Y113:Z113"/>
    <mergeCell ref="A114:B114"/>
    <mergeCell ref="C114:E114"/>
    <mergeCell ref="F114:H114"/>
    <mergeCell ref="I114:J114"/>
    <mergeCell ref="K114:L114"/>
    <mergeCell ref="M114:N114"/>
    <mergeCell ref="O114:P114"/>
    <mergeCell ref="Q114:R114"/>
    <mergeCell ref="S114:T114"/>
    <mergeCell ref="U114:V114"/>
    <mergeCell ref="W114:X114"/>
    <mergeCell ref="Y114:Z114"/>
    <mergeCell ref="A113:B113"/>
    <mergeCell ref="C113:E113"/>
    <mergeCell ref="F113:H113"/>
    <mergeCell ref="I113:J113"/>
    <mergeCell ref="K113:L113"/>
    <mergeCell ref="M113:N113"/>
    <mergeCell ref="O113:P113"/>
    <mergeCell ref="Q113:R113"/>
    <mergeCell ref="S113:T113"/>
    <mergeCell ref="U111:V111"/>
    <mergeCell ref="W111:X111"/>
    <mergeCell ref="Y111:Z111"/>
    <mergeCell ref="A112:B112"/>
    <mergeCell ref="C112:E112"/>
    <mergeCell ref="F112:H112"/>
    <mergeCell ref="I112:J112"/>
    <mergeCell ref="K112:L112"/>
    <mergeCell ref="M112:N112"/>
    <mergeCell ref="O112:P112"/>
    <mergeCell ref="Q112:R112"/>
    <mergeCell ref="S112:T112"/>
    <mergeCell ref="U112:V112"/>
    <mergeCell ref="W112:X112"/>
    <mergeCell ref="Y112:Z112"/>
    <mergeCell ref="A111:B111"/>
    <mergeCell ref="C111:E111"/>
    <mergeCell ref="F111:H111"/>
    <mergeCell ref="I111:J111"/>
    <mergeCell ref="K111:L111"/>
    <mergeCell ref="M111:N111"/>
    <mergeCell ref="O111:P111"/>
    <mergeCell ref="Q111:R111"/>
    <mergeCell ref="S111:T111"/>
    <mergeCell ref="U109:V109"/>
    <mergeCell ref="W109:X109"/>
    <mergeCell ref="Y109:Z109"/>
    <mergeCell ref="A110:B110"/>
    <mergeCell ref="C110:E110"/>
    <mergeCell ref="F110:H110"/>
    <mergeCell ref="I110:J110"/>
    <mergeCell ref="K110:L110"/>
    <mergeCell ref="M110:N110"/>
    <mergeCell ref="O110:P110"/>
    <mergeCell ref="Q110:R110"/>
    <mergeCell ref="S110:T110"/>
    <mergeCell ref="U110:V110"/>
    <mergeCell ref="W110:X110"/>
    <mergeCell ref="Y110:Z110"/>
    <mergeCell ref="A109:B109"/>
    <mergeCell ref="C109:E109"/>
    <mergeCell ref="F109:H109"/>
    <mergeCell ref="I109:J109"/>
    <mergeCell ref="K109:L109"/>
    <mergeCell ref="M109:N109"/>
    <mergeCell ref="O109:P109"/>
    <mergeCell ref="Q109:R109"/>
    <mergeCell ref="S109:T109"/>
    <mergeCell ref="U107:V107"/>
    <mergeCell ref="W107:X107"/>
    <mergeCell ref="Y107:Z107"/>
    <mergeCell ref="A108:B108"/>
    <mergeCell ref="C108:E108"/>
    <mergeCell ref="F108:H108"/>
    <mergeCell ref="I108:J108"/>
    <mergeCell ref="K108:L108"/>
    <mergeCell ref="M108:N108"/>
    <mergeCell ref="O108:P108"/>
    <mergeCell ref="Q108:R108"/>
    <mergeCell ref="S108:T108"/>
    <mergeCell ref="U108:V108"/>
    <mergeCell ref="W108:X108"/>
    <mergeCell ref="Y108:Z108"/>
    <mergeCell ref="A107:B107"/>
    <mergeCell ref="C107:E107"/>
    <mergeCell ref="F107:H107"/>
    <mergeCell ref="I107:J107"/>
    <mergeCell ref="K107:L107"/>
    <mergeCell ref="M107:N107"/>
    <mergeCell ref="O107:P107"/>
    <mergeCell ref="Q107:R107"/>
    <mergeCell ref="S107:T107"/>
    <mergeCell ref="U105:V105"/>
    <mergeCell ref="W105:X105"/>
    <mergeCell ref="Y105:Z105"/>
    <mergeCell ref="A106:B106"/>
    <mergeCell ref="C106:E106"/>
    <mergeCell ref="F106:H106"/>
    <mergeCell ref="I106:J106"/>
    <mergeCell ref="K106:L106"/>
    <mergeCell ref="M106:N106"/>
    <mergeCell ref="O106:P106"/>
    <mergeCell ref="Q106:R106"/>
    <mergeCell ref="S106:T106"/>
    <mergeCell ref="U106:V106"/>
    <mergeCell ref="W106:X106"/>
    <mergeCell ref="Y106:Z106"/>
    <mergeCell ref="A105:B105"/>
    <mergeCell ref="C105:E105"/>
    <mergeCell ref="F105:H105"/>
    <mergeCell ref="I105:J105"/>
    <mergeCell ref="K105:L105"/>
    <mergeCell ref="M105:N105"/>
    <mergeCell ref="O105:P105"/>
    <mergeCell ref="Q105:R105"/>
    <mergeCell ref="S105:T105"/>
    <mergeCell ref="U103:V103"/>
    <mergeCell ref="W103:X103"/>
    <mergeCell ref="Y103:Z103"/>
    <mergeCell ref="A104:B104"/>
    <mergeCell ref="C104:E104"/>
    <mergeCell ref="F104:H104"/>
    <mergeCell ref="I104:J104"/>
    <mergeCell ref="K104:L104"/>
    <mergeCell ref="M104:N104"/>
    <mergeCell ref="O104:P104"/>
    <mergeCell ref="Q104:R104"/>
    <mergeCell ref="S104:T104"/>
    <mergeCell ref="U104:V104"/>
    <mergeCell ref="W104:X104"/>
    <mergeCell ref="Y104:Z104"/>
    <mergeCell ref="A103:B103"/>
    <mergeCell ref="C103:E103"/>
    <mergeCell ref="F103:H103"/>
    <mergeCell ref="I103:J103"/>
    <mergeCell ref="K103:L103"/>
    <mergeCell ref="M103:N103"/>
    <mergeCell ref="O103:P103"/>
    <mergeCell ref="Q103:R103"/>
    <mergeCell ref="S103:T103"/>
    <mergeCell ref="U101:V101"/>
    <mergeCell ref="W101:X101"/>
    <mergeCell ref="Y101:Z101"/>
    <mergeCell ref="A102:B102"/>
    <mergeCell ref="C102:E102"/>
    <mergeCell ref="F102:H102"/>
    <mergeCell ref="I102:J102"/>
    <mergeCell ref="K102:L102"/>
    <mergeCell ref="M102:N102"/>
    <mergeCell ref="O102:P102"/>
    <mergeCell ref="Q102:R102"/>
    <mergeCell ref="S102:T102"/>
    <mergeCell ref="U102:V102"/>
    <mergeCell ref="W102:X102"/>
    <mergeCell ref="Y102:Z102"/>
    <mergeCell ref="A101:B101"/>
    <mergeCell ref="C101:E101"/>
    <mergeCell ref="F101:H101"/>
    <mergeCell ref="I101:J101"/>
    <mergeCell ref="K101:L101"/>
    <mergeCell ref="M101:N101"/>
    <mergeCell ref="O101:P101"/>
    <mergeCell ref="Q101:R101"/>
    <mergeCell ref="S101:T101"/>
    <mergeCell ref="U99:V99"/>
    <mergeCell ref="W99:X99"/>
    <mergeCell ref="Y99:Z99"/>
    <mergeCell ref="A100:B100"/>
    <mergeCell ref="C100:E100"/>
    <mergeCell ref="F100:H100"/>
    <mergeCell ref="I100:J100"/>
    <mergeCell ref="K100:L100"/>
    <mergeCell ref="M100:N100"/>
    <mergeCell ref="O100:P100"/>
    <mergeCell ref="Q100:R100"/>
    <mergeCell ref="S100:T100"/>
    <mergeCell ref="U100:V100"/>
    <mergeCell ref="W100:X100"/>
    <mergeCell ref="Y100:Z100"/>
    <mergeCell ref="A99:B99"/>
    <mergeCell ref="C99:E99"/>
    <mergeCell ref="F99:H99"/>
    <mergeCell ref="I99:J99"/>
    <mergeCell ref="K99:L99"/>
    <mergeCell ref="M99:N99"/>
    <mergeCell ref="O99:P99"/>
    <mergeCell ref="Q99:R99"/>
    <mergeCell ref="S99:T99"/>
    <mergeCell ref="U145:V145"/>
    <mergeCell ref="W145:X145"/>
    <mergeCell ref="Y145:Z145"/>
    <mergeCell ref="A146:B146"/>
    <mergeCell ref="C146:E146"/>
    <mergeCell ref="F146:H146"/>
    <mergeCell ref="I146:J146"/>
    <mergeCell ref="K146:L146"/>
    <mergeCell ref="M146:N146"/>
    <mergeCell ref="O146:P146"/>
    <mergeCell ref="Q146:R146"/>
    <mergeCell ref="S146:T146"/>
    <mergeCell ref="U146:V146"/>
    <mergeCell ref="W146:X146"/>
    <mergeCell ref="Y146:Z146"/>
    <mergeCell ref="A145:B145"/>
    <mergeCell ref="C145:E145"/>
    <mergeCell ref="F145:H145"/>
    <mergeCell ref="I145:J145"/>
    <mergeCell ref="K145:L145"/>
    <mergeCell ref="M145:N145"/>
    <mergeCell ref="O145:P145"/>
    <mergeCell ref="Q145:R145"/>
    <mergeCell ref="S145:T145"/>
    <mergeCell ref="U143:V143"/>
    <mergeCell ref="W143:X143"/>
    <mergeCell ref="Y143:Z143"/>
    <mergeCell ref="A144:B144"/>
    <mergeCell ref="C144:E144"/>
    <mergeCell ref="F144:H144"/>
    <mergeCell ref="I144:J144"/>
    <mergeCell ref="K144:L144"/>
    <mergeCell ref="M144:N144"/>
    <mergeCell ref="O144:P144"/>
    <mergeCell ref="Q144:R144"/>
    <mergeCell ref="S144:T144"/>
    <mergeCell ref="U144:V144"/>
    <mergeCell ref="W144:X144"/>
    <mergeCell ref="Y144:Z144"/>
    <mergeCell ref="A143:B143"/>
    <mergeCell ref="C143:E143"/>
    <mergeCell ref="F143:H143"/>
    <mergeCell ref="I143:J143"/>
    <mergeCell ref="K143:L143"/>
    <mergeCell ref="M143:N143"/>
    <mergeCell ref="O143:P143"/>
    <mergeCell ref="Q143:R143"/>
    <mergeCell ref="S143:T143"/>
    <mergeCell ref="U141:V141"/>
    <mergeCell ref="W141:X141"/>
    <mergeCell ref="Y141:Z141"/>
    <mergeCell ref="A142:B142"/>
    <mergeCell ref="C142:E142"/>
    <mergeCell ref="F142:H142"/>
    <mergeCell ref="I142:J142"/>
    <mergeCell ref="K142:L142"/>
    <mergeCell ref="M142:N142"/>
    <mergeCell ref="O142:P142"/>
    <mergeCell ref="Q142:R142"/>
    <mergeCell ref="S142:T142"/>
    <mergeCell ref="U142:V142"/>
    <mergeCell ref="W142:X142"/>
    <mergeCell ref="Y142:Z142"/>
    <mergeCell ref="A141:B141"/>
    <mergeCell ref="C141:E141"/>
    <mergeCell ref="F141:H141"/>
    <mergeCell ref="I141:J141"/>
    <mergeCell ref="K141:L141"/>
    <mergeCell ref="M141:N141"/>
    <mergeCell ref="O141:P141"/>
    <mergeCell ref="Q141:R141"/>
    <mergeCell ref="S141:T141"/>
    <mergeCell ref="U139:V139"/>
    <mergeCell ref="W139:X139"/>
    <mergeCell ref="Y139:Z139"/>
    <mergeCell ref="A140:B140"/>
    <mergeCell ref="C140:E140"/>
    <mergeCell ref="F140:H140"/>
    <mergeCell ref="I140:J140"/>
    <mergeCell ref="K140:L140"/>
    <mergeCell ref="M140:N140"/>
    <mergeCell ref="O140:P140"/>
    <mergeCell ref="Q140:R140"/>
    <mergeCell ref="S140:T140"/>
    <mergeCell ref="U140:V140"/>
    <mergeCell ref="W140:X140"/>
    <mergeCell ref="Y140:Z140"/>
    <mergeCell ref="A139:B139"/>
    <mergeCell ref="C139:E139"/>
    <mergeCell ref="F139:H139"/>
    <mergeCell ref="I139:J139"/>
    <mergeCell ref="K139:L139"/>
    <mergeCell ref="M139:N139"/>
    <mergeCell ref="O139:P139"/>
    <mergeCell ref="Q139:R139"/>
    <mergeCell ref="S139:T139"/>
    <mergeCell ref="U137:V137"/>
    <mergeCell ref="W137:X137"/>
    <mergeCell ref="Y137:Z137"/>
    <mergeCell ref="A138:B138"/>
    <mergeCell ref="C138:E138"/>
    <mergeCell ref="F138:H138"/>
    <mergeCell ref="I138:J138"/>
    <mergeCell ref="K138:L138"/>
    <mergeCell ref="M138:N138"/>
    <mergeCell ref="O138:P138"/>
    <mergeCell ref="Q138:R138"/>
    <mergeCell ref="S138:T138"/>
    <mergeCell ref="U138:V138"/>
    <mergeCell ref="W138:X138"/>
    <mergeCell ref="Y138:Z138"/>
    <mergeCell ref="A137:B137"/>
    <mergeCell ref="C137:E137"/>
    <mergeCell ref="F137:H137"/>
    <mergeCell ref="I137:J137"/>
    <mergeCell ref="K137:L137"/>
    <mergeCell ref="M137:N137"/>
    <mergeCell ref="O137:P137"/>
    <mergeCell ref="Q137:R137"/>
    <mergeCell ref="S137:T137"/>
    <mergeCell ref="U135:V135"/>
    <mergeCell ref="W135:X135"/>
    <mergeCell ref="Y135:Z135"/>
    <mergeCell ref="A136:B136"/>
    <mergeCell ref="C136:E136"/>
    <mergeCell ref="F136:H136"/>
    <mergeCell ref="I136:J136"/>
    <mergeCell ref="K136:L136"/>
    <mergeCell ref="M136:N136"/>
    <mergeCell ref="O136:P136"/>
    <mergeCell ref="Q136:R136"/>
    <mergeCell ref="S136:T136"/>
    <mergeCell ref="U136:V136"/>
    <mergeCell ref="W136:X136"/>
    <mergeCell ref="Y136:Z136"/>
    <mergeCell ref="A135:B135"/>
    <mergeCell ref="C135:E135"/>
    <mergeCell ref="F135:H135"/>
    <mergeCell ref="I135:J135"/>
    <mergeCell ref="K135:L135"/>
    <mergeCell ref="M135:N135"/>
    <mergeCell ref="O135:P135"/>
    <mergeCell ref="Q135:R135"/>
    <mergeCell ref="S135:T135"/>
    <mergeCell ref="U133:V133"/>
    <mergeCell ref="W133:X133"/>
    <mergeCell ref="Y133:Z133"/>
    <mergeCell ref="A134:B134"/>
    <mergeCell ref="C134:E134"/>
    <mergeCell ref="F134:H134"/>
    <mergeCell ref="I134:J134"/>
    <mergeCell ref="K134:L134"/>
    <mergeCell ref="M134:N134"/>
    <mergeCell ref="O134:P134"/>
    <mergeCell ref="Q134:R134"/>
    <mergeCell ref="S134:T134"/>
    <mergeCell ref="U134:V134"/>
    <mergeCell ref="W134:X134"/>
    <mergeCell ref="Y134:Z134"/>
    <mergeCell ref="A133:B133"/>
    <mergeCell ref="C133:E133"/>
    <mergeCell ref="F133:H133"/>
    <mergeCell ref="I133:J133"/>
    <mergeCell ref="K133:L133"/>
    <mergeCell ref="M133:N133"/>
    <mergeCell ref="O133:P133"/>
    <mergeCell ref="Q133:R133"/>
    <mergeCell ref="S133:T133"/>
    <mergeCell ref="U131:V131"/>
    <mergeCell ref="W131:X131"/>
    <mergeCell ref="Y131:Z131"/>
    <mergeCell ref="A132:B132"/>
    <mergeCell ref="C132:E132"/>
    <mergeCell ref="F132:H132"/>
    <mergeCell ref="I132:J132"/>
    <mergeCell ref="K132:L132"/>
    <mergeCell ref="M132:N132"/>
    <mergeCell ref="O132:P132"/>
    <mergeCell ref="Q132:R132"/>
    <mergeCell ref="S132:T132"/>
    <mergeCell ref="U132:V132"/>
    <mergeCell ref="W132:X132"/>
    <mergeCell ref="Y132:Z132"/>
    <mergeCell ref="A131:B131"/>
    <mergeCell ref="C131:E131"/>
    <mergeCell ref="F131:H131"/>
    <mergeCell ref="I131:J131"/>
    <mergeCell ref="K131:L131"/>
    <mergeCell ref="M131:N131"/>
    <mergeCell ref="O131:P131"/>
    <mergeCell ref="Q131:R131"/>
    <mergeCell ref="S131:T131"/>
    <mergeCell ref="U153:V153"/>
    <mergeCell ref="W153:X153"/>
    <mergeCell ref="Y153:Z153"/>
    <mergeCell ref="A154:B154"/>
    <mergeCell ref="C154:E154"/>
    <mergeCell ref="F154:H154"/>
    <mergeCell ref="I154:J154"/>
    <mergeCell ref="K154:L154"/>
    <mergeCell ref="M154:N154"/>
    <mergeCell ref="O154:P154"/>
    <mergeCell ref="Q154:R154"/>
    <mergeCell ref="S154:T154"/>
    <mergeCell ref="U154:V154"/>
    <mergeCell ref="W154:X154"/>
    <mergeCell ref="Y154:Z154"/>
    <mergeCell ref="A153:B153"/>
    <mergeCell ref="C153:E153"/>
    <mergeCell ref="F153:H153"/>
    <mergeCell ref="I153:J153"/>
    <mergeCell ref="K153:L153"/>
    <mergeCell ref="M153:N153"/>
    <mergeCell ref="O153:P153"/>
    <mergeCell ref="Q153:R153"/>
    <mergeCell ref="S153:T153"/>
    <mergeCell ref="U151:V151"/>
    <mergeCell ref="W151:X151"/>
    <mergeCell ref="Y151:Z151"/>
    <mergeCell ref="A152:B152"/>
    <mergeCell ref="C152:E152"/>
    <mergeCell ref="F152:H152"/>
    <mergeCell ref="I152:J152"/>
    <mergeCell ref="K152:L152"/>
    <mergeCell ref="M152:N152"/>
    <mergeCell ref="O152:P152"/>
    <mergeCell ref="Q152:R152"/>
    <mergeCell ref="S152:T152"/>
    <mergeCell ref="U152:V152"/>
    <mergeCell ref="W152:X152"/>
    <mergeCell ref="Y152:Z152"/>
    <mergeCell ref="A151:B151"/>
    <mergeCell ref="C151:E151"/>
    <mergeCell ref="F151:H151"/>
    <mergeCell ref="I151:J151"/>
    <mergeCell ref="K151:L151"/>
    <mergeCell ref="M151:N151"/>
    <mergeCell ref="O151:P151"/>
    <mergeCell ref="Q151:R151"/>
    <mergeCell ref="S151:T151"/>
    <mergeCell ref="U149:V149"/>
    <mergeCell ref="W149:X149"/>
    <mergeCell ref="Y149:Z149"/>
    <mergeCell ref="A150:B150"/>
    <mergeCell ref="C150:E150"/>
    <mergeCell ref="F150:H150"/>
    <mergeCell ref="I150:J150"/>
    <mergeCell ref="K150:L150"/>
    <mergeCell ref="M150:N150"/>
    <mergeCell ref="O150:P150"/>
    <mergeCell ref="Q150:R150"/>
    <mergeCell ref="S150:T150"/>
    <mergeCell ref="U150:V150"/>
    <mergeCell ref="W150:X150"/>
    <mergeCell ref="Y150:Z150"/>
    <mergeCell ref="A149:B149"/>
    <mergeCell ref="C149:E149"/>
    <mergeCell ref="F149:H149"/>
    <mergeCell ref="I149:J149"/>
    <mergeCell ref="K149:L149"/>
    <mergeCell ref="M149:N149"/>
    <mergeCell ref="O149:P149"/>
    <mergeCell ref="Q149:R149"/>
    <mergeCell ref="S149:T149"/>
    <mergeCell ref="U147:V147"/>
    <mergeCell ref="W147:X147"/>
    <mergeCell ref="Y147:Z147"/>
    <mergeCell ref="A148:B148"/>
    <mergeCell ref="C148:E148"/>
    <mergeCell ref="F148:H148"/>
    <mergeCell ref="I148:J148"/>
    <mergeCell ref="K148:L148"/>
    <mergeCell ref="M148:N148"/>
    <mergeCell ref="O148:P148"/>
    <mergeCell ref="Q148:R148"/>
    <mergeCell ref="S148:T148"/>
    <mergeCell ref="U148:V148"/>
    <mergeCell ref="W148:X148"/>
    <mergeCell ref="Y148:Z148"/>
    <mergeCell ref="A147:B147"/>
    <mergeCell ref="C147:E147"/>
    <mergeCell ref="F147:H147"/>
    <mergeCell ref="I147:J147"/>
    <mergeCell ref="K147:L147"/>
    <mergeCell ref="M147:N147"/>
    <mergeCell ref="O147:P147"/>
    <mergeCell ref="Q147:R147"/>
    <mergeCell ref="S147:T147"/>
    <mergeCell ref="U157:V157"/>
    <mergeCell ref="W157:X157"/>
    <mergeCell ref="Y157:Z157"/>
    <mergeCell ref="A158:B158"/>
    <mergeCell ref="C158:E158"/>
    <mergeCell ref="F158:H158"/>
    <mergeCell ref="I158:J158"/>
    <mergeCell ref="K158:L158"/>
    <mergeCell ref="M158:N158"/>
    <mergeCell ref="O158:P158"/>
    <mergeCell ref="Q158:R158"/>
    <mergeCell ref="S158:T158"/>
    <mergeCell ref="U158:V158"/>
    <mergeCell ref="W158:X158"/>
    <mergeCell ref="Y158:Z158"/>
    <mergeCell ref="A157:B157"/>
    <mergeCell ref="C157:E157"/>
    <mergeCell ref="F157:H157"/>
    <mergeCell ref="I157:J157"/>
    <mergeCell ref="K157:L157"/>
    <mergeCell ref="M157:N157"/>
    <mergeCell ref="O157:P157"/>
    <mergeCell ref="Q157:R157"/>
    <mergeCell ref="S157:T157"/>
    <mergeCell ref="Y155:Z155"/>
    <mergeCell ref="C156:E156"/>
    <mergeCell ref="F156:H156"/>
    <mergeCell ref="I156:J156"/>
    <mergeCell ref="K156:L156"/>
    <mergeCell ref="M156:N156"/>
    <mergeCell ref="O156:P156"/>
    <mergeCell ref="Q156:R156"/>
    <mergeCell ref="S156:T156"/>
    <mergeCell ref="U156:V156"/>
    <mergeCell ref="W156:X156"/>
    <mergeCell ref="Y156:Z156"/>
    <mergeCell ref="C155:E155"/>
    <mergeCell ref="F155:H155"/>
    <mergeCell ref="I155:J155"/>
    <mergeCell ref="K155:L155"/>
    <mergeCell ref="M155:N155"/>
    <mergeCell ref="O155:P155"/>
    <mergeCell ref="Q155:R155"/>
    <mergeCell ref="S155:T155"/>
    <mergeCell ref="Q222:R223"/>
    <mergeCell ref="S222:T223"/>
    <mergeCell ref="AA226:AB226"/>
    <mergeCell ref="C227:P227"/>
    <mergeCell ref="Q227:R227"/>
    <mergeCell ref="S227:T227"/>
    <mergeCell ref="U227:V227"/>
    <mergeCell ref="W227:X227"/>
    <mergeCell ref="Y227:Z227"/>
    <mergeCell ref="AA227:AB227"/>
    <mergeCell ref="C226:P226"/>
    <mergeCell ref="U34:V34"/>
    <mergeCell ref="W34:X34"/>
    <mergeCell ref="Y34:Z34"/>
    <mergeCell ref="U222:V223"/>
    <mergeCell ref="W222:X223"/>
    <mergeCell ref="Y222:Z223"/>
    <mergeCell ref="AA222:AB223"/>
    <mergeCell ref="Y217:Z217"/>
    <mergeCell ref="AA217:AB217"/>
    <mergeCell ref="C218:P219"/>
    <mergeCell ref="Q218:R219"/>
    <mergeCell ref="K160:L160"/>
    <mergeCell ref="M160:N160"/>
    <mergeCell ref="O160:P160"/>
    <mergeCell ref="Q160:R160"/>
    <mergeCell ref="S160:T160"/>
    <mergeCell ref="U160:V160"/>
    <mergeCell ref="W160:X160"/>
    <mergeCell ref="Y160:Z160"/>
    <mergeCell ref="U155:V155"/>
    <mergeCell ref="W155:X155"/>
    <mergeCell ref="AA208:AB208"/>
    <mergeCell ref="C209:P209"/>
    <mergeCell ref="Q209:R209"/>
    <mergeCell ref="A159:B159"/>
    <mergeCell ref="C159:E159"/>
    <mergeCell ref="F159:H159"/>
    <mergeCell ref="I159:J159"/>
    <mergeCell ref="K159:L159"/>
    <mergeCell ref="M159:N159"/>
    <mergeCell ref="C232:P232"/>
    <mergeCell ref="Q232:R232"/>
    <mergeCell ref="S232:T232"/>
    <mergeCell ref="U232:V232"/>
    <mergeCell ref="W232:AB233"/>
    <mergeCell ref="C233:P233"/>
    <mergeCell ref="Q233:R233"/>
    <mergeCell ref="S233:T233"/>
    <mergeCell ref="U233:V233"/>
    <mergeCell ref="C231:P231"/>
    <mergeCell ref="Q231:R231"/>
    <mergeCell ref="S231:T231"/>
    <mergeCell ref="U231:V231"/>
    <mergeCell ref="W231:X231"/>
    <mergeCell ref="Y231:Z231"/>
    <mergeCell ref="AA231:AB231"/>
    <mergeCell ref="C230:P230"/>
    <mergeCell ref="Q230:R230"/>
    <mergeCell ref="S230:T230"/>
    <mergeCell ref="U230:V230"/>
    <mergeCell ref="W230:X230"/>
    <mergeCell ref="Y230:Z230"/>
    <mergeCell ref="C222:P223"/>
    <mergeCell ref="W226:X226"/>
    <mergeCell ref="Y226:Z226"/>
    <mergeCell ref="Y225:Z225"/>
    <mergeCell ref="S218:T219"/>
    <mergeCell ref="U218:V219"/>
    <mergeCell ref="W218:X219"/>
    <mergeCell ref="Y218:Z219"/>
    <mergeCell ref="AA218:AB219"/>
    <mergeCell ref="S34:T34"/>
    <mergeCell ref="O159:P159"/>
    <mergeCell ref="C34:E34"/>
    <mergeCell ref="F34:H34"/>
    <mergeCell ref="I34:J34"/>
    <mergeCell ref="K34:L34"/>
    <mergeCell ref="M34:N34"/>
    <mergeCell ref="O34:P34"/>
    <mergeCell ref="Q34:R34"/>
    <mergeCell ref="Q159:R159"/>
    <mergeCell ref="S159:T159"/>
    <mergeCell ref="U159:V159"/>
    <mergeCell ref="W159:X159"/>
    <mergeCell ref="Y159:Z159"/>
    <mergeCell ref="AA207:AB207"/>
    <mergeCell ref="C210:P210"/>
    <mergeCell ref="Q210:R210"/>
    <mergeCell ref="S210:T210"/>
    <mergeCell ref="U210:V210"/>
    <mergeCell ref="W210:AB211"/>
    <mergeCell ref="C211:P211"/>
    <mergeCell ref="Q211:R211"/>
    <mergeCell ref="S211:T211"/>
    <mergeCell ref="U211:V211"/>
    <mergeCell ref="S212:T212"/>
    <mergeCell ref="U212:V212"/>
    <mergeCell ref="W212:X212"/>
    <mergeCell ref="Y212:Z212"/>
    <mergeCell ref="C160:E160"/>
    <mergeCell ref="A217:A233"/>
    <mergeCell ref="B217:B233"/>
    <mergeCell ref="Q217:R217"/>
    <mergeCell ref="S217:T217"/>
    <mergeCell ref="U217:V217"/>
    <mergeCell ref="W217:X217"/>
    <mergeCell ref="C220:P221"/>
    <mergeCell ref="Q220:R221"/>
    <mergeCell ref="S220:T221"/>
    <mergeCell ref="U220:V221"/>
    <mergeCell ref="Q225:R225"/>
    <mergeCell ref="S225:T225"/>
    <mergeCell ref="U225:V225"/>
    <mergeCell ref="W225:X225"/>
    <mergeCell ref="C228:P228"/>
    <mergeCell ref="Q228:R228"/>
    <mergeCell ref="S228:T228"/>
    <mergeCell ref="U228:V228"/>
    <mergeCell ref="W228:AB229"/>
    <mergeCell ref="C229:P229"/>
    <mergeCell ref="Q229:R229"/>
    <mergeCell ref="S229:T229"/>
    <mergeCell ref="U229:V229"/>
    <mergeCell ref="AA230:AB230"/>
    <mergeCell ref="Q226:R226"/>
    <mergeCell ref="S226:T226"/>
    <mergeCell ref="U226:V226"/>
    <mergeCell ref="Y208:Z208"/>
    <mergeCell ref="Y193:Z193"/>
    <mergeCell ref="Q202:R203"/>
    <mergeCell ref="S202:T203"/>
    <mergeCell ref="U202:V203"/>
    <mergeCell ref="W202:AB203"/>
    <mergeCell ref="C204:P205"/>
    <mergeCell ref="Q204:R205"/>
    <mergeCell ref="S204:T205"/>
    <mergeCell ref="U204:V205"/>
    <mergeCell ref="W204:X205"/>
    <mergeCell ref="AA225:AB225"/>
    <mergeCell ref="W220:AB221"/>
    <mergeCell ref="C214:P214"/>
    <mergeCell ref="Q214:R214"/>
    <mergeCell ref="S214:T214"/>
    <mergeCell ref="U214:V214"/>
    <mergeCell ref="W214:AB215"/>
    <mergeCell ref="C215:P215"/>
    <mergeCell ref="Q215:R215"/>
    <mergeCell ref="S215:T215"/>
    <mergeCell ref="U215:V215"/>
    <mergeCell ref="AA212:AB212"/>
    <mergeCell ref="C213:P213"/>
    <mergeCell ref="Q213:R213"/>
    <mergeCell ref="S213:T213"/>
    <mergeCell ref="U213:V213"/>
    <mergeCell ref="W213:X213"/>
    <mergeCell ref="Y213:Z213"/>
    <mergeCell ref="AA213:AB213"/>
    <mergeCell ref="C212:P212"/>
    <mergeCell ref="Q212:R212"/>
    <mergeCell ref="A199:A215"/>
    <mergeCell ref="B199:B215"/>
    <mergeCell ref="Q199:R199"/>
    <mergeCell ref="S199:T199"/>
    <mergeCell ref="U199:V199"/>
    <mergeCell ref="W199:X199"/>
    <mergeCell ref="Y199:Z199"/>
    <mergeCell ref="AA199:AB199"/>
    <mergeCell ref="C200:P201"/>
    <mergeCell ref="Q200:R201"/>
    <mergeCell ref="S200:T201"/>
    <mergeCell ref="U200:V201"/>
    <mergeCell ref="W200:X201"/>
    <mergeCell ref="Y200:Z201"/>
    <mergeCell ref="AA200:AB201"/>
    <mergeCell ref="Y204:Z205"/>
    <mergeCell ref="AA204:AB205"/>
    <mergeCell ref="Q207:R207"/>
    <mergeCell ref="S207:T207"/>
    <mergeCell ref="U207:V207"/>
    <mergeCell ref="W207:X207"/>
    <mergeCell ref="Y207:Z207"/>
    <mergeCell ref="S209:T209"/>
    <mergeCell ref="U209:V209"/>
    <mergeCell ref="W209:X209"/>
    <mergeCell ref="Y209:Z209"/>
    <mergeCell ref="AA209:AB209"/>
    <mergeCell ref="C208:P208"/>
    <mergeCell ref="Q208:R208"/>
    <mergeCell ref="S208:T208"/>
    <mergeCell ref="U208:V208"/>
    <mergeCell ref="W208:X208"/>
    <mergeCell ref="W190:X190"/>
    <mergeCell ref="Y190:Z190"/>
    <mergeCell ref="AA190:AB190"/>
    <mergeCell ref="B189:P189"/>
    <mergeCell ref="Q189:R189"/>
    <mergeCell ref="S189:T189"/>
    <mergeCell ref="U189:V189"/>
    <mergeCell ref="W189:X189"/>
    <mergeCell ref="Y189:Z189"/>
    <mergeCell ref="C202:P203"/>
    <mergeCell ref="B195:P195"/>
    <mergeCell ref="Q195:R195"/>
    <mergeCell ref="S195:T195"/>
    <mergeCell ref="U195:V195"/>
    <mergeCell ref="W195:AB196"/>
    <mergeCell ref="B196:P196"/>
    <mergeCell ref="Q196:R196"/>
    <mergeCell ref="S196:T196"/>
    <mergeCell ref="U196:V196"/>
    <mergeCell ref="AA193:AB193"/>
    <mergeCell ref="B194:P194"/>
    <mergeCell ref="Q194:R194"/>
    <mergeCell ref="S194:T194"/>
    <mergeCell ref="U194:V194"/>
    <mergeCell ref="W194:X194"/>
    <mergeCell ref="Y194:Z194"/>
    <mergeCell ref="AA194:AB194"/>
    <mergeCell ref="B193:P193"/>
    <mergeCell ref="Q193:R193"/>
    <mergeCell ref="S193:T193"/>
    <mergeCell ref="U193:V193"/>
    <mergeCell ref="W193:X193"/>
    <mergeCell ref="AA188:AB188"/>
    <mergeCell ref="B177:P177"/>
    <mergeCell ref="Q177:R177"/>
    <mergeCell ref="S177:T177"/>
    <mergeCell ref="U177:V177"/>
    <mergeCell ref="W177:AB178"/>
    <mergeCell ref="B178:P178"/>
    <mergeCell ref="Q178:R178"/>
    <mergeCell ref="S178:T178"/>
    <mergeCell ref="U178:V178"/>
    <mergeCell ref="W183:X184"/>
    <mergeCell ref="Y183:AB184"/>
    <mergeCell ref="B185:P186"/>
    <mergeCell ref="Q185:R186"/>
    <mergeCell ref="S185:T186"/>
    <mergeCell ref="U185:V186"/>
    <mergeCell ref="W185:X186"/>
    <mergeCell ref="Y185:Z186"/>
    <mergeCell ref="AA185:AB186"/>
    <mergeCell ref="AA180:AB180"/>
    <mergeCell ref="B181:P182"/>
    <mergeCell ref="Q181:R182"/>
    <mergeCell ref="S181:T182"/>
    <mergeCell ref="U181:V182"/>
    <mergeCell ref="W181:X182"/>
    <mergeCell ref="Y181:Z182"/>
    <mergeCell ref="AA181:AB182"/>
    <mergeCell ref="Q174:R174"/>
    <mergeCell ref="S174:T174"/>
    <mergeCell ref="U174:V174"/>
    <mergeCell ref="A180:A196"/>
    <mergeCell ref="Q180:R180"/>
    <mergeCell ref="S180:T180"/>
    <mergeCell ref="U180:V180"/>
    <mergeCell ref="W180:X180"/>
    <mergeCell ref="Y180:Z180"/>
    <mergeCell ref="B183:P184"/>
    <mergeCell ref="Q183:R184"/>
    <mergeCell ref="S183:T184"/>
    <mergeCell ref="U183:V184"/>
    <mergeCell ref="Q188:R188"/>
    <mergeCell ref="S188:T188"/>
    <mergeCell ref="U188:V188"/>
    <mergeCell ref="W188:X188"/>
    <mergeCell ref="Y188:Z188"/>
    <mergeCell ref="B191:P191"/>
    <mergeCell ref="Q191:R191"/>
    <mergeCell ref="S191:T191"/>
    <mergeCell ref="U191:V191"/>
    <mergeCell ref="W191:AB192"/>
    <mergeCell ref="B192:P192"/>
    <mergeCell ref="Q192:R192"/>
    <mergeCell ref="S192:T192"/>
    <mergeCell ref="U192:V192"/>
    <mergeCell ref="AA189:AB189"/>
    <mergeCell ref="B190:P190"/>
    <mergeCell ref="Q190:R190"/>
    <mergeCell ref="S190:T190"/>
    <mergeCell ref="U190:V190"/>
    <mergeCell ref="S171:T171"/>
    <mergeCell ref="U171:V171"/>
    <mergeCell ref="W171:X171"/>
    <mergeCell ref="Y171:Z171"/>
    <mergeCell ref="Y167:Z168"/>
    <mergeCell ref="AA167:AB168"/>
    <mergeCell ref="Q170:R170"/>
    <mergeCell ref="S170:T170"/>
    <mergeCell ref="U170:V170"/>
    <mergeCell ref="W170:X170"/>
    <mergeCell ref="Y170:Z170"/>
    <mergeCell ref="AA170:AB170"/>
    <mergeCell ref="AA175:AB175"/>
    <mergeCell ref="B176:P176"/>
    <mergeCell ref="Q176:R176"/>
    <mergeCell ref="S176:T176"/>
    <mergeCell ref="U176:V176"/>
    <mergeCell ref="W176:X176"/>
    <mergeCell ref="Y176:Z176"/>
    <mergeCell ref="AA176:AB176"/>
    <mergeCell ref="B175:P175"/>
    <mergeCell ref="Q175:R175"/>
    <mergeCell ref="S175:T175"/>
    <mergeCell ref="U175:V175"/>
    <mergeCell ref="W175:X175"/>
    <mergeCell ref="Y175:Z175"/>
    <mergeCell ref="B173:P173"/>
    <mergeCell ref="Q173:R173"/>
    <mergeCell ref="S173:T173"/>
    <mergeCell ref="U173:V173"/>
    <mergeCell ref="W173:AB174"/>
    <mergeCell ref="B174:P174"/>
    <mergeCell ref="B165:P166"/>
    <mergeCell ref="Q165:R166"/>
    <mergeCell ref="S165:T166"/>
    <mergeCell ref="U165:V166"/>
    <mergeCell ref="W165:AB166"/>
    <mergeCell ref="B167:P168"/>
    <mergeCell ref="Q167:R168"/>
    <mergeCell ref="S167:T168"/>
    <mergeCell ref="U167:V168"/>
    <mergeCell ref="W167:X168"/>
    <mergeCell ref="Q163:R164"/>
    <mergeCell ref="S163:T164"/>
    <mergeCell ref="U163:V164"/>
    <mergeCell ref="W163:X164"/>
    <mergeCell ref="Y163:Z164"/>
    <mergeCell ref="AA163:AB164"/>
    <mergeCell ref="A162:A178"/>
    <mergeCell ref="Q162:R162"/>
    <mergeCell ref="S162:T162"/>
    <mergeCell ref="U162:V162"/>
    <mergeCell ref="W162:X162"/>
    <mergeCell ref="Y162:Z162"/>
    <mergeCell ref="AA171:AB171"/>
    <mergeCell ref="B172:P172"/>
    <mergeCell ref="Q172:R172"/>
    <mergeCell ref="S172:T172"/>
    <mergeCell ref="U172:V172"/>
    <mergeCell ref="W172:X172"/>
    <mergeCell ref="Y172:Z172"/>
    <mergeCell ref="AA172:AB172"/>
    <mergeCell ref="B171:P171"/>
    <mergeCell ref="Q171:R171"/>
    <mergeCell ref="O33:P33"/>
    <mergeCell ref="Q33:R33"/>
    <mergeCell ref="S33:T33"/>
    <mergeCell ref="U33:V33"/>
    <mergeCell ref="W33:X33"/>
    <mergeCell ref="Y33:Z33"/>
    <mergeCell ref="AA162:AB162"/>
    <mergeCell ref="B163:P164"/>
    <mergeCell ref="U32:V32"/>
    <mergeCell ref="W32:X32"/>
    <mergeCell ref="Y32:Z32"/>
    <mergeCell ref="A33:B33"/>
    <mergeCell ref="C33:E33"/>
    <mergeCell ref="F33:H33"/>
    <mergeCell ref="I33:J33"/>
    <mergeCell ref="K33:L33"/>
    <mergeCell ref="M33:N33"/>
    <mergeCell ref="A32:B32"/>
    <mergeCell ref="C32:E32"/>
    <mergeCell ref="F32:H32"/>
    <mergeCell ref="I32:J32"/>
    <mergeCell ref="K32:L32"/>
    <mergeCell ref="M32:N32"/>
    <mergeCell ref="O32:P32"/>
    <mergeCell ref="Q32:R32"/>
    <mergeCell ref="S32:T32"/>
    <mergeCell ref="A34:B34"/>
    <mergeCell ref="A160:B160"/>
    <mergeCell ref="F160:H160"/>
    <mergeCell ref="I160:J160"/>
    <mergeCell ref="A156:B156"/>
    <mergeCell ref="A155:B155"/>
    <mergeCell ref="U30:V30"/>
    <mergeCell ref="W30:X30"/>
    <mergeCell ref="Y30:Z30"/>
    <mergeCell ref="A31:B31"/>
    <mergeCell ref="C31:E31"/>
    <mergeCell ref="F31:H31"/>
    <mergeCell ref="I31:J31"/>
    <mergeCell ref="K31:L31"/>
    <mergeCell ref="M31:N31"/>
    <mergeCell ref="O31:P31"/>
    <mergeCell ref="Q31:R31"/>
    <mergeCell ref="S31:T31"/>
    <mergeCell ref="U31:V31"/>
    <mergeCell ref="W31:X31"/>
    <mergeCell ref="Y31:Z31"/>
    <mergeCell ref="A30:B30"/>
    <mergeCell ref="C30:E30"/>
    <mergeCell ref="F30:H30"/>
    <mergeCell ref="I30:J30"/>
    <mergeCell ref="K30:L30"/>
    <mergeCell ref="M30:N30"/>
    <mergeCell ref="O30:P30"/>
    <mergeCell ref="Q30:R30"/>
    <mergeCell ref="S30:T30"/>
    <mergeCell ref="U28:V28"/>
    <mergeCell ref="W28:X28"/>
    <mergeCell ref="Y28:Z28"/>
    <mergeCell ref="A29:B29"/>
    <mergeCell ref="C29:E29"/>
    <mergeCell ref="F29:H29"/>
    <mergeCell ref="I29:J29"/>
    <mergeCell ref="K29:L29"/>
    <mergeCell ref="M29:N29"/>
    <mergeCell ref="O29:P29"/>
    <mergeCell ref="Q29:R29"/>
    <mergeCell ref="S29:T29"/>
    <mergeCell ref="U29:V29"/>
    <mergeCell ref="W29:X29"/>
    <mergeCell ref="Y29:Z29"/>
    <mergeCell ref="A28:B28"/>
    <mergeCell ref="C28:E28"/>
    <mergeCell ref="F28:H28"/>
    <mergeCell ref="I28:J28"/>
    <mergeCell ref="K28:L28"/>
    <mergeCell ref="M28:N28"/>
    <mergeCell ref="O28:P28"/>
    <mergeCell ref="Q28:R28"/>
    <mergeCell ref="S28:T28"/>
    <mergeCell ref="U26:V26"/>
    <mergeCell ref="W26:X26"/>
    <mergeCell ref="Y26:Z26"/>
    <mergeCell ref="A27:B27"/>
    <mergeCell ref="C27:E27"/>
    <mergeCell ref="F27:H27"/>
    <mergeCell ref="I27:J27"/>
    <mergeCell ref="K27:L27"/>
    <mergeCell ref="M27:N27"/>
    <mergeCell ref="O27:P27"/>
    <mergeCell ref="Q27:R27"/>
    <mergeCell ref="S27:T27"/>
    <mergeCell ref="U27:V27"/>
    <mergeCell ref="W27:X27"/>
    <mergeCell ref="Y27:Z27"/>
    <mergeCell ref="A26:B26"/>
    <mergeCell ref="C26:E26"/>
    <mergeCell ref="F26:H26"/>
    <mergeCell ref="I26:J26"/>
    <mergeCell ref="K26:L26"/>
    <mergeCell ref="M26:N26"/>
    <mergeCell ref="O26:P26"/>
    <mergeCell ref="Q26:R26"/>
    <mergeCell ref="S26:T26"/>
    <mergeCell ref="U24:V24"/>
    <mergeCell ref="W24:X24"/>
    <mergeCell ref="Y24:Z24"/>
    <mergeCell ref="A25:B25"/>
    <mergeCell ref="C25:E25"/>
    <mergeCell ref="F25:H25"/>
    <mergeCell ref="I25:J25"/>
    <mergeCell ref="K25:L25"/>
    <mergeCell ref="M25:N25"/>
    <mergeCell ref="O25:P25"/>
    <mergeCell ref="Q25:R25"/>
    <mergeCell ref="S25:T25"/>
    <mergeCell ref="U25:V25"/>
    <mergeCell ref="W25:X25"/>
    <mergeCell ref="Y25:Z25"/>
    <mergeCell ref="A24:B24"/>
    <mergeCell ref="C24:E24"/>
    <mergeCell ref="F24:H24"/>
    <mergeCell ref="I24:J24"/>
    <mergeCell ref="K24:L24"/>
    <mergeCell ref="M24:N24"/>
    <mergeCell ref="O24:P24"/>
    <mergeCell ref="Q24:R24"/>
    <mergeCell ref="S24:T24"/>
    <mergeCell ref="U22:V22"/>
    <mergeCell ref="W22:X22"/>
    <mergeCell ref="Y22:Z22"/>
    <mergeCell ref="A23:B23"/>
    <mergeCell ref="C23:E23"/>
    <mergeCell ref="F23:H23"/>
    <mergeCell ref="I23:J23"/>
    <mergeCell ref="K23:L23"/>
    <mergeCell ref="M23:N23"/>
    <mergeCell ref="O23:P23"/>
    <mergeCell ref="Q23:R23"/>
    <mergeCell ref="S23:T23"/>
    <mergeCell ref="U23:V23"/>
    <mergeCell ref="W23:X23"/>
    <mergeCell ref="Y23:Z23"/>
    <mergeCell ref="A22:B22"/>
    <mergeCell ref="C22:E22"/>
    <mergeCell ref="F22:H22"/>
    <mergeCell ref="I22:J22"/>
    <mergeCell ref="K22:L22"/>
    <mergeCell ref="M22:N22"/>
    <mergeCell ref="O22:P22"/>
    <mergeCell ref="Q22:R22"/>
    <mergeCell ref="S22:T22"/>
    <mergeCell ref="U20:V20"/>
    <mergeCell ref="W20:X20"/>
    <mergeCell ref="Y20:Z20"/>
    <mergeCell ref="A21:B21"/>
    <mergeCell ref="C21:E21"/>
    <mergeCell ref="F21:H21"/>
    <mergeCell ref="I21:J21"/>
    <mergeCell ref="K21:L21"/>
    <mergeCell ref="M21:N21"/>
    <mergeCell ref="O21:P21"/>
    <mergeCell ref="Q21:R21"/>
    <mergeCell ref="S21:T21"/>
    <mergeCell ref="U21:V21"/>
    <mergeCell ref="W21:X21"/>
    <mergeCell ref="Y21:Z21"/>
    <mergeCell ref="A20:B20"/>
    <mergeCell ref="C20:E20"/>
    <mergeCell ref="F20:H20"/>
    <mergeCell ref="I20:J20"/>
    <mergeCell ref="K20:L20"/>
    <mergeCell ref="M20:N20"/>
    <mergeCell ref="O20:P20"/>
    <mergeCell ref="Q20:R20"/>
    <mergeCell ref="S20:T20"/>
    <mergeCell ref="U18:V18"/>
    <mergeCell ref="W18:X18"/>
    <mergeCell ref="Y18:Z18"/>
    <mergeCell ref="A19:B19"/>
    <mergeCell ref="C19:E19"/>
    <mergeCell ref="F19:H19"/>
    <mergeCell ref="I19:J19"/>
    <mergeCell ref="K19:L19"/>
    <mergeCell ref="M19:N19"/>
    <mergeCell ref="O19:P19"/>
    <mergeCell ref="Q19:R19"/>
    <mergeCell ref="S19:T19"/>
    <mergeCell ref="U19:V19"/>
    <mergeCell ref="W19:X19"/>
    <mergeCell ref="Y19:Z19"/>
    <mergeCell ref="A18:B18"/>
    <mergeCell ref="C18:E18"/>
    <mergeCell ref="F18:H18"/>
    <mergeCell ref="I18:J18"/>
    <mergeCell ref="K18:L18"/>
    <mergeCell ref="M18:N18"/>
    <mergeCell ref="O18:P18"/>
    <mergeCell ref="Q18:R18"/>
    <mergeCell ref="S18:T18"/>
    <mergeCell ref="Y14:Z14"/>
    <mergeCell ref="U16:V16"/>
    <mergeCell ref="W16:X16"/>
    <mergeCell ref="Y16:Z16"/>
    <mergeCell ref="A17:B17"/>
    <mergeCell ref="C17:E17"/>
    <mergeCell ref="F17:H17"/>
    <mergeCell ref="I17:J17"/>
    <mergeCell ref="K17:L17"/>
    <mergeCell ref="M17:N17"/>
    <mergeCell ref="O17:P17"/>
    <mergeCell ref="Q17:R17"/>
    <mergeCell ref="S17:T17"/>
    <mergeCell ref="U17:V17"/>
    <mergeCell ref="W17:X17"/>
    <mergeCell ref="Y17:Z17"/>
    <mergeCell ref="A16:B16"/>
    <mergeCell ref="C16:E16"/>
    <mergeCell ref="F16:H16"/>
    <mergeCell ref="I16:J16"/>
    <mergeCell ref="K16:L16"/>
    <mergeCell ref="M16:N16"/>
    <mergeCell ref="O16:P16"/>
    <mergeCell ref="Q16:R16"/>
    <mergeCell ref="S16:T16"/>
    <mergeCell ref="K11:L11"/>
    <mergeCell ref="M11:N11"/>
    <mergeCell ref="A15:B15"/>
    <mergeCell ref="C15:E15"/>
    <mergeCell ref="F15:H15"/>
    <mergeCell ref="I15:J15"/>
    <mergeCell ref="K15:L15"/>
    <mergeCell ref="M15:N15"/>
    <mergeCell ref="O15:P15"/>
    <mergeCell ref="Q15:R15"/>
    <mergeCell ref="S15:T15"/>
    <mergeCell ref="U15:V15"/>
    <mergeCell ref="W15:X15"/>
    <mergeCell ref="Y15:Z15"/>
    <mergeCell ref="A13:B13"/>
    <mergeCell ref="C13:E13"/>
    <mergeCell ref="F13:H13"/>
    <mergeCell ref="I13:J13"/>
    <mergeCell ref="K13:L13"/>
    <mergeCell ref="M13:N13"/>
    <mergeCell ref="A14:B14"/>
    <mergeCell ref="C14:E14"/>
    <mergeCell ref="F14:H14"/>
    <mergeCell ref="I14:J14"/>
    <mergeCell ref="K14:L14"/>
    <mergeCell ref="M14:N14"/>
    <mergeCell ref="O14:P14"/>
    <mergeCell ref="Q14:R14"/>
    <mergeCell ref="S14:T14"/>
    <mergeCell ref="O13:P13"/>
    <mergeCell ref="U14:V14"/>
    <mergeCell ref="W14:X14"/>
    <mergeCell ref="S8:T10"/>
    <mergeCell ref="U8:V10"/>
    <mergeCell ref="W9:X10"/>
    <mergeCell ref="BD9:BD10"/>
    <mergeCell ref="AS9:AS10"/>
    <mergeCell ref="AT9:AT10"/>
    <mergeCell ref="AR7:AT8"/>
    <mergeCell ref="AQ9:AQ10"/>
    <mergeCell ref="AR9:AR10"/>
    <mergeCell ref="AL7:AQ8"/>
    <mergeCell ref="A12:B12"/>
    <mergeCell ref="C12:E12"/>
    <mergeCell ref="F12:H12"/>
    <mergeCell ref="I12:J12"/>
    <mergeCell ref="K12:L12"/>
    <mergeCell ref="M12:N12"/>
    <mergeCell ref="O12:P12"/>
    <mergeCell ref="Q12:R12"/>
    <mergeCell ref="S12:T12"/>
    <mergeCell ref="O11:P11"/>
    <mergeCell ref="Q11:R11"/>
    <mergeCell ref="S11:T11"/>
    <mergeCell ref="U11:V11"/>
    <mergeCell ref="W11:X11"/>
    <mergeCell ref="Y11:Z11"/>
    <mergeCell ref="U12:V12"/>
    <mergeCell ref="W12:X12"/>
    <mergeCell ref="Y12:Z12"/>
    <mergeCell ref="A11:B11"/>
    <mergeCell ref="C11:E11"/>
    <mergeCell ref="F11:H11"/>
    <mergeCell ref="I11:J11"/>
    <mergeCell ref="CR9:CR10"/>
    <mergeCell ref="CG9:CG10"/>
    <mergeCell ref="CH9:CH10"/>
    <mergeCell ref="CI9:CI10"/>
    <mergeCell ref="CJ9:CJ10"/>
    <mergeCell ref="CK9:CK10"/>
    <mergeCell ref="CL9:CL10"/>
    <mergeCell ref="CA9:CA10"/>
    <mergeCell ref="CB9:CB10"/>
    <mergeCell ref="CC9:CC10"/>
    <mergeCell ref="CD9:CD10"/>
    <mergeCell ref="CE9:CE10"/>
    <mergeCell ref="CF9:CF10"/>
    <mergeCell ref="BT9:BT10"/>
    <mergeCell ref="Q13:R13"/>
    <mergeCell ref="S13:T13"/>
    <mergeCell ref="U13:V13"/>
    <mergeCell ref="W13:X13"/>
    <mergeCell ref="Y13:Z13"/>
    <mergeCell ref="AH8:AH10"/>
    <mergeCell ref="AI8:AI10"/>
    <mergeCell ref="AV9:AV10"/>
    <mergeCell ref="Y9:Z10"/>
    <mergeCell ref="CN7:CP8"/>
    <mergeCell ref="CQ7:CV8"/>
    <mergeCell ref="BE9:BE10"/>
    <mergeCell ref="BF9:BF10"/>
    <mergeCell ref="BI9:BI10"/>
    <mergeCell ref="BJ9:BJ10"/>
    <mergeCell ref="BA9:BA10"/>
    <mergeCell ref="BP9:BP10"/>
    <mergeCell ref="BQ9:BQ10"/>
    <mergeCell ref="BN6:CB6"/>
    <mergeCell ref="CC6:CQ6"/>
    <mergeCell ref="A2:E2"/>
    <mergeCell ref="F2:O2"/>
    <mergeCell ref="A7:B10"/>
    <mergeCell ref="C7:E10"/>
    <mergeCell ref="F7:H10"/>
    <mergeCell ref="I7:J10"/>
    <mergeCell ref="K7:L10"/>
    <mergeCell ref="M7:N10"/>
    <mergeCell ref="AG6:AU6"/>
    <mergeCell ref="AV6:BM6"/>
    <mergeCell ref="O7:P10"/>
    <mergeCell ref="Q7:V7"/>
    <mergeCell ref="W7:Z8"/>
    <mergeCell ref="AG7:AJ7"/>
    <mergeCell ref="AK7:AK10"/>
    <mergeCell ref="BS7:BX8"/>
    <mergeCell ref="BY7:CA8"/>
    <mergeCell ref="CB7:CG8"/>
    <mergeCell ref="CH7:CM8"/>
    <mergeCell ref="BL9:BL10"/>
    <mergeCell ref="BM9:BM10"/>
    <mergeCell ref="BN9:BN10"/>
    <mergeCell ref="BG9:BG10"/>
    <mergeCell ref="BH9:BH10"/>
    <mergeCell ref="AW9:AW10"/>
    <mergeCell ref="AX9:AX10"/>
    <mergeCell ref="AY9:AY10"/>
    <mergeCell ref="AZ9:AZ10"/>
    <mergeCell ref="BB9:BB10"/>
    <mergeCell ref="Q8:R10"/>
    <mergeCell ref="CS9:CS10"/>
    <mergeCell ref="AU7:AZ8"/>
    <mergeCell ref="BA7:BF8"/>
    <mergeCell ref="BG7:BL8"/>
    <mergeCell ref="BM7:BR8"/>
    <mergeCell ref="CT9:CT10"/>
    <mergeCell ref="CU9:CU10"/>
    <mergeCell ref="CV9:CV10"/>
    <mergeCell ref="CM9:CM10"/>
    <mergeCell ref="CN9:CN10"/>
    <mergeCell ref="CO9:CO10"/>
    <mergeCell ref="CP9:CP10"/>
    <mergeCell ref="CQ9:CQ10"/>
    <mergeCell ref="BR9:BR10"/>
    <mergeCell ref="AG8:AG10"/>
    <mergeCell ref="AJ8:AJ10"/>
    <mergeCell ref="BO9:BO10"/>
    <mergeCell ref="AL9:AL10"/>
    <mergeCell ref="AM9:AM10"/>
    <mergeCell ref="AN9:AN10"/>
    <mergeCell ref="AO9:AO10"/>
    <mergeCell ref="AP9:AP10"/>
    <mergeCell ref="BC9:BC10"/>
    <mergeCell ref="BU9:BU10"/>
    <mergeCell ref="BV9:BV10"/>
    <mergeCell ref="BW9:BW10"/>
    <mergeCell ref="BX9:BX10"/>
    <mergeCell ref="BY9:BY10"/>
    <mergeCell ref="BZ9:BZ10"/>
    <mergeCell ref="BS9:BS10"/>
    <mergeCell ref="AU9:AU10"/>
    <mergeCell ref="BK9:BK10"/>
    <mergeCell ref="AA27:AB27"/>
    <mergeCell ref="AA28:AB28"/>
    <mergeCell ref="AA29:AB29"/>
    <mergeCell ref="AA30:AB30"/>
    <mergeCell ref="AA31:AB31"/>
    <mergeCell ref="AA32:AB32"/>
    <mergeCell ref="AA33:AB33"/>
    <mergeCell ref="AA34:AB34"/>
    <mergeCell ref="AA35:AB35"/>
    <mergeCell ref="AA36:AB36"/>
    <mergeCell ref="AA37:AB37"/>
    <mergeCell ref="AA38:AB38"/>
    <mergeCell ref="AA39:AB39"/>
    <mergeCell ref="AA40:AB40"/>
    <mergeCell ref="AA41:AB41"/>
    <mergeCell ref="AA42:AB42"/>
    <mergeCell ref="AA43:AB43"/>
    <mergeCell ref="AA44:AB44"/>
    <mergeCell ref="AA45:AB45"/>
    <mergeCell ref="AA46:AB46"/>
    <mergeCell ref="AA47:AB47"/>
    <mergeCell ref="AA48:AB48"/>
    <mergeCell ref="AA49:AB49"/>
    <mergeCell ref="AA67:AB67"/>
    <mergeCell ref="AA68:AB68"/>
    <mergeCell ref="AC61:AF61"/>
    <mergeCell ref="AC62:AF62"/>
    <mergeCell ref="AC63:AF63"/>
    <mergeCell ref="AC64:AF64"/>
    <mergeCell ref="AC65:AF65"/>
    <mergeCell ref="AC66:AF66"/>
    <mergeCell ref="AC67:AF67"/>
    <mergeCell ref="AC68:AF68"/>
    <mergeCell ref="AA69:AB69"/>
    <mergeCell ref="AA50:AB50"/>
    <mergeCell ref="AA51:AB51"/>
    <mergeCell ref="AA52:AB52"/>
    <mergeCell ref="AA53:AB53"/>
    <mergeCell ref="AA54:AB54"/>
    <mergeCell ref="AA55:AB55"/>
    <mergeCell ref="AA56:AB56"/>
    <mergeCell ref="AA57:AB57"/>
    <mergeCell ref="AA58:AB58"/>
    <mergeCell ref="AA59:AB59"/>
    <mergeCell ref="AA60:AB60"/>
    <mergeCell ref="AA61:AB61"/>
    <mergeCell ref="AA62:AB62"/>
    <mergeCell ref="AA63:AB63"/>
    <mergeCell ref="AA64:AB64"/>
    <mergeCell ref="AA119:AB119"/>
    <mergeCell ref="AA101:AB101"/>
    <mergeCell ref="AA102:AB102"/>
    <mergeCell ref="AC86:AF86"/>
    <mergeCell ref="AC87:AF87"/>
    <mergeCell ref="AC88:AF88"/>
    <mergeCell ref="AC89:AF89"/>
    <mergeCell ref="AC90:AF90"/>
    <mergeCell ref="AC91:AF91"/>
    <mergeCell ref="AC92:AF92"/>
    <mergeCell ref="AC93:AF93"/>
    <mergeCell ref="AC94:AF94"/>
    <mergeCell ref="AC95:AF95"/>
    <mergeCell ref="AC96:AF96"/>
    <mergeCell ref="AC97:AF97"/>
    <mergeCell ref="AC98:AF98"/>
    <mergeCell ref="AA99:AB99"/>
    <mergeCell ref="AA100:AB100"/>
    <mergeCell ref="AC103:AF103"/>
    <mergeCell ref="AC104:AF104"/>
    <mergeCell ref="AC105:AF105"/>
    <mergeCell ref="AC106:AF106"/>
    <mergeCell ref="AC107:AF107"/>
    <mergeCell ref="AC108:AF108"/>
    <mergeCell ref="AC109:AF109"/>
    <mergeCell ref="AC110:AF110"/>
    <mergeCell ref="AC111:AF111"/>
    <mergeCell ref="AC112:AF112"/>
    <mergeCell ref="AC113:AF113"/>
    <mergeCell ref="AC114:AF114"/>
    <mergeCell ref="AC115:AF115"/>
    <mergeCell ref="AC116:AF116"/>
    <mergeCell ref="AA120:AB120"/>
    <mergeCell ref="AC72:AF72"/>
    <mergeCell ref="AC133:AF133"/>
    <mergeCell ref="AC134:AF134"/>
    <mergeCell ref="AC135:AF135"/>
    <mergeCell ref="AC136:AF136"/>
    <mergeCell ref="AA137:AB137"/>
    <mergeCell ref="AA138:AB138"/>
    <mergeCell ref="AA139:AB139"/>
    <mergeCell ref="AA140:AB140"/>
    <mergeCell ref="AA141:AB141"/>
    <mergeCell ref="AA142:AB142"/>
    <mergeCell ref="AA143:AB143"/>
    <mergeCell ref="AA144:AB144"/>
    <mergeCell ref="AA103:AB103"/>
    <mergeCell ref="AA104:AB104"/>
    <mergeCell ref="AA105:AB105"/>
    <mergeCell ref="AA106:AB106"/>
    <mergeCell ref="AA107:AB107"/>
    <mergeCell ref="AA108:AB108"/>
    <mergeCell ref="AA109:AB109"/>
    <mergeCell ref="AA110:AB110"/>
    <mergeCell ref="AA111:AB111"/>
    <mergeCell ref="AA112:AB112"/>
    <mergeCell ref="AA113:AB113"/>
    <mergeCell ref="AA114:AB114"/>
    <mergeCell ref="AA115:AB115"/>
    <mergeCell ref="AA116:AB116"/>
    <mergeCell ref="AA117:AB117"/>
    <mergeCell ref="AA135:AB135"/>
    <mergeCell ref="AA136:AB136"/>
    <mergeCell ref="AA118:AB118"/>
  </mergeCells>
  <phoneticPr fontId="1"/>
  <dataValidations count="6">
    <dataValidation type="list" allowBlank="1" showInputMessage="1" showErrorMessage="1" sqref="O11:P160">
      <formula1>$CW$14:$CX$14</formula1>
    </dataValidation>
    <dataValidation type="list" allowBlank="1" showInputMessage="1" showErrorMessage="1" sqref="I11:J160">
      <formula1>$CW$11:$DB$11</formula1>
    </dataValidation>
    <dataValidation type="list" allowBlank="1" showInputMessage="1" showErrorMessage="1" sqref="Q11:T160 W11:X160">
      <formula1>$CW$15:$CX$15</formula1>
    </dataValidation>
    <dataValidation type="list" allowBlank="1" showInputMessage="1" showErrorMessage="1" sqref="U11:V160">
      <formula1>$CW$16:$DV$16</formula1>
    </dataValidation>
    <dataValidation type="list" allowBlank="1" showInputMessage="1" showErrorMessage="1" sqref="K11:L160">
      <formula1>$CW$12:$CX$12</formula1>
    </dataValidation>
    <dataValidation type="list" allowBlank="1" showInputMessage="1" showErrorMessage="1" sqref="M11:N160">
      <formula1>$CW$13:$CX$13</formula1>
    </dataValidation>
  </dataValidations>
  <printOptions horizontalCentered="1"/>
  <pageMargins left="0.7" right="0.7" top="0.75" bottom="0.75" header="0.3" footer="0.3"/>
  <pageSetup paperSize="9" scale="69" orientation="portrait" r:id="rId1"/>
  <rowBreaks count="2" manualBreakCount="2">
    <brk id="160" max="31" man="1"/>
    <brk id="196"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72"/>
  <sheetViews>
    <sheetView workbookViewId="0">
      <selection activeCell="I5" sqref="I5"/>
    </sheetView>
  </sheetViews>
  <sheetFormatPr defaultRowHeight="18.75"/>
  <cols>
    <col min="2" max="2" width="56.25" bestFit="1" customWidth="1"/>
    <col min="3" max="4" width="20.625" bestFit="1" customWidth="1"/>
  </cols>
  <sheetData>
    <row r="2" spans="2:9">
      <c r="D2" t="s">
        <v>372</v>
      </c>
    </row>
    <row r="3" spans="2:9">
      <c r="B3" s="48" t="s">
        <v>427</v>
      </c>
      <c r="C3" s="1329" t="str">
        <f>C6&amp;C7</f>
        <v/>
      </c>
      <c r="D3" s="48" t="e">
        <f>D6&amp;D7</f>
        <v>#N/A</v>
      </c>
      <c r="F3" s="511" t="s">
        <v>846</v>
      </c>
      <c r="G3" s="512"/>
      <c r="H3" s="512"/>
      <c r="I3" s="513"/>
    </row>
    <row r="4" spans="2:9">
      <c r="B4" s="48" t="s">
        <v>545</v>
      </c>
      <c r="C4" s="1330"/>
      <c r="D4" s="48" t="e">
        <f>D6&amp;D8</f>
        <v>#N/A</v>
      </c>
      <c r="F4" s="514" t="s">
        <v>847</v>
      </c>
      <c r="G4" s="515"/>
      <c r="H4" s="515"/>
      <c r="I4" s="516">
        <f>'請求書（認定こども園）'!P118</f>
        <v>0</v>
      </c>
    </row>
    <row r="5" spans="2:9">
      <c r="B5" s="48" t="s">
        <v>610</v>
      </c>
      <c r="C5" s="1330"/>
      <c r="D5" s="48" t="e">
        <f>D6&amp;D9</f>
        <v>#N/A</v>
      </c>
      <c r="F5" s="514" t="s">
        <v>848</v>
      </c>
      <c r="G5" s="515"/>
      <c r="H5" s="515"/>
      <c r="I5" s="516">
        <f ca="1">LOOKUP(I4,計算用!C49:C66,計算用!B49:B67)</f>
        <v>0</v>
      </c>
    </row>
    <row r="6" spans="2:9">
      <c r="B6" s="48" t="s">
        <v>373</v>
      </c>
      <c r="C6" s="1330"/>
      <c r="D6" s="49" t="s">
        <v>450</v>
      </c>
      <c r="F6" s="514" t="s">
        <v>427</v>
      </c>
      <c r="G6" s="515"/>
      <c r="H6" s="515"/>
      <c r="I6" s="517" t="e">
        <f>I7&amp;D7</f>
        <v>#N/A</v>
      </c>
    </row>
    <row r="7" spans="2:9">
      <c r="B7" s="48" t="s">
        <v>428</v>
      </c>
      <c r="C7" s="1330"/>
      <c r="D7" s="48" t="e">
        <f>7+2*D10+17*2*D13</f>
        <v>#N/A</v>
      </c>
      <c r="F7" s="518" t="s">
        <v>373</v>
      </c>
      <c r="G7" s="519"/>
      <c r="H7" s="519"/>
      <c r="I7" s="520" t="s">
        <v>849</v>
      </c>
    </row>
    <row r="8" spans="2:9">
      <c r="B8" s="48" t="s">
        <v>546</v>
      </c>
      <c r="C8" s="1330"/>
      <c r="D8" s="48" t="e">
        <f>7+2*D11+17*2*D13</f>
        <v>#N/A</v>
      </c>
    </row>
    <row r="9" spans="2:9">
      <c r="B9" s="48" t="s">
        <v>611</v>
      </c>
      <c r="C9" s="1331"/>
      <c r="D9" s="48" t="e">
        <f>7+2*D12+17*2*D13</f>
        <v>#N/A</v>
      </c>
    </row>
    <row r="10" spans="2:9">
      <c r="B10" s="48" t="s">
        <v>749</v>
      </c>
      <c r="C10" s="48">
        <f>'請求書（認定こども園）'!F99</f>
        <v>0</v>
      </c>
      <c r="D10" s="48">
        <f>LOOKUP(C10,C56:C72,B56:B72)</f>
        <v>0</v>
      </c>
    </row>
    <row r="11" spans="2:9">
      <c r="B11" s="48" t="s">
        <v>544</v>
      </c>
      <c r="C11" s="48">
        <f>SUM('請求書（認定こども園）'!F99,'請求書（認定こども園）'!K102)</f>
        <v>0</v>
      </c>
      <c r="D11" s="48">
        <f>LOOKUP(C11,C56:C72,B56:B72)</f>
        <v>0</v>
      </c>
    </row>
    <row r="12" spans="2:9">
      <c r="B12" s="48" t="s">
        <v>609</v>
      </c>
      <c r="C12" s="48">
        <f>SUM('請求書（認定こども園）'!F99,'請求書（認定こども園）'!F102)</f>
        <v>0</v>
      </c>
      <c r="D12" s="48">
        <f>LOOKUP(C12,C56:C72,B56:B72)</f>
        <v>0</v>
      </c>
    </row>
    <row r="13" spans="2:9">
      <c r="B13" s="48" t="s">
        <v>1</v>
      </c>
      <c r="C13" s="48">
        <f>'請求書（認定こども園）'!F103</f>
        <v>0</v>
      </c>
      <c r="D13" s="48" t="e">
        <f>INDEX(B56:B63,MATCH(C13,D56:D63,0))</f>
        <v>#N/A</v>
      </c>
    </row>
    <row r="15" spans="2:9">
      <c r="B15" s="48" t="s">
        <v>429</v>
      </c>
      <c r="C15" s="50" t="s">
        <v>374</v>
      </c>
      <c r="D15" s="48">
        <v>3</v>
      </c>
    </row>
    <row r="16" spans="2:9">
      <c r="B16" s="1327" t="s">
        <v>430</v>
      </c>
      <c r="C16" s="51" t="s">
        <v>431</v>
      </c>
      <c r="D16" s="48">
        <v>7</v>
      </c>
    </row>
    <row r="17" spans="2:4">
      <c r="B17" s="1327"/>
      <c r="C17" s="50" t="s">
        <v>374</v>
      </c>
      <c r="D17" s="48">
        <v>9</v>
      </c>
    </row>
    <row r="18" spans="2:4">
      <c r="B18" s="1332" t="s">
        <v>451</v>
      </c>
      <c r="C18" s="52" t="s">
        <v>431</v>
      </c>
      <c r="D18" s="48">
        <v>12</v>
      </c>
    </row>
    <row r="19" spans="2:4">
      <c r="B19" s="1333"/>
      <c r="C19" s="53" t="s">
        <v>374</v>
      </c>
      <c r="D19" s="48">
        <v>14</v>
      </c>
    </row>
    <row r="20" spans="2:4">
      <c r="B20" s="1333" t="s">
        <v>432</v>
      </c>
      <c r="C20" s="52" t="s">
        <v>431</v>
      </c>
      <c r="D20" s="48">
        <v>17</v>
      </c>
    </row>
    <row r="21" spans="2:4">
      <c r="B21" s="1333"/>
      <c r="C21" s="53" t="s">
        <v>374</v>
      </c>
      <c r="D21" s="48">
        <v>18</v>
      </c>
    </row>
    <row r="22" spans="2:4">
      <c r="B22" s="1334" t="s">
        <v>433</v>
      </c>
      <c r="C22" s="51" t="s">
        <v>431</v>
      </c>
      <c r="D22" s="48">
        <v>21</v>
      </c>
    </row>
    <row r="23" spans="2:4">
      <c r="B23" s="1334"/>
      <c r="C23" s="50" t="s">
        <v>374</v>
      </c>
      <c r="D23" s="48">
        <v>23</v>
      </c>
    </row>
    <row r="24" spans="2:4">
      <c r="B24" s="1334" t="s">
        <v>434</v>
      </c>
      <c r="C24" s="51" t="s">
        <v>431</v>
      </c>
      <c r="D24" s="48">
        <v>26</v>
      </c>
    </row>
    <row r="25" spans="2:4">
      <c r="B25" s="1334"/>
      <c r="C25" s="50" t="s">
        <v>374</v>
      </c>
      <c r="D25" s="48">
        <v>28</v>
      </c>
    </row>
    <row r="26" spans="2:4">
      <c r="B26" s="1335" t="s">
        <v>435</v>
      </c>
      <c r="C26" s="52" t="s">
        <v>431</v>
      </c>
      <c r="D26" s="48">
        <v>31</v>
      </c>
    </row>
    <row r="27" spans="2:4">
      <c r="B27" s="1336"/>
      <c r="C27" s="53" t="s">
        <v>374</v>
      </c>
      <c r="D27" s="48">
        <v>33</v>
      </c>
    </row>
    <row r="28" spans="2:4">
      <c r="B28" s="1328" t="s">
        <v>436</v>
      </c>
      <c r="C28" s="51" t="s">
        <v>431</v>
      </c>
      <c r="D28" s="48">
        <v>36</v>
      </c>
    </row>
    <row r="29" spans="2:4">
      <c r="B29" s="1328"/>
      <c r="C29" s="50" t="s">
        <v>374</v>
      </c>
      <c r="D29" s="48">
        <v>38</v>
      </c>
    </row>
    <row r="30" spans="2:4">
      <c r="B30" s="1327" t="s">
        <v>437</v>
      </c>
      <c r="C30" s="51" t="s">
        <v>431</v>
      </c>
      <c r="D30" s="48">
        <v>41</v>
      </c>
    </row>
    <row r="31" spans="2:4">
      <c r="B31" s="1327"/>
      <c r="C31" s="50" t="s">
        <v>374</v>
      </c>
      <c r="D31" s="48">
        <v>43</v>
      </c>
    </row>
    <row r="32" spans="2:4">
      <c r="B32" s="1326" t="s">
        <v>438</v>
      </c>
      <c r="C32" s="51" t="s">
        <v>431</v>
      </c>
      <c r="D32" s="48">
        <v>46</v>
      </c>
    </row>
    <row r="33" spans="2:4">
      <c r="B33" s="1327"/>
      <c r="C33" s="50" t="s">
        <v>374</v>
      </c>
      <c r="D33" s="48">
        <v>48</v>
      </c>
    </row>
    <row r="34" spans="2:4">
      <c r="B34" s="1326" t="s">
        <v>439</v>
      </c>
      <c r="C34" s="51" t="s">
        <v>431</v>
      </c>
      <c r="D34" s="48">
        <v>50</v>
      </c>
    </row>
    <row r="35" spans="2:4">
      <c r="B35" s="1327"/>
      <c r="C35" s="50" t="s">
        <v>374</v>
      </c>
      <c r="D35" s="48">
        <v>52</v>
      </c>
    </row>
    <row r="36" spans="2:4">
      <c r="B36" s="54" t="s">
        <v>440</v>
      </c>
      <c r="C36" s="51" t="s">
        <v>431</v>
      </c>
      <c r="D36" s="48">
        <v>54</v>
      </c>
    </row>
    <row r="37" spans="2:4">
      <c r="B37" s="55" t="s">
        <v>441</v>
      </c>
      <c r="C37" s="56" t="s">
        <v>375</v>
      </c>
      <c r="D37" s="48">
        <v>56</v>
      </c>
    </row>
    <row r="38" spans="2:4">
      <c r="B38" s="1326" t="s">
        <v>452</v>
      </c>
      <c r="C38" s="51" t="s">
        <v>431</v>
      </c>
      <c r="D38" s="48">
        <v>58</v>
      </c>
    </row>
    <row r="39" spans="2:4">
      <c r="B39" s="1327"/>
      <c r="C39" s="50" t="s">
        <v>374</v>
      </c>
      <c r="D39" s="48">
        <v>60</v>
      </c>
    </row>
    <row r="40" spans="2:4">
      <c r="B40" s="1327" t="s">
        <v>442</v>
      </c>
      <c r="C40" s="51" t="s">
        <v>431</v>
      </c>
      <c r="D40" s="48">
        <v>63</v>
      </c>
    </row>
    <row r="41" spans="2:4">
      <c r="B41" s="1327"/>
      <c r="C41" s="50" t="s">
        <v>374</v>
      </c>
      <c r="D41" s="48">
        <v>65</v>
      </c>
    </row>
    <row r="42" spans="2:4">
      <c r="B42" s="1326" t="s">
        <v>453</v>
      </c>
      <c r="C42" s="51" t="s">
        <v>431</v>
      </c>
      <c r="D42" s="48">
        <v>69</v>
      </c>
    </row>
    <row r="43" spans="2:4">
      <c r="B43" s="1327"/>
      <c r="C43" s="50" t="s">
        <v>374</v>
      </c>
      <c r="D43" s="48">
        <v>71</v>
      </c>
    </row>
    <row r="44" spans="2:4" ht="27">
      <c r="B44" s="51" t="s">
        <v>443</v>
      </c>
      <c r="C44" s="57" t="s">
        <v>376</v>
      </c>
      <c r="D44" s="48">
        <v>75</v>
      </c>
    </row>
    <row r="45" spans="2:4">
      <c r="B45" s="48" t="s">
        <v>377</v>
      </c>
      <c r="C45" s="48">
        <f>'請求書（認定こども園）'!K200</f>
        <v>0</v>
      </c>
      <c r="D45" s="48" t="str">
        <f>IFERROR(INDEX(B56:B60,MATCH(C45,E56:E60,0)),"4")</f>
        <v>4</v>
      </c>
    </row>
    <row r="46" spans="2:4">
      <c r="B46" s="48" t="s">
        <v>444</v>
      </c>
      <c r="C46" s="48" t="str">
        <f>IFERROR('請求書（認定こども園）'!#REF!,"0")</f>
        <v>0</v>
      </c>
      <c r="D46" s="48" t="str">
        <f>IFERROR(INDEX(B56:B58,MATCH(C46,F56:F58,0)),"0")</f>
        <v>0</v>
      </c>
    </row>
    <row r="47" spans="2:4">
      <c r="B47" s="1326" t="s">
        <v>728</v>
      </c>
      <c r="C47" s="48" t="s">
        <v>372</v>
      </c>
      <c r="D47" s="49" t="str">
        <f>C48&amp;D48</f>
        <v>'１号単価表③'!C4</v>
      </c>
    </row>
    <row r="48" spans="2:4">
      <c r="B48" s="1327"/>
      <c r="C48" s="49" t="s">
        <v>748</v>
      </c>
      <c r="D48" s="48">
        <f>4+3*D10</f>
        <v>4</v>
      </c>
    </row>
    <row r="53" spans="1:6">
      <c r="A53" s="58"/>
      <c r="B53" s="58"/>
      <c r="C53" s="58"/>
      <c r="D53" s="58"/>
      <c r="E53" s="58"/>
      <c r="F53" s="58"/>
    </row>
    <row r="54" spans="1:6">
      <c r="A54" s="58"/>
      <c r="B54" s="58"/>
      <c r="C54" s="58"/>
      <c r="D54" s="58"/>
      <c r="E54" s="58"/>
      <c r="F54" s="58"/>
    </row>
    <row r="55" spans="1:6">
      <c r="A55" s="58"/>
      <c r="B55" s="58" t="s">
        <v>378</v>
      </c>
      <c r="C55" s="58" t="s">
        <v>445</v>
      </c>
      <c r="D55" s="58" t="s">
        <v>379</v>
      </c>
      <c r="E55" s="58" t="s">
        <v>380</v>
      </c>
      <c r="F55" s="58" t="s">
        <v>381</v>
      </c>
    </row>
    <row r="56" spans="1:6">
      <c r="B56">
        <v>0</v>
      </c>
      <c r="C56">
        <v>0</v>
      </c>
      <c r="D56" t="s">
        <v>446</v>
      </c>
      <c r="E56" t="s">
        <v>382</v>
      </c>
      <c r="F56" t="s">
        <v>454</v>
      </c>
    </row>
    <row r="57" spans="1:6">
      <c r="B57">
        <v>1</v>
      </c>
      <c r="C57">
        <v>16</v>
      </c>
      <c r="D57" t="s">
        <v>447</v>
      </c>
      <c r="E57" t="s">
        <v>384</v>
      </c>
      <c r="F57" t="s">
        <v>383</v>
      </c>
    </row>
    <row r="58" spans="1:6">
      <c r="B58">
        <v>2</v>
      </c>
      <c r="C58">
        <v>26</v>
      </c>
      <c r="D58" t="s">
        <v>448</v>
      </c>
      <c r="E58" t="s">
        <v>386</v>
      </c>
      <c r="F58" t="s">
        <v>385</v>
      </c>
    </row>
    <row r="59" spans="1:6">
      <c r="B59">
        <v>3</v>
      </c>
      <c r="C59">
        <v>36</v>
      </c>
      <c r="D59" t="s">
        <v>388</v>
      </c>
      <c r="E59" t="s">
        <v>389</v>
      </c>
      <c r="F59" t="s">
        <v>387</v>
      </c>
    </row>
    <row r="60" spans="1:6">
      <c r="B60">
        <v>4</v>
      </c>
      <c r="C60">
        <v>46</v>
      </c>
      <c r="D60" t="s">
        <v>390</v>
      </c>
      <c r="E60" t="s">
        <v>80</v>
      </c>
    </row>
    <row r="61" spans="1:6">
      <c r="B61">
        <v>5</v>
      </c>
      <c r="C61">
        <v>61</v>
      </c>
      <c r="D61" t="s">
        <v>391</v>
      </c>
    </row>
    <row r="62" spans="1:6">
      <c r="B62">
        <v>6</v>
      </c>
      <c r="C62">
        <v>76</v>
      </c>
      <c r="D62" t="s">
        <v>449</v>
      </c>
    </row>
    <row r="63" spans="1:6">
      <c r="B63">
        <v>7</v>
      </c>
      <c r="C63">
        <v>91</v>
      </c>
      <c r="D63" t="s">
        <v>392</v>
      </c>
    </row>
    <row r="64" spans="1:6">
      <c r="B64">
        <v>8</v>
      </c>
      <c r="C64">
        <v>106</v>
      </c>
    </row>
    <row r="65" spans="2:3">
      <c r="B65">
        <v>9</v>
      </c>
      <c r="C65">
        <v>121</v>
      </c>
    </row>
    <row r="66" spans="2:3">
      <c r="B66">
        <v>10</v>
      </c>
      <c r="C66">
        <v>136</v>
      </c>
    </row>
    <row r="67" spans="2:3">
      <c r="B67">
        <v>11</v>
      </c>
      <c r="C67">
        <v>151</v>
      </c>
    </row>
    <row r="68" spans="2:3">
      <c r="B68">
        <v>12</v>
      </c>
      <c r="C68">
        <v>181</v>
      </c>
    </row>
    <row r="69" spans="2:3">
      <c r="B69">
        <v>13</v>
      </c>
      <c r="C69">
        <v>211</v>
      </c>
    </row>
    <row r="70" spans="2:3">
      <c r="B70">
        <v>14</v>
      </c>
      <c r="C70">
        <v>241</v>
      </c>
    </row>
    <row r="71" spans="2:3">
      <c r="B71">
        <v>15</v>
      </c>
      <c r="C71">
        <v>271</v>
      </c>
    </row>
    <row r="72" spans="2:3">
      <c r="B72">
        <v>16</v>
      </c>
      <c r="C72">
        <v>301</v>
      </c>
    </row>
  </sheetData>
  <mergeCells count="15">
    <mergeCell ref="C3:C9"/>
    <mergeCell ref="B18:B19"/>
    <mergeCell ref="B38:B39"/>
    <mergeCell ref="B16:B17"/>
    <mergeCell ref="B20:B21"/>
    <mergeCell ref="B22:B23"/>
    <mergeCell ref="B24:B25"/>
    <mergeCell ref="B26:B27"/>
    <mergeCell ref="B47:B48"/>
    <mergeCell ref="B42:B43"/>
    <mergeCell ref="B28:B29"/>
    <mergeCell ref="B30:B31"/>
    <mergeCell ref="B32:B33"/>
    <mergeCell ref="B34:B35"/>
    <mergeCell ref="B40:B41"/>
  </mergeCells>
  <phoneticPr fontId="1"/>
  <conditionalFormatting sqref="B21 B20:C20">
    <cfRule type="expression" dxfId="1502" priority="2" stopIfTrue="1">
      <formula>#REF!=0</formula>
    </cfRule>
  </conditionalFormatting>
  <conditionalFormatting sqref="B19 B18:C18">
    <cfRule type="expression" dxfId="1501" priority="1" stopIfTrue="1">
      <formula>#REF!=0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M87"/>
  <sheetViews>
    <sheetView topLeftCell="C2" workbookViewId="0">
      <selection activeCell="I5" sqref="I5"/>
    </sheetView>
  </sheetViews>
  <sheetFormatPr defaultRowHeight="18.75"/>
  <cols>
    <col min="1" max="1" width="9" style="60"/>
    <col min="2" max="2" width="56.25" style="60" bestFit="1" customWidth="1"/>
    <col min="3" max="4" width="20.625" style="60" bestFit="1" customWidth="1"/>
    <col min="5" max="6" width="15.125" style="60" bestFit="1" customWidth="1"/>
    <col min="7" max="8" width="9" style="60"/>
    <col min="9" max="9" width="21.25" style="60" bestFit="1" customWidth="1"/>
    <col min="10" max="10" width="23.5" style="60" bestFit="1" customWidth="1"/>
    <col min="11" max="11" width="25.625" style="60" bestFit="1" customWidth="1"/>
    <col min="12" max="16384" width="9" style="60"/>
  </cols>
  <sheetData>
    <row r="2" spans="2:9">
      <c r="D2" s="60" t="s">
        <v>372</v>
      </c>
    </row>
    <row r="3" spans="2:9">
      <c r="B3" s="65" t="s">
        <v>506</v>
      </c>
      <c r="C3" s="1350" t="str">
        <f>C8&amp;C9</f>
        <v/>
      </c>
      <c r="D3" s="65" t="e">
        <f>$D$8&amp;D9</f>
        <v>#N/A</v>
      </c>
      <c r="F3" s="511" t="s">
        <v>846</v>
      </c>
      <c r="G3" s="512"/>
      <c r="H3" s="512"/>
      <c r="I3" s="513"/>
    </row>
    <row r="4" spans="2:9">
      <c r="B4" s="65" t="s">
        <v>507</v>
      </c>
      <c r="C4" s="1351"/>
      <c r="D4" s="65" t="e">
        <f>$D$8&amp;D10</f>
        <v>#N/A</v>
      </c>
      <c r="F4" s="514" t="s">
        <v>847</v>
      </c>
      <c r="G4" s="515"/>
      <c r="H4" s="515"/>
      <c r="I4" s="516">
        <f>'請求書（認定こども園）'!P118</f>
        <v>0</v>
      </c>
    </row>
    <row r="5" spans="2:9">
      <c r="B5" s="65" t="s">
        <v>508</v>
      </c>
      <c r="C5" s="1351"/>
      <c r="D5" s="65" t="e">
        <f>$D$8&amp;D11</f>
        <v>#N/A</v>
      </c>
      <c r="F5" s="514" t="s">
        <v>848</v>
      </c>
      <c r="G5" s="515"/>
      <c r="H5" s="515"/>
      <c r="I5" s="516" t="e">
        <f>LOOKUP(I4,C64:C81,B64:B81)</f>
        <v>#N/A</v>
      </c>
    </row>
    <row r="6" spans="2:9">
      <c r="B6" s="65" t="s">
        <v>545</v>
      </c>
      <c r="C6" s="1351"/>
      <c r="D6" s="65" t="e">
        <f>$D$8&amp;D12</f>
        <v>#N/A</v>
      </c>
      <c r="F6" s="514" t="s">
        <v>427</v>
      </c>
      <c r="G6" s="515"/>
      <c r="H6" s="515"/>
      <c r="I6" s="517" t="e">
        <f>I7&amp;D9</f>
        <v>#N/A</v>
      </c>
    </row>
    <row r="7" spans="2:9">
      <c r="B7" s="65" t="s">
        <v>610</v>
      </c>
      <c r="C7" s="1351"/>
      <c r="D7" s="65" t="e">
        <f>$D$8&amp;D13</f>
        <v>#N/A</v>
      </c>
      <c r="F7" s="518" t="s">
        <v>373</v>
      </c>
      <c r="G7" s="519"/>
      <c r="H7" s="519"/>
      <c r="I7" s="520" t="s">
        <v>849</v>
      </c>
    </row>
    <row r="8" spans="2:9">
      <c r="B8" s="65" t="s">
        <v>373</v>
      </c>
      <c r="C8" s="1351"/>
      <c r="D8" s="66" t="s">
        <v>538</v>
      </c>
    </row>
    <row r="9" spans="2:9">
      <c r="B9" s="65" t="s">
        <v>509</v>
      </c>
      <c r="C9" s="1351"/>
      <c r="D9" s="65" t="e">
        <f>7+4*D14+4*18*計算用２!$D$19</f>
        <v>#N/A</v>
      </c>
    </row>
    <row r="10" spans="2:9">
      <c r="B10" s="65" t="s">
        <v>510</v>
      </c>
      <c r="C10" s="1351"/>
      <c r="D10" s="65" t="e">
        <f>7+4*D15+4*18*計算用２!$D$19</f>
        <v>#N/A</v>
      </c>
    </row>
    <row r="11" spans="2:9">
      <c r="B11" s="65" t="s">
        <v>511</v>
      </c>
      <c r="C11" s="1351"/>
      <c r="D11" s="65" t="e">
        <f>7+4*D16+4*18*計算用２!$D$19</f>
        <v>#N/A</v>
      </c>
    </row>
    <row r="12" spans="2:9">
      <c r="B12" s="65" t="s">
        <v>546</v>
      </c>
      <c r="C12" s="1351"/>
      <c r="D12" s="65" t="e">
        <f>7+4*D17+4*18*計算用２!$D$19</f>
        <v>#N/A</v>
      </c>
    </row>
    <row r="13" spans="2:9">
      <c r="B13" s="65" t="s">
        <v>615</v>
      </c>
      <c r="C13" s="1352"/>
      <c r="D13" s="65" t="e">
        <f>7+13+3*D18+4*18*D19</f>
        <v>#N/A</v>
      </c>
    </row>
    <row r="14" spans="2:9">
      <c r="B14" s="65" t="s">
        <v>512</v>
      </c>
      <c r="C14" s="65">
        <f>'請求書（認定こども園）'!F100</f>
        <v>0</v>
      </c>
      <c r="D14" s="65" t="e">
        <f>LOOKUP(C14,C64:C81,B64:B81)</f>
        <v>#N/A</v>
      </c>
    </row>
    <row r="15" spans="2:9">
      <c r="B15" s="65" t="s">
        <v>513</v>
      </c>
      <c r="C15" s="65">
        <f>'請求書（認定こども園）'!F101</f>
        <v>0</v>
      </c>
      <c r="D15" s="65" t="e">
        <f>LOOKUP(C15,C64:C81,B64:B81)</f>
        <v>#N/A</v>
      </c>
    </row>
    <row r="16" spans="2:9">
      <c r="B16" s="65" t="s">
        <v>514</v>
      </c>
      <c r="C16" s="65">
        <f>'請求書（認定こども園）'!F102</f>
        <v>0</v>
      </c>
      <c r="D16" s="65" t="e">
        <f>LOOKUP(C16,C64:C81,B64:B81)</f>
        <v>#N/A</v>
      </c>
    </row>
    <row r="17" spans="2:4">
      <c r="B17" s="65" t="s">
        <v>547</v>
      </c>
      <c r="C17" s="65">
        <f>SUM('請求書（認定こども園）'!F99,'請求書（認定こども園）'!K102)</f>
        <v>0</v>
      </c>
      <c r="D17" s="65" t="e">
        <f>LOOKUP(C17,F64:F81,B64:B81)</f>
        <v>#N/A</v>
      </c>
    </row>
    <row r="18" spans="2:4">
      <c r="B18" s="65" t="s">
        <v>609</v>
      </c>
      <c r="C18" s="65">
        <f>SUM('請求書（認定こども園）'!F99,'請求書（認定こども園）'!F102)</f>
        <v>0</v>
      </c>
      <c r="D18" s="65" t="e">
        <f>LOOKUP(C18,F64:F81,B64:B81)</f>
        <v>#N/A</v>
      </c>
    </row>
    <row r="19" spans="2:4">
      <c r="B19" s="65" t="s">
        <v>1</v>
      </c>
      <c r="C19" s="65">
        <f>'請求書（認定こども園）'!F103</f>
        <v>0</v>
      </c>
      <c r="D19" s="65" t="e">
        <f>INDEX(B64:B71,MATCH(C19,D64:D71,0))</f>
        <v>#N/A</v>
      </c>
    </row>
    <row r="21" spans="2:4">
      <c r="B21" s="65" t="s">
        <v>515</v>
      </c>
      <c r="C21" s="59" t="s">
        <v>374</v>
      </c>
      <c r="D21" s="65">
        <v>2</v>
      </c>
    </row>
    <row r="22" spans="2:4">
      <c r="B22" s="65" t="s">
        <v>516</v>
      </c>
      <c r="C22" s="59" t="s">
        <v>374</v>
      </c>
      <c r="D22" s="65">
        <v>5</v>
      </c>
    </row>
    <row r="23" spans="2:4">
      <c r="B23" s="65" t="s">
        <v>517</v>
      </c>
      <c r="C23" s="59" t="s">
        <v>374</v>
      </c>
      <c r="D23" s="65">
        <v>8</v>
      </c>
    </row>
    <row r="24" spans="2:4">
      <c r="B24" s="1340" t="s">
        <v>518</v>
      </c>
      <c r="C24" s="59" t="s">
        <v>519</v>
      </c>
      <c r="D24" s="65">
        <v>12</v>
      </c>
    </row>
    <row r="25" spans="2:4">
      <c r="B25" s="1340"/>
      <c r="C25" s="59" t="s">
        <v>374</v>
      </c>
      <c r="D25" s="65">
        <v>13</v>
      </c>
    </row>
    <row r="26" spans="2:4">
      <c r="B26" s="1346" t="s">
        <v>520</v>
      </c>
      <c r="C26" s="59" t="s">
        <v>519</v>
      </c>
      <c r="D26" s="65">
        <v>17</v>
      </c>
    </row>
    <row r="27" spans="2:4">
      <c r="B27" s="1347"/>
      <c r="C27" s="59" t="s">
        <v>374</v>
      </c>
      <c r="D27" s="65">
        <v>19</v>
      </c>
    </row>
    <row r="28" spans="2:4">
      <c r="B28" s="1348"/>
      <c r="C28" s="59" t="s">
        <v>100</v>
      </c>
      <c r="D28" s="65">
        <f>IFERROR(INDEX(B64:B77,MATCH('請求書（認定こども園）'!K292,計算用２!E64:E77,0)),0)</f>
        <v>0</v>
      </c>
    </row>
    <row r="29" spans="2:4">
      <c r="B29" s="1340" t="s">
        <v>521</v>
      </c>
      <c r="C29" s="59" t="s">
        <v>519</v>
      </c>
      <c r="D29" s="65">
        <v>24</v>
      </c>
    </row>
    <row r="30" spans="2:4">
      <c r="B30" s="1340"/>
      <c r="C30" s="59" t="s">
        <v>374</v>
      </c>
      <c r="D30" s="65">
        <v>27</v>
      </c>
    </row>
    <row r="31" spans="2:4">
      <c r="B31" s="1340" t="s">
        <v>540</v>
      </c>
      <c r="C31" s="59" t="s">
        <v>519</v>
      </c>
      <c r="D31" s="65">
        <v>30</v>
      </c>
    </row>
    <row r="32" spans="2:4">
      <c r="B32" s="1340"/>
      <c r="C32" s="59" t="s">
        <v>374</v>
      </c>
      <c r="D32" s="65">
        <v>33</v>
      </c>
    </row>
    <row r="33" spans="2:4">
      <c r="B33" s="1341" t="s">
        <v>522</v>
      </c>
      <c r="C33" s="59" t="s">
        <v>519</v>
      </c>
      <c r="D33" s="65">
        <v>36</v>
      </c>
    </row>
    <row r="34" spans="2:4">
      <c r="B34" s="1343"/>
      <c r="C34" s="59" t="s">
        <v>100</v>
      </c>
      <c r="D34" s="65">
        <f>IFERROR(INDEX(B64:B65,MATCH('請求書（認定こども園）'!K304,計算用２!G64:G65,0)),0)</f>
        <v>0</v>
      </c>
    </row>
    <row r="35" spans="2:4">
      <c r="B35" s="1341" t="s">
        <v>523</v>
      </c>
      <c r="C35" s="59" t="s">
        <v>519</v>
      </c>
      <c r="D35" s="65">
        <v>42</v>
      </c>
    </row>
    <row r="36" spans="2:4">
      <c r="B36" s="1342"/>
      <c r="C36" s="59" t="s">
        <v>100</v>
      </c>
      <c r="D36" s="65">
        <f>IFERROR(INDEX(B64:B65,MATCH('請求書（認定こども園）'!K305,計算用２!H64:H65,0)),0)</f>
        <v>0</v>
      </c>
    </row>
    <row r="37" spans="2:4">
      <c r="B37" s="1343"/>
      <c r="C37" s="59" t="s">
        <v>100</v>
      </c>
      <c r="D37" s="65">
        <f>IFERROR(INDEX(B64:B67,MATCH('請求書（認定こども園）'!K306,計算用２!I64:I67,0)),0)</f>
        <v>0</v>
      </c>
    </row>
    <row r="38" spans="2:4">
      <c r="B38" s="70" t="s">
        <v>613</v>
      </c>
      <c r="C38" s="71" t="s">
        <v>614</v>
      </c>
      <c r="D38" s="65">
        <v>47</v>
      </c>
    </row>
    <row r="39" spans="2:4">
      <c r="B39" s="67" t="s">
        <v>524</v>
      </c>
      <c r="C39" s="59" t="s">
        <v>375</v>
      </c>
      <c r="D39" s="65">
        <v>49</v>
      </c>
    </row>
    <row r="40" spans="2:4">
      <c r="B40" s="1340" t="s">
        <v>548</v>
      </c>
      <c r="C40" s="59" t="s">
        <v>519</v>
      </c>
      <c r="D40" s="65">
        <v>51</v>
      </c>
    </row>
    <row r="41" spans="2:4">
      <c r="B41" s="1340"/>
      <c r="C41" s="59" t="s">
        <v>374</v>
      </c>
      <c r="D41" s="65">
        <v>53</v>
      </c>
    </row>
    <row r="42" spans="2:4" ht="37.5">
      <c r="B42" s="67" t="s">
        <v>525</v>
      </c>
      <c r="C42" s="68" t="s">
        <v>526</v>
      </c>
      <c r="D42" s="65">
        <v>56</v>
      </c>
    </row>
    <row r="43" spans="2:4">
      <c r="B43" s="1349" t="s">
        <v>527</v>
      </c>
      <c r="C43" s="59" t="s">
        <v>519</v>
      </c>
      <c r="D43" s="65">
        <v>43</v>
      </c>
    </row>
    <row r="44" spans="2:4">
      <c r="B44" s="1349"/>
      <c r="C44" s="59" t="s">
        <v>374</v>
      </c>
      <c r="D44" s="65">
        <v>45</v>
      </c>
    </row>
    <row r="45" spans="2:4" ht="37.5">
      <c r="B45" s="1337" t="s">
        <v>528</v>
      </c>
      <c r="C45" s="68" t="s">
        <v>376</v>
      </c>
      <c r="D45" s="65">
        <v>58</v>
      </c>
    </row>
    <row r="46" spans="2:4">
      <c r="B46" s="1338"/>
      <c r="C46" s="59" t="s">
        <v>100</v>
      </c>
      <c r="D46" s="65">
        <f>IFERROR(INDEX(B64:B67,MATCH('請求書（認定こども園）'!I322,計算用２!J64:J67,0)),0)</f>
        <v>0</v>
      </c>
    </row>
    <row r="47" spans="2:4" s="58" customFormat="1">
      <c r="B47" s="1344" t="s">
        <v>452</v>
      </c>
      <c r="C47" s="52" t="s">
        <v>431</v>
      </c>
      <c r="D47" s="69">
        <v>63</v>
      </c>
    </row>
    <row r="48" spans="2:4" s="58" customFormat="1">
      <c r="B48" s="1345"/>
      <c r="C48" s="53" t="s">
        <v>374</v>
      </c>
      <c r="D48" s="69">
        <v>65</v>
      </c>
    </row>
    <row r="49" spans="2:13" s="58" customFormat="1">
      <c r="B49" s="1345" t="s">
        <v>442</v>
      </c>
      <c r="C49" s="52" t="s">
        <v>431</v>
      </c>
      <c r="D49" s="69">
        <v>68</v>
      </c>
    </row>
    <row r="50" spans="2:13" s="58" customFormat="1">
      <c r="B50" s="1345"/>
      <c r="C50" s="53" t="s">
        <v>374</v>
      </c>
      <c r="D50" s="69">
        <v>70</v>
      </c>
    </row>
    <row r="51" spans="2:13" s="58" customFormat="1">
      <c r="B51" s="1344" t="s">
        <v>453</v>
      </c>
      <c r="C51" s="52" t="s">
        <v>431</v>
      </c>
      <c r="D51" s="69">
        <v>74</v>
      </c>
    </row>
    <row r="52" spans="2:13" s="58" customFormat="1">
      <c r="B52" s="1345"/>
      <c r="C52" s="53" t="s">
        <v>374</v>
      </c>
      <c r="D52" s="69">
        <v>76</v>
      </c>
    </row>
    <row r="53" spans="2:13" ht="37.5">
      <c r="B53" s="65" t="s">
        <v>529</v>
      </c>
      <c r="C53" s="68" t="s">
        <v>376</v>
      </c>
      <c r="D53" s="65">
        <v>80</v>
      </c>
    </row>
    <row r="54" spans="2:13">
      <c r="B54" s="65" t="s">
        <v>377</v>
      </c>
      <c r="C54" s="65" t="str">
        <f>IFERROR('請求書（認定こども園）'!K367,"その他")</f>
        <v>その他</v>
      </c>
      <c r="D54" s="65">
        <f>IFERROR(INDEX(B64:B68,MATCH(C54,K64:K68,0)),"4")</f>
        <v>4</v>
      </c>
    </row>
    <row r="55" spans="2:13">
      <c r="B55" s="65" t="s">
        <v>530</v>
      </c>
      <c r="C55" s="65">
        <f>IFERROR('請求書（認定こども園）'!I372,"0")</f>
        <v>0</v>
      </c>
      <c r="D55" s="65" t="str">
        <f>IFERROR(INDEX(B64:B66,MATCH(C55,L64:L66,0)),"0")</f>
        <v>0</v>
      </c>
    </row>
    <row r="56" spans="2:13">
      <c r="B56" s="1326" t="s">
        <v>728</v>
      </c>
      <c r="C56" s="48" t="s">
        <v>372</v>
      </c>
      <c r="D56" s="49" t="e">
        <f>C57&amp;D57</f>
        <v>#N/A</v>
      </c>
    </row>
    <row r="57" spans="2:13">
      <c r="B57" s="1327"/>
      <c r="C57" s="49" t="s">
        <v>751</v>
      </c>
      <c r="D57" s="48" t="e">
        <f>4+4*D14</f>
        <v>#N/A</v>
      </c>
    </row>
    <row r="58" spans="2:13">
      <c r="B58" s="1326" t="s">
        <v>750</v>
      </c>
      <c r="C58" s="48" t="s">
        <v>372</v>
      </c>
      <c r="D58" s="49" t="e">
        <f>C59&amp;D59</f>
        <v>#N/A</v>
      </c>
    </row>
    <row r="59" spans="2:13">
      <c r="B59" s="1327"/>
      <c r="C59" s="49" t="s">
        <v>751</v>
      </c>
      <c r="D59" s="48" t="e">
        <f>4+4*D15</f>
        <v>#N/A</v>
      </c>
    </row>
    <row r="63" spans="2:13">
      <c r="B63" s="60" t="s">
        <v>378</v>
      </c>
      <c r="C63" s="60" t="s">
        <v>612</v>
      </c>
      <c r="D63" s="60" t="s">
        <v>379</v>
      </c>
      <c r="E63" s="60" t="s">
        <v>531</v>
      </c>
      <c r="F63" s="58" t="s">
        <v>616</v>
      </c>
      <c r="G63" s="60" t="s">
        <v>484</v>
      </c>
      <c r="H63" s="1339" t="s">
        <v>486</v>
      </c>
      <c r="I63" s="1339"/>
      <c r="J63" s="61" t="s">
        <v>492</v>
      </c>
      <c r="K63" s="60" t="s">
        <v>380</v>
      </c>
      <c r="L63" s="60" t="s">
        <v>530</v>
      </c>
      <c r="M63" s="60" t="s">
        <v>381</v>
      </c>
    </row>
    <row r="64" spans="2:13">
      <c r="B64" s="60">
        <v>0</v>
      </c>
      <c r="C64" s="60">
        <v>10</v>
      </c>
      <c r="D64" s="60" t="s">
        <v>532</v>
      </c>
      <c r="E64" s="62" t="s">
        <v>467</v>
      </c>
      <c r="F64">
        <v>15</v>
      </c>
      <c r="G64" s="62" t="s">
        <v>458</v>
      </c>
      <c r="H64" s="62" t="s">
        <v>458</v>
      </c>
      <c r="I64" s="62" t="s">
        <v>487</v>
      </c>
      <c r="J64" s="63" t="s">
        <v>495</v>
      </c>
      <c r="K64" s="60" t="s">
        <v>382</v>
      </c>
      <c r="L64" s="64" t="s">
        <v>503</v>
      </c>
      <c r="M64" s="60" t="s">
        <v>454</v>
      </c>
    </row>
    <row r="65" spans="2:13">
      <c r="B65" s="60">
        <v>1</v>
      </c>
      <c r="C65" s="60">
        <v>11</v>
      </c>
      <c r="D65" s="60" t="s">
        <v>533</v>
      </c>
      <c r="E65" s="62" t="s">
        <v>468</v>
      </c>
      <c r="F65">
        <v>16</v>
      </c>
      <c r="G65" s="62" t="s">
        <v>485</v>
      </c>
      <c r="H65" s="62" t="s">
        <v>485</v>
      </c>
      <c r="I65" s="62" t="s">
        <v>488</v>
      </c>
      <c r="J65" s="63" t="s">
        <v>496</v>
      </c>
      <c r="K65" s="60" t="s">
        <v>384</v>
      </c>
      <c r="L65" s="64" t="s">
        <v>504</v>
      </c>
      <c r="M65" s="60" t="s">
        <v>383</v>
      </c>
    </row>
    <row r="66" spans="2:13">
      <c r="B66" s="60">
        <v>2</v>
      </c>
      <c r="C66" s="60">
        <v>21</v>
      </c>
      <c r="D66" s="60" t="s">
        <v>534</v>
      </c>
      <c r="E66" s="62" t="s">
        <v>469</v>
      </c>
      <c r="F66">
        <v>26</v>
      </c>
      <c r="G66" s="62"/>
      <c r="H66" s="62"/>
      <c r="I66" s="62" t="s">
        <v>489</v>
      </c>
      <c r="J66" s="63" t="s">
        <v>497</v>
      </c>
      <c r="K66" s="60" t="s">
        <v>386</v>
      </c>
      <c r="L66" s="64" t="s">
        <v>505</v>
      </c>
      <c r="M66" s="60" t="s">
        <v>385</v>
      </c>
    </row>
    <row r="67" spans="2:13">
      <c r="B67" s="60">
        <v>3</v>
      </c>
      <c r="C67" s="60">
        <v>31</v>
      </c>
      <c r="D67" s="60" t="s">
        <v>388</v>
      </c>
      <c r="E67" s="62" t="s">
        <v>470</v>
      </c>
      <c r="F67">
        <v>36</v>
      </c>
      <c r="G67" s="62"/>
      <c r="H67" s="62"/>
      <c r="I67" s="62" t="s">
        <v>490</v>
      </c>
      <c r="J67" s="63" t="s">
        <v>498</v>
      </c>
      <c r="K67" s="60" t="s">
        <v>389</v>
      </c>
      <c r="M67" s="60" t="s">
        <v>387</v>
      </c>
    </row>
    <row r="68" spans="2:13">
      <c r="B68" s="60">
        <v>4</v>
      </c>
      <c r="C68" s="60">
        <v>41</v>
      </c>
      <c r="D68" s="60" t="s">
        <v>390</v>
      </c>
      <c r="E68" s="62" t="s">
        <v>471</v>
      </c>
      <c r="F68">
        <v>46</v>
      </c>
      <c r="G68" s="62"/>
      <c r="H68" s="62"/>
      <c r="I68" s="62"/>
      <c r="J68" s="62"/>
      <c r="K68" s="60" t="s">
        <v>80</v>
      </c>
    </row>
    <row r="69" spans="2:13">
      <c r="B69" s="60">
        <v>5</v>
      </c>
      <c r="C69" s="60">
        <v>51</v>
      </c>
      <c r="D69" s="60" t="s">
        <v>391</v>
      </c>
      <c r="E69" s="62" t="s">
        <v>472</v>
      </c>
      <c r="F69">
        <v>61</v>
      </c>
      <c r="G69" s="62"/>
      <c r="H69" s="62"/>
      <c r="I69" s="62"/>
      <c r="J69" s="62"/>
    </row>
    <row r="70" spans="2:13">
      <c r="B70" s="60">
        <v>6</v>
      </c>
      <c r="C70" s="60">
        <v>61</v>
      </c>
      <c r="D70" s="60" t="s">
        <v>535</v>
      </c>
      <c r="E70" s="62" t="s">
        <v>473</v>
      </c>
      <c r="F70">
        <v>76</v>
      </c>
      <c r="G70" s="62"/>
      <c r="H70" s="62"/>
      <c r="I70" s="62"/>
      <c r="J70" s="62"/>
    </row>
    <row r="71" spans="2:13">
      <c r="B71" s="60">
        <v>7</v>
      </c>
      <c r="C71" s="60">
        <v>71</v>
      </c>
      <c r="D71" s="60" t="s">
        <v>392</v>
      </c>
      <c r="E71" s="62" t="s">
        <v>474</v>
      </c>
      <c r="F71">
        <v>91</v>
      </c>
      <c r="G71" s="62"/>
      <c r="H71" s="62"/>
      <c r="I71" s="62"/>
      <c r="J71" s="62"/>
    </row>
    <row r="72" spans="2:13">
      <c r="B72" s="60">
        <v>8</v>
      </c>
      <c r="C72" s="60">
        <v>81</v>
      </c>
      <c r="E72" s="62" t="s">
        <v>475</v>
      </c>
      <c r="F72">
        <v>106</v>
      </c>
      <c r="G72" s="62"/>
      <c r="H72" s="62"/>
      <c r="I72" s="62"/>
      <c r="J72" s="62"/>
    </row>
    <row r="73" spans="2:13">
      <c r="B73" s="60">
        <v>9</v>
      </c>
      <c r="C73" s="60">
        <v>91</v>
      </c>
      <c r="E73" s="62" t="s">
        <v>476</v>
      </c>
      <c r="F73">
        <v>121</v>
      </c>
      <c r="G73" s="62"/>
      <c r="H73" s="62"/>
      <c r="I73" s="62"/>
      <c r="J73" s="62"/>
    </row>
    <row r="74" spans="2:13">
      <c r="B74" s="60">
        <v>10</v>
      </c>
      <c r="C74" s="60">
        <v>101</v>
      </c>
      <c r="E74" s="62" t="s">
        <v>477</v>
      </c>
      <c r="F74">
        <v>136</v>
      </c>
      <c r="G74" s="62"/>
      <c r="H74" s="62"/>
      <c r="I74" s="62"/>
      <c r="J74" s="62"/>
    </row>
    <row r="75" spans="2:13">
      <c r="B75" s="60">
        <v>11</v>
      </c>
      <c r="C75" s="60">
        <v>111</v>
      </c>
      <c r="E75" s="62" t="s">
        <v>478</v>
      </c>
      <c r="F75">
        <v>151</v>
      </c>
      <c r="G75" s="62"/>
      <c r="H75" s="62"/>
      <c r="I75" s="62"/>
      <c r="J75" s="62"/>
    </row>
    <row r="76" spans="2:13">
      <c r="B76" s="60">
        <v>12</v>
      </c>
      <c r="C76" s="60">
        <v>121</v>
      </c>
      <c r="E76" s="62" t="s">
        <v>479</v>
      </c>
      <c r="F76">
        <v>181</v>
      </c>
      <c r="G76" s="62"/>
      <c r="H76" s="62"/>
      <c r="I76" s="62"/>
      <c r="J76" s="62"/>
    </row>
    <row r="77" spans="2:13">
      <c r="B77" s="60">
        <v>13</v>
      </c>
      <c r="C77" s="60">
        <v>131</v>
      </c>
      <c r="E77" s="62" t="s">
        <v>480</v>
      </c>
      <c r="F77">
        <v>211</v>
      </c>
      <c r="G77" s="62"/>
      <c r="H77" s="62"/>
      <c r="I77" s="62"/>
    </row>
    <row r="78" spans="2:13">
      <c r="B78" s="60">
        <v>14</v>
      </c>
      <c r="C78" s="60">
        <v>141</v>
      </c>
      <c r="F78">
        <v>241</v>
      </c>
    </row>
    <row r="79" spans="2:13">
      <c r="B79" s="60">
        <v>15</v>
      </c>
      <c r="C79" s="60">
        <v>151</v>
      </c>
      <c r="F79">
        <v>271</v>
      </c>
    </row>
    <row r="80" spans="2:13">
      <c r="B80" s="60">
        <v>16</v>
      </c>
      <c r="C80" s="60">
        <v>161</v>
      </c>
      <c r="F80">
        <v>301</v>
      </c>
    </row>
    <row r="81" spans="2:6">
      <c r="B81" s="60">
        <v>17</v>
      </c>
      <c r="C81" s="60">
        <v>171</v>
      </c>
      <c r="F81"/>
    </row>
    <row r="82" spans="2:6">
      <c r="F82"/>
    </row>
    <row r="83" spans="2:6">
      <c r="F83"/>
    </row>
    <row r="84" spans="2:6">
      <c r="F84"/>
    </row>
    <row r="85" spans="2:6">
      <c r="F85"/>
    </row>
    <row r="86" spans="2:6">
      <c r="F86"/>
    </row>
    <row r="87" spans="2:6">
      <c r="F87"/>
    </row>
  </sheetData>
  <mergeCells count="16">
    <mergeCell ref="B24:B25"/>
    <mergeCell ref="B26:B28"/>
    <mergeCell ref="B29:B30"/>
    <mergeCell ref="B43:B44"/>
    <mergeCell ref="C3:C13"/>
    <mergeCell ref="B45:B46"/>
    <mergeCell ref="H63:I63"/>
    <mergeCell ref="B31:B32"/>
    <mergeCell ref="B35:B37"/>
    <mergeCell ref="B33:B34"/>
    <mergeCell ref="B40:B41"/>
    <mergeCell ref="B47:B48"/>
    <mergeCell ref="B49:B50"/>
    <mergeCell ref="B51:B52"/>
    <mergeCell ref="B56:B57"/>
    <mergeCell ref="B58:B59"/>
  </mergeCells>
  <phoneticPr fontId="1"/>
  <conditionalFormatting sqref="B25 B24:C24">
    <cfRule type="expression" dxfId="1500" priority="1" stopIfTrue="1">
      <formula>#REF!=0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C278"/>
  <sheetViews>
    <sheetView topLeftCell="BI3" zoomScale="70" zoomScaleNormal="70" workbookViewId="0">
      <selection activeCell="CF4" sqref="CF4"/>
    </sheetView>
  </sheetViews>
  <sheetFormatPr defaultRowHeight="18.75"/>
  <cols>
    <col min="1" max="2" width="9" style="97"/>
    <col min="3" max="3" width="9" style="105"/>
    <col min="4" max="4" width="10.375" style="105" customWidth="1"/>
    <col min="5" max="5" width="9" style="105"/>
    <col min="6" max="6" width="6.875" style="337" customWidth="1"/>
    <col min="7" max="7" width="8.125" style="338" customWidth="1"/>
    <col min="8" max="8" width="9" style="105"/>
    <col min="9" max="9" width="6.25" style="337" customWidth="1"/>
    <col min="10" max="10" width="6.25" style="338" customWidth="1"/>
    <col min="11" max="11" width="6.625" style="339" customWidth="1"/>
    <col min="12" max="12" width="9" style="105"/>
    <col min="13" max="13" width="6.625" style="340" customWidth="1"/>
    <col min="14" max="14" width="9" style="105"/>
    <col min="15" max="15" width="5" style="105" customWidth="1"/>
    <col min="16" max="16" width="9.75" style="105" customWidth="1"/>
    <col min="17" max="17" width="9" style="105"/>
    <col min="18" max="18" width="8.625" style="340" customWidth="1"/>
    <col min="19" max="19" width="9" style="105"/>
    <col min="20" max="20" width="7.875" style="105" customWidth="1"/>
    <col min="21" max="21" width="9.75" style="105" customWidth="1"/>
    <col min="22" max="22" width="9" style="105"/>
    <col min="23" max="23" width="7.125" style="337" customWidth="1"/>
    <col min="24" max="24" width="12.75" style="115" customWidth="1"/>
    <col min="25" max="26" width="9" style="105"/>
    <col min="27" max="27" width="6.5" style="340" customWidth="1"/>
    <col min="28" max="31" width="9" style="105"/>
    <col min="32" max="32" width="6.875" style="340" customWidth="1"/>
    <col min="33" max="36" width="9" style="105"/>
    <col min="37" max="37" width="5.5" style="340" customWidth="1"/>
    <col min="38" max="38" width="9" style="105"/>
    <col min="39" max="39" width="6.875" style="105" customWidth="1"/>
    <col min="40" max="40" width="12.125" style="105" customWidth="1"/>
    <col min="41" max="41" width="9" style="105"/>
    <col min="42" max="42" width="14" style="340" customWidth="1"/>
    <col min="43" max="43" width="9" style="105"/>
    <col min="44" max="44" width="12.75" style="105" customWidth="1"/>
    <col min="45" max="45" width="22.25" style="105" customWidth="1"/>
    <col min="46" max="46" width="9" style="105"/>
    <col min="47" max="47" width="6.75" style="340" customWidth="1"/>
    <col min="48" max="48" width="9" style="105"/>
    <col min="49" max="49" width="5.125" style="105" customWidth="1"/>
    <col min="50" max="50" width="9.75" style="105" customWidth="1"/>
    <col min="51" max="51" width="9" style="105"/>
    <col min="52" max="52" width="16.25" style="354" customWidth="1"/>
    <col min="53" max="53" width="2.25" style="117" customWidth="1"/>
    <col min="54" max="54" width="22" style="144" customWidth="1"/>
    <col min="55" max="55" width="2.25" style="145" customWidth="1"/>
    <col min="56" max="56" width="16.25" style="144" customWidth="1"/>
    <col min="57" max="57" width="2.25" style="117" customWidth="1"/>
    <col min="58" max="58" width="22" style="144" customWidth="1"/>
    <col min="59" max="59" width="9" style="105"/>
    <col min="60" max="60" width="14.25" style="143" customWidth="1"/>
    <col min="61" max="61" width="4" style="2" customWidth="1"/>
    <col min="62" max="62" width="24.75" style="105" customWidth="1"/>
    <col min="63" max="63" width="9" style="105"/>
    <col min="64" max="64" width="9" style="114"/>
    <col min="65" max="65" width="5.5" style="114" customWidth="1"/>
    <col min="66" max="67" width="9" style="114"/>
    <col min="68" max="68" width="9" style="105"/>
    <col min="69" max="69" width="9" style="114"/>
    <col min="70" max="70" width="5.5" style="114" customWidth="1"/>
    <col min="71" max="73" width="9" style="114"/>
    <col min="74" max="74" width="9" style="105"/>
    <col min="75" max="75" width="9" style="114"/>
    <col min="76" max="76" width="5.5" style="114" customWidth="1"/>
    <col min="77" max="79" width="9" style="114"/>
    <col min="80" max="80" width="9" style="105"/>
    <col min="81" max="81" width="21.625" style="149" customWidth="1"/>
    <col min="82" max="16384" width="9" style="2"/>
  </cols>
  <sheetData>
    <row r="1" spans="1:81" s="1" customFormat="1" ht="135" customHeight="1">
      <c r="A1" s="1359" t="s">
        <v>144</v>
      </c>
      <c r="B1" s="1359" t="s">
        <v>145</v>
      </c>
      <c r="C1" s="1359" t="s">
        <v>146</v>
      </c>
      <c r="D1" s="1359" t="s">
        <v>147</v>
      </c>
      <c r="E1" s="97"/>
      <c r="F1" s="1361" t="s">
        <v>650</v>
      </c>
      <c r="G1" s="1362"/>
      <c r="H1" s="97"/>
      <c r="I1" s="1365" t="s">
        <v>148</v>
      </c>
      <c r="J1" s="1366"/>
      <c r="K1" s="1367"/>
      <c r="L1" s="97"/>
      <c r="M1" s="1371" t="s">
        <v>149</v>
      </c>
      <c r="N1" s="1373"/>
      <c r="O1" s="1373"/>
      <c r="P1" s="1372"/>
      <c r="Q1" s="97"/>
      <c r="R1" s="1371" t="s">
        <v>652</v>
      </c>
      <c r="S1" s="1373"/>
      <c r="T1" s="1373"/>
      <c r="U1" s="1372"/>
      <c r="V1" s="97"/>
      <c r="W1" s="1371" t="s">
        <v>150</v>
      </c>
      <c r="X1" s="1373"/>
      <c r="Y1" s="1372"/>
      <c r="Z1" s="97"/>
      <c r="AA1" s="1371" t="s">
        <v>151</v>
      </c>
      <c r="AB1" s="1373"/>
      <c r="AC1" s="1373"/>
      <c r="AD1" s="1372"/>
      <c r="AE1" s="97"/>
      <c r="AF1" s="1371" t="s">
        <v>152</v>
      </c>
      <c r="AG1" s="1373"/>
      <c r="AH1" s="1373"/>
      <c r="AI1" s="1372"/>
      <c r="AJ1" s="97"/>
      <c r="AK1" s="1371" t="s">
        <v>153</v>
      </c>
      <c r="AL1" s="1373"/>
      <c r="AM1" s="1373"/>
      <c r="AN1" s="1372"/>
      <c r="AO1" s="97"/>
      <c r="AP1" s="1371" t="s">
        <v>154</v>
      </c>
      <c r="AQ1" s="1373"/>
      <c r="AR1" s="1373"/>
      <c r="AS1" s="1372"/>
      <c r="AT1" s="97"/>
      <c r="AU1" s="1371" t="s">
        <v>155</v>
      </c>
      <c r="AV1" s="1373"/>
      <c r="AW1" s="1373"/>
      <c r="AX1" s="1372"/>
      <c r="AY1" s="97"/>
      <c r="AZ1" s="1392" t="s">
        <v>653</v>
      </c>
      <c r="BA1" s="1393"/>
      <c r="BB1" s="1394"/>
      <c r="BC1" s="98"/>
      <c r="BD1" s="1392" t="s">
        <v>654</v>
      </c>
      <c r="BE1" s="1393"/>
      <c r="BF1" s="1394"/>
      <c r="BG1" s="97"/>
      <c r="BH1" s="1398" t="s">
        <v>655</v>
      </c>
      <c r="BJ1" s="1359" t="s">
        <v>681</v>
      </c>
      <c r="BK1" s="97"/>
      <c r="BL1" s="1382" t="s">
        <v>156</v>
      </c>
      <c r="BM1" s="1383"/>
      <c r="BN1" s="1383"/>
      <c r="BO1" s="1384"/>
      <c r="BP1" s="97"/>
      <c r="BQ1" s="1382" t="s">
        <v>157</v>
      </c>
      <c r="BR1" s="1383"/>
      <c r="BS1" s="1383"/>
      <c r="BT1" s="1383"/>
      <c r="BU1" s="1384"/>
      <c r="BV1" s="97"/>
      <c r="BW1" s="1382" t="s">
        <v>158</v>
      </c>
      <c r="BX1" s="1383"/>
      <c r="BY1" s="1383"/>
      <c r="BZ1" s="1383"/>
      <c r="CA1" s="1384"/>
      <c r="CB1" s="97"/>
      <c r="CC1" s="1388" t="s">
        <v>159</v>
      </c>
    </row>
    <row r="2" spans="1:81" s="1" customFormat="1">
      <c r="A2" s="1360"/>
      <c r="B2" s="1360"/>
      <c r="C2" s="1360"/>
      <c r="D2" s="1360"/>
      <c r="E2" s="97"/>
      <c r="F2" s="1363"/>
      <c r="G2" s="1364"/>
      <c r="H2" s="97"/>
      <c r="I2" s="1368"/>
      <c r="J2" s="1369"/>
      <c r="K2" s="1370"/>
      <c r="L2" s="97"/>
      <c r="M2" s="1374"/>
      <c r="N2" s="1375"/>
      <c r="O2" s="1375"/>
      <c r="P2" s="1376"/>
      <c r="Q2" s="97"/>
      <c r="R2" s="1374"/>
      <c r="S2" s="1375"/>
      <c r="T2" s="1375"/>
      <c r="U2" s="1376"/>
      <c r="V2" s="97"/>
      <c r="W2" s="1374"/>
      <c r="X2" s="1375"/>
      <c r="Y2" s="1376"/>
      <c r="Z2" s="97"/>
      <c r="AA2" s="1374"/>
      <c r="AB2" s="1375"/>
      <c r="AC2" s="1375"/>
      <c r="AD2" s="1376"/>
      <c r="AE2" s="97"/>
      <c r="AF2" s="1374"/>
      <c r="AG2" s="1375"/>
      <c r="AH2" s="1375"/>
      <c r="AI2" s="1376"/>
      <c r="AJ2" s="97"/>
      <c r="AK2" s="1374"/>
      <c r="AL2" s="1375"/>
      <c r="AM2" s="1375"/>
      <c r="AN2" s="1376"/>
      <c r="AO2" s="97"/>
      <c r="AP2" s="1374"/>
      <c r="AQ2" s="1375"/>
      <c r="AR2" s="1375"/>
      <c r="AS2" s="1376"/>
      <c r="AT2" s="97"/>
      <c r="AU2" s="1374"/>
      <c r="AV2" s="1375"/>
      <c r="AW2" s="1375"/>
      <c r="AX2" s="1376"/>
      <c r="AY2" s="97"/>
      <c r="AZ2" s="1395"/>
      <c r="BA2" s="1396"/>
      <c r="BB2" s="1397"/>
      <c r="BC2" s="98"/>
      <c r="BD2" s="1395"/>
      <c r="BE2" s="1396"/>
      <c r="BF2" s="1397"/>
      <c r="BG2" s="97"/>
      <c r="BH2" s="1399"/>
      <c r="BJ2" s="1360"/>
      <c r="BK2" s="97"/>
      <c r="BL2" s="1385"/>
      <c r="BM2" s="1386"/>
      <c r="BN2" s="1386"/>
      <c r="BO2" s="1387"/>
      <c r="BP2" s="97"/>
      <c r="BQ2" s="1385"/>
      <c r="BR2" s="1386"/>
      <c r="BS2" s="1386"/>
      <c r="BT2" s="1386"/>
      <c r="BU2" s="1387"/>
      <c r="BV2" s="97"/>
      <c r="BW2" s="1385"/>
      <c r="BX2" s="1386"/>
      <c r="BY2" s="1386"/>
      <c r="BZ2" s="1386"/>
      <c r="CA2" s="1387"/>
      <c r="CB2" s="97"/>
      <c r="CC2" s="1389"/>
    </row>
    <row r="3" spans="1:81" s="1" customFormat="1" ht="40.5" customHeight="1">
      <c r="A3" s="1360"/>
      <c r="B3" s="1360"/>
      <c r="C3" s="1360"/>
      <c r="D3" s="1360"/>
      <c r="E3" s="97"/>
      <c r="F3" s="1363"/>
      <c r="G3" s="1364"/>
      <c r="H3" s="97"/>
      <c r="I3" s="315"/>
      <c r="J3" s="316"/>
      <c r="K3" s="317"/>
      <c r="L3" s="97"/>
      <c r="M3" s="318"/>
      <c r="N3" s="314"/>
      <c r="O3" s="1371" t="s">
        <v>160</v>
      </c>
      <c r="P3" s="1372"/>
      <c r="Q3" s="97"/>
      <c r="R3" s="318"/>
      <c r="S3" s="314"/>
      <c r="T3" s="1371" t="s">
        <v>160</v>
      </c>
      <c r="U3" s="1372"/>
      <c r="V3" s="97"/>
      <c r="W3" s="341"/>
      <c r="X3" s="1390" t="s">
        <v>160</v>
      </c>
      <c r="Y3" s="1391"/>
      <c r="Z3" s="97"/>
      <c r="AA3" s="318"/>
      <c r="AB3" s="100"/>
      <c r="AC3" s="1371" t="s">
        <v>160</v>
      </c>
      <c r="AD3" s="1372"/>
      <c r="AE3" s="97"/>
      <c r="AF3" s="318"/>
      <c r="AG3" s="100"/>
      <c r="AH3" s="1371" t="s">
        <v>160</v>
      </c>
      <c r="AI3" s="1372"/>
      <c r="AJ3" s="97"/>
      <c r="AK3" s="318"/>
      <c r="AL3" s="100"/>
      <c r="AM3" s="1371" t="s">
        <v>160</v>
      </c>
      <c r="AN3" s="1372"/>
      <c r="AO3" s="97"/>
      <c r="AP3" s="318"/>
      <c r="AQ3" s="100"/>
      <c r="AR3" s="1371" t="s">
        <v>160</v>
      </c>
      <c r="AS3" s="1372"/>
      <c r="AT3" s="97"/>
      <c r="AU3" s="318"/>
      <c r="AV3" s="100"/>
      <c r="AW3" s="1371" t="s">
        <v>160</v>
      </c>
      <c r="AX3" s="1372"/>
      <c r="AY3" s="97"/>
      <c r="AZ3" s="318"/>
      <c r="BA3" s="101"/>
      <c r="BB3" s="1398" t="s">
        <v>651</v>
      </c>
      <c r="BC3" s="102"/>
      <c r="BD3" s="99"/>
      <c r="BE3" s="101"/>
      <c r="BF3" s="1398" t="s">
        <v>651</v>
      </c>
      <c r="BG3" s="97"/>
      <c r="BH3" s="1399"/>
      <c r="BJ3" s="1360"/>
      <c r="BK3" s="97"/>
      <c r="BL3" s="1385"/>
      <c r="BM3" s="1386"/>
      <c r="BN3" s="1386"/>
      <c r="BO3" s="1387"/>
      <c r="BP3" s="97"/>
      <c r="BQ3" s="1385"/>
      <c r="BR3" s="1386"/>
      <c r="BS3" s="1386"/>
      <c r="BT3" s="1386"/>
      <c r="BU3" s="1387"/>
      <c r="BV3" s="97"/>
      <c r="BW3" s="1385"/>
      <c r="BX3" s="1386"/>
      <c r="BY3" s="1386"/>
      <c r="BZ3" s="1386"/>
      <c r="CA3" s="1387"/>
      <c r="CB3" s="97"/>
      <c r="CC3" s="1389"/>
    </row>
    <row r="4" spans="1:81">
      <c r="A4" s="103"/>
      <c r="B4" s="103"/>
      <c r="C4" s="104"/>
      <c r="D4" s="104"/>
      <c r="F4" s="315"/>
      <c r="G4" s="319" t="s">
        <v>763</v>
      </c>
      <c r="I4" s="318"/>
      <c r="J4" s="320" t="s">
        <v>656</v>
      </c>
      <c r="K4" s="317"/>
      <c r="M4" s="315"/>
      <c r="N4" s="106"/>
      <c r="O4" s="309"/>
      <c r="P4" s="311"/>
      <c r="R4" s="315"/>
      <c r="S4" s="310"/>
      <c r="T4" s="309"/>
      <c r="U4" s="311"/>
      <c r="W4" s="318"/>
      <c r="X4" s="111"/>
      <c r="Y4" s="108"/>
      <c r="AA4" s="315"/>
      <c r="AB4" s="110"/>
      <c r="AC4" s="107"/>
      <c r="AD4" s="108"/>
      <c r="AF4" s="315"/>
      <c r="AG4" s="110"/>
      <c r="AH4" s="107"/>
      <c r="AI4" s="108"/>
      <c r="AK4" s="315"/>
      <c r="AL4" s="110"/>
      <c r="AM4" s="107"/>
      <c r="AN4" s="108"/>
      <c r="AP4" s="315"/>
      <c r="AQ4" s="110"/>
      <c r="AR4" s="107"/>
      <c r="AS4" s="108"/>
      <c r="AU4" s="315"/>
      <c r="AV4" s="110"/>
      <c r="AW4" s="107"/>
      <c r="AX4" s="108"/>
      <c r="AZ4" s="318"/>
      <c r="BA4" s="112"/>
      <c r="BB4" s="1399"/>
      <c r="BC4" s="102"/>
      <c r="BD4" s="99"/>
      <c r="BE4" s="112"/>
      <c r="BF4" s="1399"/>
      <c r="BH4" s="1399"/>
      <c r="BJ4" s="104"/>
      <c r="BL4" s="109"/>
      <c r="BM4" s="146"/>
      <c r="BN4" s="146"/>
      <c r="BO4" s="147"/>
      <c r="BQ4" s="109"/>
      <c r="BR4" s="146"/>
      <c r="BS4" s="146"/>
      <c r="BT4" s="146"/>
      <c r="BU4" s="147"/>
      <c r="BW4" s="109"/>
      <c r="BX4" s="146"/>
      <c r="BY4" s="146"/>
      <c r="BZ4" s="146"/>
      <c r="CA4" s="147"/>
      <c r="CC4" s="148"/>
    </row>
    <row r="5" spans="1:81">
      <c r="A5" s="103" t="s">
        <v>161</v>
      </c>
      <c r="B5" s="103" t="s">
        <v>162</v>
      </c>
      <c r="C5" s="104" t="s">
        <v>163</v>
      </c>
      <c r="D5" s="104" t="s">
        <v>164</v>
      </c>
      <c r="F5" s="1407" t="s">
        <v>764</v>
      </c>
      <c r="G5" s="1408"/>
      <c r="I5" s="1407" t="s">
        <v>765</v>
      </c>
      <c r="J5" s="1409"/>
      <c r="K5" s="1408"/>
      <c r="M5" s="1410" t="s">
        <v>165</v>
      </c>
      <c r="N5" s="1411"/>
      <c r="O5" s="1411"/>
      <c r="P5" s="1412"/>
      <c r="R5" s="1410" t="s">
        <v>166</v>
      </c>
      <c r="S5" s="1411"/>
      <c r="T5" s="1411"/>
      <c r="U5" s="1412"/>
      <c r="W5" s="1379" t="s">
        <v>167</v>
      </c>
      <c r="X5" s="1380"/>
      <c r="Y5" s="1381"/>
      <c r="AA5" s="1379" t="s">
        <v>168</v>
      </c>
      <c r="AB5" s="1380"/>
      <c r="AC5" s="1380"/>
      <c r="AD5" s="1381"/>
      <c r="AF5" s="1379" t="s">
        <v>169</v>
      </c>
      <c r="AG5" s="1380"/>
      <c r="AH5" s="1380"/>
      <c r="AI5" s="1381"/>
      <c r="AK5" s="1379" t="s">
        <v>170</v>
      </c>
      <c r="AL5" s="1380"/>
      <c r="AM5" s="1380"/>
      <c r="AN5" s="1381"/>
      <c r="AP5" s="1379" t="s">
        <v>171</v>
      </c>
      <c r="AQ5" s="1380"/>
      <c r="AR5" s="1380"/>
      <c r="AS5" s="1381"/>
      <c r="AU5" s="1379" t="s">
        <v>172</v>
      </c>
      <c r="AV5" s="1380"/>
      <c r="AW5" s="1380"/>
      <c r="AX5" s="1381"/>
      <c r="AZ5" s="1404" t="s">
        <v>658</v>
      </c>
      <c r="BA5" s="1405"/>
      <c r="BB5" s="1406"/>
      <c r="BC5" s="102"/>
      <c r="BD5" s="1404" t="s">
        <v>659</v>
      </c>
      <c r="BE5" s="1405"/>
      <c r="BF5" s="1406"/>
      <c r="BH5" s="113" t="s">
        <v>660</v>
      </c>
      <c r="BJ5" s="104" t="s">
        <v>173</v>
      </c>
      <c r="BL5" s="1400" t="s">
        <v>174</v>
      </c>
      <c r="BM5" s="1401"/>
      <c r="BN5" s="1401"/>
      <c r="BO5" s="1402"/>
      <c r="BQ5" s="1400" t="s">
        <v>175</v>
      </c>
      <c r="BR5" s="1401"/>
      <c r="BS5" s="1401"/>
      <c r="BT5" s="1401"/>
      <c r="BU5" s="1402"/>
      <c r="BW5" s="1400" t="s">
        <v>176</v>
      </c>
      <c r="BX5" s="1401"/>
      <c r="BY5" s="1401"/>
      <c r="BZ5" s="1401"/>
      <c r="CA5" s="1402"/>
      <c r="CC5" s="148" t="s">
        <v>177</v>
      </c>
    </row>
    <row r="6" spans="1:81">
      <c r="F6" s="321"/>
      <c r="G6" s="322"/>
      <c r="I6" s="323"/>
      <c r="J6" s="324"/>
      <c r="K6" s="325"/>
      <c r="M6" s="326"/>
      <c r="R6" s="326"/>
      <c r="W6" s="323"/>
      <c r="AA6" s="343"/>
      <c r="AF6" s="343"/>
      <c r="AK6" s="346"/>
      <c r="AP6" s="326"/>
      <c r="AU6" s="326"/>
      <c r="AZ6" s="351"/>
      <c r="BB6" s="118"/>
      <c r="BC6" s="102"/>
      <c r="BD6" s="116"/>
      <c r="BF6" s="118"/>
      <c r="BH6" s="119"/>
    </row>
    <row r="7" spans="1:81" ht="37.5">
      <c r="A7" s="1403" t="s">
        <v>178</v>
      </c>
      <c r="B7" s="120" t="s">
        <v>179</v>
      </c>
      <c r="C7" s="121" t="s">
        <v>180</v>
      </c>
      <c r="D7" s="122" t="s">
        <v>181</v>
      </c>
      <c r="F7" s="327">
        <v>87890</v>
      </c>
      <c r="G7" s="328">
        <v>96010</v>
      </c>
      <c r="H7" s="105" t="s">
        <v>182</v>
      </c>
      <c r="I7" s="329">
        <v>860</v>
      </c>
      <c r="J7" s="330">
        <v>940</v>
      </c>
      <c r="K7" s="331" t="s">
        <v>661</v>
      </c>
      <c r="L7" s="105" t="s">
        <v>182</v>
      </c>
      <c r="M7" s="1353">
        <v>7650</v>
      </c>
      <c r="N7" s="123" t="s">
        <v>182</v>
      </c>
      <c r="O7" s="123">
        <v>70</v>
      </c>
      <c r="P7" s="124" t="s">
        <v>184</v>
      </c>
      <c r="Q7" s="105" t="s">
        <v>182</v>
      </c>
      <c r="R7" s="1353">
        <v>32500</v>
      </c>
      <c r="S7" s="123" t="s">
        <v>182</v>
      </c>
      <c r="T7" s="123">
        <v>320</v>
      </c>
      <c r="U7" s="124" t="s">
        <v>184</v>
      </c>
      <c r="V7" s="105" t="s">
        <v>182</v>
      </c>
      <c r="W7" s="342">
        <v>8120</v>
      </c>
      <c r="X7" s="126">
        <v>80</v>
      </c>
      <c r="Y7" s="122" t="s">
        <v>183</v>
      </c>
      <c r="AA7" s="344"/>
      <c r="AF7" s="344" t="s">
        <v>185</v>
      </c>
      <c r="AJ7" s="105" t="s">
        <v>182</v>
      </c>
      <c r="AK7" s="1356">
        <v>5780</v>
      </c>
      <c r="AL7" s="123" t="s">
        <v>182</v>
      </c>
      <c r="AM7" s="123">
        <v>50</v>
      </c>
      <c r="AN7" s="124" t="s">
        <v>184</v>
      </c>
      <c r="AO7" s="105" t="s">
        <v>182</v>
      </c>
      <c r="AP7" s="347" t="s">
        <v>186</v>
      </c>
      <c r="AQ7" s="123" t="s">
        <v>182</v>
      </c>
      <c r="AR7" s="123">
        <v>320</v>
      </c>
      <c r="AS7" s="124" t="s">
        <v>187</v>
      </c>
      <c r="AT7" s="105" t="s">
        <v>182</v>
      </c>
      <c r="AU7" s="1353">
        <v>3640</v>
      </c>
      <c r="AV7" s="123" t="s">
        <v>182</v>
      </c>
      <c r="AW7" s="123">
        <v>30</v>
      </c>
      <c r="AX7" s="124" t="s">
        <v>184</v>
      </c>
      <c r="AY7" s="105" t="s">
        <v>182</v>
      </c>
      <c r="AZ7" s="352">
        <v>2730</v>
      </c>
      <c r="BA7" s="1355" t="s">
        <v>182</v>
      </c>
      <c r="BB7" s="127">
        <v>20</v>
      </c>
      <c r="BC7" s="1355" t="s">
        <v>182</v>
      </c>
      <c r="BD7" s="352">
        <v>480</v>
      </c>
      <c r="BE7" s="1355" t="s">
        <v>182</v>
      </c>
      <c r="BF7" s="352">
        <v>4</v>
      </c>
      <c r="BG7" s="105" t="s">
        <v>182</v>
      </c>
      <c r="BH7" s="128" t="s">
        <v>768</v>
      </c>
      <c r="BI7" s="2" t="s">
        <v>182</v>
      </c>
      <c r="BJ7" s="121">
        <v>235</v>
      </c>
      <c r="BK7" s="105" t="s">
        <v>188</v>
      </c>
      <c r="BL7" s="125">
        <v>7500</v>
      </c>
      <c r="BM7" s="150" t="s">
        <v>189</v>
      </c>
      <c r="BN7" s="150">
        <v>70</v>
      </c>
      <c r="BO7" s="151" t="s">
        <v>184</v>
      </c>
      <c r="BP7" s="105" t="s">
        <v>188</v>
      </c>
      <c r="BQ7" s="125">
        <v>32500</v>
      </c>
      <c r="BR7" s="150" t="s">
        <v>189</v>
      </c>
      <c r="BS7" s="150">
        <v>320</v>
      </c>
      <c r="BT7" s="150" t="s">
        <v>184</v>
      </c>
      <c r="BU7" s="151" t="s">
        <v>190</v>
      </c>
      <c r="BV7" s="105" t="s">
        <v>188</v>
      </c>
      <c r="BW7" s="125">
        <v>24520</v>
      </c>
      <c r="BX7" s="150" t="s">
        <v>189</v>
      </c>
      <c r="BY7" s="150">
        <v>240</v>
      </c>
      <c r="BZ7" s="150" t="s">
        <v>184</v>
      </c>
      <c r="CA7" s="151" t="s">
        <v>190</v>
      </c>
      <c r="CC7" s="152" t="s">
        <v>191</v>
      </c>
    </row>
    <row r="8" spans="1:81" ht="37.5">
      <c r="A8" s="1403"/>
      <c r="B8" s="129"/>
      <c r="C8" s="130"/>
      <c r="D8" s="122" t="s">
        <v>192</v>
      </c>
      <c r="F8" s="332">
        <v>96010</v>
      </c>
      <c r="G8" s="333"/>
      <c r="H8" s="105" t="s">
        <v>182</v>
      </c>
      <c r="I8" s="334">
        <v>940</v>
      </c>
      <c r="J8" s="335"/>
      <c r="K8" s="336" t="s">
        <v>661</v>
      </c>
      <c r="M8" s="1354"/>
      <c r="N8" s="106"/>
      <c r="O8" s="106"/>
      <c r="P8" s="131"/>
      <c r="R8" s="1354"/>
      <c r="S8" s="106"/>
      <c r="T8" s="106"/>
      <c r="U8" s="131"/>
      <c r="V8" s="105" t="s">
        <v>182</v>
      </c>
      <c r="W8" s="334">
        <v>8120</v>
      </c>
      <c r="X8" s="133">
        <v>80</v>
      </c>
      <c r="Y8" s="122" t="s">
        <v>183</v>
      </c>
      <c r="Z8" s="105" t="s">
        <v>182</v>
      </c>
      <c r="AA8" s="345">
        <v>56880</v>
      </c>
      <c r="AB8" s="134" t="s">
        <v>182</v>
      </c>
      <c r="AC8" s="134">
        <v>560</v>
      </c>
      <c r="AD8" s="135" t="s">
        <v>184</v>
      </c>
      <c r="AE8" s="105" t="s">
        <v>182</v>
      </c>
      <c r="AF8" s="345">
        <v>48760</v>
      </c>
      <c r="AG8" s="134" t="s">
        <v>182</v>
      </c>
      <c r="AH8" s="134">
        <v>480</v>
      </c>
      <c r="AI8" s="135" t="s">
        <v>184</v>
      </c>
      <c r="AK8" s="1357"/>
      <c r="AL8" s="106"/>
      <c r="AM8" s="106"/>
      <c r="AN8" s="131"/>
      <c r="AP8" s="348">
        <v>32500</v>
      </c>
      <c r="AQ8" s="106"/>
      <c r="AR8" s="106"/>
      <c r="AS8" s="131"/>
      <c r="AU8" s="1354"/>
      <c r="AV8" s="106"/>
      <c r="AW8" s="106"/>
      <c r="AX8" s="131"/>
      <c r="AZ8" s="353" t="s">
        <v>766</v>
      </c>
      <c r="BA8" s="1355"/>
      <c r="BB8" s="136" t="s">
        <v>767</v>
      </c>
      <c r="BC8" s="1355"/>
      <c r="BD8" s="353" t="s">
        <v>766</v>
      </c>
      <c r="BE8" s="1355"/>
      <c r="BF8" s="353" t="s">
        <v>663</v>
      </c>
      <c r="BH8" s="137">
        <v>27330</v>
      </c>
      <c r="BJ8" s="130" t="s">
        <v>785</v>
      </c>
      <c r="BL8" s="132"/>
      <c r="BM8" s="153"/>
      <c r="BN8" s="153"/>
      <c r="BO8" s="154"/>
      <c r="BQ8" s="132"/>
      <c r="BR8" s="153"/>
      <c r="BS8" s="153"/>
      <c r="BT8" s="153"/>
      <c r="BU8" s="154"/>
      <c r="BW8" s="132"/>
      <c r="BX8" s="153"/>
      <c r="BY8" s="153"/>
      <c r="BZ8" s="153"/>
      <c r="CA8" s="154"/>
      <c r="CC8" s="152">
        <v>0.63</v>
      </c>
    </row>
    <row r="9" spans="1:81" ht="75">
      <c r="A9" s="1403"/>
      <c r="B9" s="120" t="s">
        <v>193</v>
      </c>
      <c r="C9" s="121" t="s">
        <v>180</v>
      </c>
      <c r="D9" s="122" t="s">
        <v>181</v>
      </c>
      <c r="F9" s="327">
        <v>54460</v>
      </c>
      <c r="G9" s="328">
        <v>62580</v>
      </c>
      <c r="H9" s="105" t="s">
        <v>182</v>
      </c>
      <c r="I9" s="329">
        <v>520</v>
      </c>
      <c r="J9" s="330">
        <v>600</v>
      </c>
      <c r="K9" s="331" t="s">
        <v>661</v>
      </c>
      <c r="L9" s="105" t="s">
        <v>182</v>
      </c>
      <c r="M9" s="1353">
        <v>4590</v>
      </c>
      <c r="N9" s="123" t="s">
        <v>182</v>
      </c>
      <c r="O9" s="123">
        <v>40</v>
      </c>
      <c r="P9" s="124" t="s">
        <v>184</v>
      </c>
      <c r="Q9" s="105" t="s">
        <v>182</v>
      </c>
      <c r="R9" s="1353">
        <v>19500</v>
      </c>
      <c r="S9" s="123" t="s">
        <v>182</v>
      </c>
      <c r="T9" s="123">
        <v>190</v>
      </c>
      <c r="U9" s="124" t="s">
        <v>184</v>
      </c>
      <c r="V9" s="105" t="s">
        <v>182</v>
      </c>
      <c r="W9" s="342">
        <v>8120</v>
      </c>
      <c r="X9" s="126">
        <v>80</v>
      </c>
      <c r="Y9" s="122" t="s">
        <v>183</v>
      </c>
      <c r="AA9" s="344"/>
      <c r="AF9" s="344" t="s">
        <v>185</v>
      </c>
      <c r="AJ9" s="105" t="s">
        <v>182</v>
      </c>
      <c r="AK9" s="1356">
        <v>3470</v>
      </c>
      <c r="AL9" s="123" t="s">
        <v>182</v>
      </c>
      <c r="AM9" s="123">
        <v>30</v>
      </c>
      <c r="AN9" s="124" t="s">
        <v>184</v>
      </c>
      <c r="AP9" s="349" t="s">
        <v>194</v>
      </c>
      <c r="AQ9" s="106" t="s">
        <v>182</v>
      </c>
      <c r="AR9" s="106">
        <v>190</v>
      </c>
      <c r="AS9" s="131" t="s">
        <v>187</v>
      </c>
      <c r="AT9" s="105" t="s">
        <v>182</v>
      </c>
      <c r="AU9" s="1353">
        <v>2490</v>
      </c>
      <c r="AV9" s="123" t="s">
        <v>182</v>
      </c>
      <c r="AW9" s="123">
        <v>20</v>
      </c>
      <c r="AX9" s="124" t="s">
        <v>184</v>
      </c>
      <c r="AY9" s="105" t="s">
        <v>182</v>
      </c>
      <c r="AZ9" s="352">
        <v>1630</v>
      </c>
      <c r="BA9" s="1355" t="s">
        <v>664</v>
      </c>
      <c r="BB9" s="127">
        <v>10</v>
      </c>
      <c r="BC9" s="1355" t="s">
        <v>664</v>
      </c>
      <c r="BD9" s="352">
        <v>290</v>
      </c>
      <c r="BE9" s="1355" t="s">
        <v>664</v>
      </c>
      <c r="BF9" s="352">
        <v>2</v>
      </c>
      <c r="BH9" s="138" t="s">
        <v>769</v>
      </c>
      <c r="BI9" s="2" t="s">
        <v>182</v>
      </c>
      <c r="BJ9" s="121">
        <v>235</v>
      </c>
      <c r="BK9" s="105" t="s">
        <v>188</v>
      </c>
      <c r="BL9" s="125">
        <v>4500</v>
      </c>
      <c r="BM9" s="150" t="s">
        <v>189</v>
      </c>
      <c r="BN9" s="150">
        <v>40</v>
      </c>
      <c r="BO9" s="151" t="s">
        <v>184</v>
      </c>
      <c r="BP9" s="105" t="s">
        <v>188</v>
      </c>
      <c r="BQ9" s="125">
        <v>19500</v>
      </c>
      <c r="BR9" s="150" t="s">
        <v>189</v>
      </c>
      <c r="BS9" s="150">
        <v>190</v>
      </c>
      <c r="BT9" s="150" t="s">
        <v>184</v>
      </c>
      <c r="BU9" s="151" t="s">
        <v>190</v>
      </c>
      <c r="BV9" s="105" t="s">
        <v>188</v>
      </c>
      <c r="BW9" s="125">
        <v>14710</v>
      </c>
      <c r="BX9" s="150" t="s">
        <v>189</v>
      </c>
      <c r="BY9" s="150">
        <v>140</v>
      </c>
      <c r="BZ9" s="150" t="s">
        <v>184</v>
      </c>
      <c r="CA9" s="151" t="s">
        <v>190</v>
      </c>
      <c r="CC9" s="152" t="s">
        <v>191</v>
      </c>
    </row>
    <row r="10" spans="1:81" ht="37.5">
      <c r="A10" s="1403"/>
      <c r="B10" s="103"/>
      <c r="C10" s="104"/>
      <c r="D10" s="122" t="s">
        <v>192</v>
      </c>
      <c r="F10" s="332">
        <v>62580</v>
      </c>
      <c r="G10" s="333"/>
      <c r="H10" s="105" t="s">
        <v>182</v>
      </c>
      <c r="I10" s="334">
        <v>600</v>
      </c>
      <c r="J10" s="335"/>
      <c r="K10" s="336" t="s">
        <v>661</v>
      </c>
      <c r="M10" s="1354"/>
      <c r="N10" s="310"/>
      <c r="O10" s="310"/>
      <c r="P10" s="311"/>
      <c r="R10" s="1354"/>
      <c r="S10" s="310"/>
      <c r="T10" s="310"/>
      <c r="U10" s="311"/>
      <c r="V10" s="105" t="s">
        <v>182</v>
      </c>
      <c r="W10" s="334">
        <v>8120</v>
      </c>
      <c r="X10" s="133">
        <v>80</v>
      </c>
      <c r="Y10" s="122" t="s">
        <v>183</v>
      </c>
      <c r="Z10" s="105" t="s">
        <v>182</v>
      </c>
      <c r="AA10" s="345">
        <v>56880</v>
      </c>
      <c r="AB10" s="134" t="s">
        <v>182</v>
      </c>
      <c r="AC10" s="134">
        <v>560</v>
      </c>
      <c r="AD10" s="135" t="s">
        <v>184</v>
      </c>
      <c r="AE10" s="105" t="s">
        <v>182</v>
      </c>
      <c r="AF10" s="345">
        <v>48760</v>
      </c>
      <c r="AG10" s="134" t="s">
        <v>182</v>
      </c>
      <c r="AH10" s="134">
        <v>480</v>
      </c>
      <c r="AI10" s="135" t="s">
        <v>184</v>
      </c>
      <c r="AK10" s="1357"/>
      <c r="AL10" s="110"/>
      <c r="AM10" s="110"/>
      <c r="AN10" s="108"/>
      <c r="AP10" s="348">
        <v>19500</v>
      </c>
      <c r="AQ10" s="106"/>
      <c r="AR10" s="106"/>
      <c r="AS10" s="131"/>
      <c r="AU10" s="1354"/>
      <c r="AV10" s="110"/>
      <c r="AW10" s="110"/>
      <c r="AX10" s="108"/>
      <c r="AZ10" s="353" t="s">
        <v>766</v>
      </c>
      <c r="BA10" s="1355"/>
      <c r="BB10" s="136" t="s">
        <v>767</v>
      </c>
      <c r="BC10" s="1355"/>
      <c r="BD10" s="353" t="s">
        <v>766</v>
      </c>
      <c r="BE10" s="1355"/>
      <c r="BF10" s="353" t="s">
        <v>663</v>
      </c>
      <c r="BH10" s="137">
        <v>16800</v>
      </c>
      <c r="BJ10" s="104" t="s">
        <v>785</v>
      </c>
      <c r="BL10" s="109"/>
      <c r="BM10" s="146"/>
      <c r="BN10" s="146"/>
      <c r="BO10" s="147"/>
      <c r="BQ10" s="109"/>
      <c r="BR10" s="146"/>
      <c r="BS10" s="146"/>
      <c r="BT10" s="146"/>
      <c r="BU10" s="147"/>
      <c r="BW10" s="109"/>
      <c r="BX10" s="146"/>
      <c r="BY10" s="146"/>
      <c r="BZ10" s="146"/>
      <c r="CA10" s="147"/>
      <c r="CC10" s="152">
        <v>0.78</v>
      </c>
    </row>
    <row r="11" spans="1:81" ht="75">
      <c r="A11" s="1403"/>
      <c r="B11" s="129" t="s">
        <v>195</v>
      </c>
      <c r="C11" s="130" t="s">
        <v>180</v>
      </c>
      <c r="D11" s="122" t="s">
        <v>181</v>
      </c>
      <c r="F11" s="327">
        <v>42490</v>
      </c>
      <c r="G11" s="328">
        <v>50610</v>
      </c>
      <c r="H11" s="105" t="s">
        <v>182</v>
      </c>
      <c r="I11" s="329">
        <v>400</v>
      </c>
      <c r="J11" s="330">
        <v>480</v>
      </c>
      <c r="K11" s="331" t="s">
        <v>661</v>
      </c>
      <c r="L11" s="105" t="s">
        <v>182</v>
      </c>
      <c r="M11" s="1353">
        <v>3280</v>
      </c>
      <c r="N11" s="106" t="s">
        <v>182</v>
      </c>
      <c r="O11" s="106">
        <v>30</v>
      </c>
      <c r="P11" s="131" t="s">
        <v>184</v>
      </c>
      <c r="Q11" s="105" t="s">
        <v>182</v>
      </c>
      <c r="R11" s="1353">
        <v>13930</v>
      </c>
      <c r="S11" s="106" t="s">
        <v>182</v>
      </c>
      <c r="T11" s="106">
        <v>130</v>
      </c>
      <c r="U11" s="131" t="s">
        <v>184</v>
      </c>
      <c r="V11" s="105" t="s">
        <v>182</v>
      </c>
      <c r="W11" s="342">
        <v>8120</v>
      </c>
      <c r="X11" s="126">
        <v>80</v>
      </c>
      <c r="Y11" s="122" t="s">
        <v>183</v>
      </c>
      <c r="AA11" s="344"/>
      <c r="AF11" s="344" t="s">
        <v>185</v>
      </c>
      <c r="AJ11" s="105" t="s">
        <v>182</v>
      </c>
      <c r="AK11" s="1356">
        <v>2480</v>
      </c>
      <c r="AL11" s="106" t="s">
        <v>182</v>
      </c>
      <c r="AM11" s="106">
        <v>20</v>
      </c>
      <c r="AN11" s="131" t="s">
        <v>184</v>
      </c>
      <c r="AP11" s="349" t="s">
        <v>196</v>
      </c>
      <c r="AQ11" s="106" t="s">
        <v>182</v>
      </c>
      <c r="AR11" s="106">
        <v>130</v>
      </c>
      <c r="AS11" s="131" t="s">
        <v>187</v>
      </c>
      <c r="AT11" s="105" t="s">
        <v>182</v>
      </c>
      <c r="AU11" s="1353">
        <v>2000</v>
      </c>
      <c r="AV11" s="106" t="s">
        <v>182</v>
      </c>
      <c r="AW11" s="106">
        <v>20</v>
      </c>
      <c r="AX11" s="131" t="s">
        <v>184</v>
      </c>
      <c r="AY11" s="105" t="s">
        <v>182</v>
      </c>
      <c r="AZ11" s="352">
        <v>1170</v>
      </c>
      <c r="BA11" s="1355" t="s">
        <v>664</v>
      </c>
      <c r="BB11" s="127">
        <v>10</v>
      </c>
      <c r="BC11" s="1355" t="s">
        <v>664</v>
      </c>
      <c r="BD11" s="352">
        <v>200</v>
      </c>
      <c r="BE11" s="1355" t="s">
        <v>664</v>
      </c>
      <c r="BF11" s="352">
        <v>2</v>
      </c>
      <c r="BH11" s="138" t="s">
        <v>770</v>
      </c>
      <c r="BI11" s="2" t="s">
        <v>182</v>
      </c>
      <c r="BJ11" s="130">
        <v>235</v>
      </c>
      <c r="BK11" s="105" t="s">
        <v>188</v>
      </c>
      <c r="BL11" s="132">
        <v>3210</v>
      </c>
      <c r="BM11" s="153" t="s">
        <v>189</v>
      </c>
      <c r="BN11" s="153">
        <v>30</v>
      </c>
      <c r="BO11" s="154" t="s">
        <v>184</v>
      </c>
      <c r="BP11" s="105" t="s">
        <v>188</v>
      </c>
      <c r="BQ11" s="132">
        <v>13930</v>
      </c>
      <c r="BR11" s="153" t="s">
        <v>189</v>
      </c>
      <c r="BS11" s="153">
        <v>130</v>
      </c>
      <c r="BT11" s="153" t="s">
        <v>184</v>
      </c>
      <c r="BU11" s="154" t="s">
        <v>190</v>
      </c>
      <c r="BV11" s="105" t="s">
        <v>188</v>
      </c>
      <c r="BW11" s="132">
        <v>10510</v>
      </c>
      <c r="BX11" s="153" t="s">
        <v>189</v>
      </c>
      <c r="BY11" s="153">
        <v>100</v>
      </c>
      <c r="BZ11" s="153" t="s">
        <v>184</v>
      </c>
      <c r="CA11" s="154" t="s">
        <v>190</v>
      </c>
      <c r="CC11" s="152" t="s">
        <v>191</v>
      </c>
    </row>
    <row r="12" spans="1:81" ht="37.5">
      <c r="A12" s="1403"/>
      <c r="B12" s="129"/>
      <c r="C12" s="130"/>
      <c r="D12" s="122" t="s">
        <v>192</v>
      </c>
      <c r="F12" s="332">
        <v>50610</v>
      </c>
      <c r="G12" s="333"/>
      <c r="H12" s="105" t="s">
        <v>182</v>
      </c>
      <c r="I12" s="334">
        <v>480</v>
      </c>
      <c r="J12" s="335"/>
      <c r="K12" s="336" t="s">
        <v>661</v>
      </c>
      <c r="M12" s="1354"/>
      <c r="N12" s="106"/>
      <c r="O12" s="106"/>
      <c r="P12" s="131"/>
      <c r="R12" s="1354"/>
      <c r="S12" s="106"/>
      <c r="T12" s="106"/>
      <c r="U12" s="131"/>
      <c r="V12" s="105" t="s">
        <v>182</v>
      </c>
      <c r="W12" s="334">
        <v>8120</v>
      </c>
      <c r="X12" s="133">
        <v>80</v>
      </c>
      <c r="Y12" s="122" t="s">
        <v>183</v>
      </c>
      <c r="Z12" s="105" t="s">
        <v>182</v>
      </c>
      <c r="AA12" s="345">
        <v>56880</v>
      </c>
      <c r="AB12" s="134" t="s">
        <v>182</v>
      </c>
      <c r="AC12" s="134">
        <v>560</v>
      </c>
      <c r="AD12" s="135" t="s">
        <v>184</v>
      </c>
      <c r="AE12" s="105" t="s">
        <v>182</v>
      </c>
      <c r="AF12" s="345">
        <v>48760</v>
      </c>
      <c r="AG12" s="134" t="s">
        <v>182</v>
      </c>
      <c r="AH12" s="134">
        <v>480</v>
      </c>
      <c r="AI12" s="135" t="s">
        <v>184</v>
      </c>
      <c r="AK12" s="1357"/>
      <c r="AL12" s="106"/>
      <c r="AM12" s="106"/>
      <c r="AN12" s="131"/>
      <c r="AP12" s="348">
        <v>13930</v>
      </c>
      <c r="AQ12" s="106"/>
      <c r="AR12" s="106"/>
      <c r="AS12" s="131"/>
      <c r="AU12" s="1354"/>
      <c r="AV12" s="106"/>
      <c r="AW12" s="106"/>
      <c r="AX12" s="131"/>
      <c r="AZ12" s="353" t="s">
        <v>766</v>
      </c>
      <c r="BA12" s="1355"/>
      <c r="BB12" s="136" t="s">
        <v>767</v>
      </c>
      <c r="BC12" s="1355"/>
      <c r="BD12" s="353" t="s">
        <v>766</v>
      </c>
      <c r="BE12" s="1355"/>
      <c r="BF12" s="353" t="s">
        <v>663</v>
      </c>
      <c r="BH12" s="137">
        <v>12280</v>
      </c>
      <c r="BJ12" s="130" t="s">
        <v>785</v>
      </c>
      <c r="BL12" s="132"/>
      <c r="BM12" s="153"/>
      <c r="BN12" s="153"/>
      <c r="BO12" s="147"/>
      <c r="BQ12" s="132"/>
      <c r="BR12" s="153"/>
      <c r="BS12" s="153"/>
      <c r="BT12" s="153"/>
      <c r="BU12" s="154"/>
      <c r="BW12" s="132"/>
      <c r="BX12" s="153"/>
      <c r="BY12" s="153"/>
      <c r="BZ12" s="153"/>
      <c r="CA12" s="154"/>
      <c r="CC12" s="152">
        <v>0.86</v>
      </c>
    </row>
    <row r="13" spans="1:81" ht="75">
      <c r="A13" s="1403"/>
      <c r="B13" s="120" t="s">
        <v>197</v>
      </c>
      <c r="C13" s="121" t="s">
        <v>180</v>
      </c>
      <c r="D13" s="122" t="s">
        <v>181</v>
      </c>
      <c r="F13" s="327">
        <v>37680</v>
      </c>
      <c r="G13" s="328">
        <v>45800</v>
      </c>
      <c r="H13" s="105" t="s">
        <v>182</v>
      </c>
      <c r="I13" s="329">
        <v>350</v>
      </c>
      <c r="J13" s="330">
        <v>440</v>
      </c>
      <c r="K13" s="331" t="s">
        <v>661</v>
      </c>
      <c r="L13" s="105" t="s">
        <v>182</v>
      </c>
      <c r="M13" s="1353">
        <v>2550</v>
      </c>
      <c r="N13" s="123" t="s">
        <v>182</v>
      </c>
      <c r="O13" s="123">
        <v>20</v>
      </c>
      <c r="P13" s="124" t="s">
        <v>184</v>
      </c>
      <c r="Q13" s="105" t="s">
        <v>182</v>
      </c>
      <c r="R13" s="1353">
        <v>10830</v>
      </c>
      <c r="S13" s="123" t="s">
        <v>182</v>
      </c>
      <c r="T13" s="123">
        <v>100</v>
      </c>
      <c r="U13" s="124" t="s">
        <v>184</v>
      </c>
      <c r="V13" s="105" t="s">
        <v>182</v>
      </c>
      <c r="W13" s="342">
        <v>8120</v>
      </c>
      <c r="X13" s="126">
        <v>80</v>
      </c>
      <c r="Y13" s="122" t="s">
        <v>183</v>
      </c>
      <c r="AA13" s="344"/>
      <c r="AF13" s="344" t="s">
        <v>185</v>
      </c>
      <c r="AJ13" s="105" t="s">
        <v>182</v>
      </c>
      <c r="AK13" s="1377" t="s">
        <v>188</v>
      </c>
      <c r="AL13" s="123" t="s">
        <v>182</v>
      </c>
      <c r="AM13" s="123" t="s">
        <v>188</v>
      </c>
      <c r="AN13" s="124"/>
      <c r="AP13" s="349" t="s">
        <v>198</v>
      </c>
      <c r="AQ13" s="106" t="s">
        <v>182</v>
      </c>
      <c r="AR13" s="106">
        <v>100</v>
      </c>
      <c r="AS13" s="131" t="s">
        <v>187</v>
      </c>
      <c r="AT13" s="105" t="s">
        <v>182</v>
      </c>
      <c r="AU13" s="1353">
        <v>1730</v>
      </c>
      <c r="AV13" s="123" t="s">
        <v>182</v>
      </c>
      <c r="AW13" s="123">
        <v>10</v>
      </c>
      <c r="AX13" s="124" t="s">
        <v>184</v>
      </c>
      <c r="AY13" s="105" t="s">
        <v>182</v>
      </c>
      <c r="AZ13" s="352">
        <v>910</v>
      </c>
      <c r="BA13" s="1355" t="s">
        <v>664</v>
      </c>
      <c r="BB13" s="127">
        <v>9</v>
      </c>
      <c r="BC13" s="1355" t="s">
        <v>664</v>
      </c>
      <c r="BD13" s="352">
        <v>160</v>
      </c>
      <c r="BE13" s="1355" t="s">
        <v>664</v>
      </c>
      <c r="BF13" s="352">
        <v>1</v>
      </c>
      <c r="BH13" s="139" t="s">
        <v>771</v>
      </c>
      <c r="BI13" s="2" t="s">
        <v>182</v>
      </c>
      <c r="BJ13" s="121">
        <v>235</v>
      </c>
      <c r="BK13" s="105" t="s">
        <v>188</v>
      </c>
      <c r="BL13" s="125">
        <v>2500</v>
      </c>
      <c r="BM13" s="150" t="s">
        <v>199</v>
      </c>
      <c r="BN13" s="150">
        <v>20</v>
      </c>
      <c r="BO13" s="151" t="s">
        <v>184</v>
      </c>
      <c r="BP13" s="105" t="s">
        <v>188</v>
      </c>
      <c r="BQ13" s="125">
        <v>10830</v>
      </c>
      <c r="BR13" s="150" t="s">
        <v>189</v>
      </c>
      <c r="BS13" s="150">
        <v>100</v>
      </c>
      <c r="BT13" s="150" t="s">
        <v>184</v>
      </c>
      <c r="BU13" s="151" t="s">
        <v>190</v>
      </c>
      <c r="BV13" s="105" t="s">
        <v>188</v>
      </c>
      <c r="BW13" s="125">
        <v>8170</v>
      </c>
      <c r="BX13" s="150" t="s">
        <v>189</v>
      </c>
      <c r="BY13" s="150">
        <v>80</v>
      </c>
      <c r="BZ13" s="150" t="s">
        <v>184</v>
      </c>
      <c r="CA13" s="151" t="s">
        <v>190</v>
      </c>
      <c r="CC13" s="152" t="s">
        <v>191</v>
      </c>
    </row>
    <row r="14" spans="1:81" ht="37.5">
      <c r="A14" s="1403"/>
      <c r="B14" s="103"/>
      <c r="C14" s="104"/>
      <c r="D14" s="122" t="s">
        <v>192</v>
      </c>
      <c r="F14" s="332">
        <v>45800</v>
      </c>
      <c r="G14" s="333"/>
      <c r="H14" s="105" t="s">
        <v>182</v>
      </c>
      <c r="I14" s="334">
        <v>440</v>
      </c>
      <c r="J14" s="335"/>
      <c r="K14" s="336" t="s">
        <v>661</v>
      </c>
      <c r="M14" s="1354"/>
      <c r="N14" s="310"/>
      <c r="O14" s="310"/>
      <c r="P14" s="311"/>
      <c r="R14" s="1354"/>
      <c r="S14" s="310"/>
      <c r="T14" s="310"/>
      <c r="U14" s="311"/>
      <c r="V14" s="105" t="s">
        <v>182</v>
      </c>
      <c r="W14" s="334">
        <v>8120</v>
      </c>
      <c r="X14" s="133">
        <v>80</v>
      </c>
      <c r="Y14" s="122" t="s">
        <v>183</v>
      </c>
      <c r="Z14" s="105" t="s">
        <v>182</v>
      </c>
      <c r="AA14" s="345">
        <v>56880</v>
      </c>
      <c r="AB14" s="134" t="s">
        <v>182</v>
      </c>
      <c r="AC14" s="134">
        <v>560</v>
      </c>
      <c r="AD14" s="135" t="s">
        <v>184</v>
      </c>
      <c r="AE14" s="105" t="s">
        <v>182</v>
      </c>
      <c r="AF14" s="345">
        <v>48760</v>
      </c>
      <c r="AG14" s="134" t="s">
        <v>182</v>
      </c>
      <c r="AH14" s="134">
        <v>480</v>
      </c>
      <c r="AI14" s="135" t="s">
        <v>184</v>
      </c>
      <c r="AK14" s="1378"/>
      <c r="AL14" s="106"/>
      <c r="AM14" s="106"/>
      <c r="AN14" s="131"/>
      <c r="AP14" s="348">
        <v>10830</v>
      </c>
      <c r="AQ14" s="106"/>
      <c r="AR14" s="106"/>
      <c r="AS14" s="131"/>
      <c r="AU14" s="1354"/>
      <c r="AV14" s="110"/>
      <c r="AW14" s="110"/>
      <c r="AX14" s="108"/>
      <c r="AZ14" s="353" t="s">
        <v>766</v>
      </c>
      <c r="BA14" s="1355"/>
      <c r="BB14" s="136" t="s">
        <v>767</v>
      </c>
      <c r="BC14" s="1355"/>
      <c r="BD14" s="353" t="s">
        <v>766</v>
      </c>
      <c r="BE14" s="1355"/>
      <c r="BF14" s="353" t="s">
        <v>663</v>
      </c>
      <c r="BH14" s="140">
        <v>9770</v>
      </c>
      <c r="BJ14" s="104" t="s">
        <v>785</v>
      </c>
      <c r="BL14" s="109"/>
      <c r="BM14" s="146"/>
      <c r="BN14" s="146"/>
      <c r="BO14" s="147"/>
      <c r="BQ14" s="109"/>
      <c r="BR14" s="146"/>
      <c r="BS14" s="146"/>
      <c r="BT14" s="146"/>
      <c r="BU14" s="147"/>
      <c r="BW14" s="109"/>
      <c r="BX14" s="146"/>
      <c r="BY14" s="146"/>
      <c r="BZ14" s="146"/>
      <c r="CA14" s="147"/>
      <c r="CC14" s="152">
        <v>0.95</v>
      </c>
    </row>
    <row r="15" spans="1:81" ht="75">
      <c r="A15" s="1403"/>
      <c r="B15" s="129" t="s">
        <v>200</v>
      </c>
      <c r="C15" s="130" t="s">
        <v>180</v>
      </c>
      <c r="D15" s="122" t="s">
        <v>181</v>
      </c>
      <c r="F15" s="327">
        <v>33380</v>
      </c>
      <c r="G15" s="328">
        <v>41500</v>
      </c>
      <c r="H15" s="105" t="s">
        <v>182</v>
      </c>
      <c r="I15" s="329">
        <v>310</v>
      </c>
      <c r="J15" s="330">
        <v>390</v>
      </c>
      <c r="K15" s="331" t="s">
        <v>661</v>
      </c>
      <c r="L15" s="105" t="s">
        <v>182</v>
      </c>
      <c r="M15" s="1353">
        <v>1910</v>
      </c>
      <c r="N15" s="106" t="s">
        <v>182</v>
      </c>
      <c r="O15" s="106">
        <v>10</v>
      </c>
      <c r="P15" s="131" t="s">
        <v>184</v>
      </c>
      <c r="Q15" s="105" t="s">
        <v>182</v>
      </c>
      <c r="R15" s="1353">
        <v>8120</v>
      </c>
      <c r="S15" s="106" t="s">
        <v>182</v>
      </c>
      <c r="T15" s="106">
        <v>80</v>
      </c>
      <c r="U15" s="131" t="s">
        <v>184</v>
      </c>
      <c r="V15" s="105" t="s">
        <v>182</v>
      </c>
      <c r="W15" s="342">
        <v>8120</v>
      </c>
      <c r="X15" s="126">
        <v>80</v>
      </c>
      <c r="Y15" s="122" t="s">
        <v>183</v>
      </c>
      <c r="AA15" s="344"/>
      <c r="AF15" s="344" t="s">
        <v>185</v>
      </c>
      <c r="AJ15" s="105" t="s">
        <v>182</v>
      </c>
      <c r="AK15" s="1377" t="s">
        <v>188</v>
      </c>
      <c r="AL15" s="106" t="s">
        <v>182</v>
      </c>
      <c r="AM15" s="106" t="s">
        <v>188</v>
      </c>
      <c r="AN15" s="131"/>
      <c r="AP15" s="349" t="s">
        <v>201</v>
      </c>
      <c r="AQ15" s="106" t="s">
        <v>182</v>
      </c>
      <c r="AR15" s="106">
        <v>80</v>
      </c>
      <c r="AS15" s="131" t="s">
        <v>187</v>
      </c>
      <c r="AT15" s="105" t="s">
        <v>182</v>
      </c>
      <c r="AU15" s="1353">
        <v>1300</v>
      </c>
      <c r="AV15" s="106" t="s">
        <v>182</v>
      </c>
      <c r="AW15" s="106">
        <v>10</v>
      </c>
      <c r="AX15" s="131" t="s">
        <v>184</v>
      </c>
      <c r="AY15" s="105" t="s">
        <v>182</v>
      </c>
      <c r="AZ15" s="352">
        <v>680</v>
      </c>
      <c r="BA15" s="1355" t="s">
        <v>664</v>
      </c>
      <c r="BB15" s="127">
        <v>6</v>
      </c>
      <c r="BC15" s="1355" t="s">
        <v>664</v>
      </c>
      <c r="BD15" s="352">
        <v>120</v>
      </c>
      <c r="BE15" s="1355" t="s">
        <v>664</v>
      </c>
      <c r="BF15" s="352">
        <v>1</v>
      </c>
      <c r="BH15" s="139" t="s">
        <v>772</v>
      </c>
      <c r="BI15" s="2" t="s">
        <v>182</v>
      </c>
      <c r="BJ15" s="130">
        <v>235</v>
      </c>
      <c r="BK15" s="105" t="s">
        <v>188</v>
      </c>
      <c r="BL15" s="132">
        <v>1870</v>
      </c>
      <c r="BM15" s="153" t="s">
        <v>189</v>
      </c>
      <c r="BN15" s="153">
        <v>10</v>
      </c>
      <c r="BO15" s="154" t="s">
        <v>184</v>
      </c>
      <c r="BP15" s="105" t="s">
        <v>188</v>
      </c>
      <c r="BQ15" s="132">
        <v>8120</v>
      </c>
      <c r="BR15" s="153" t="s">
        <v>189</v>
      </c>
      <c r="BS15" s="153">
        <v>80</v>
      </c>
      <c r="BT15" s="153" t="s">
        <v>184</v>
      </c>
      <c r="BU15" s="154" t="s">
        <v>190</v>
      </c>
      <c r="BV15" s="105" t="s">
        <v>188</v>
      </c>
      <c r="BW15" s="132">
        <v>6130</v>
      </c>
      <c r="BX15" s="153" t="s">
        <v>189</v>
      </c>
      <c r="BY15" s="153">
        <v>60</v>
      </c>
      <c r="BZ15" s="153" t="s">
        <v>184</v>
      </c>
      <c r="CA15" s="154" t="s">
        <v>190</v>
      </c>
      <c r="CC15" s="152" t="s">
        <v>191</v>
      </c>
    </row>
    <row r="16" spans="1:81" ht="37.5">
      <c r="A16" s="1403"/>
      <c r="B16" s="129"/>
      <c r="C16" s="130"/>
      <c r="D16" s="122" t="s">
        <v>192</v>
      </c>
      <c r="F16" s="332">
        <v>41500</v>
      </c>
      <c r="G16" s="333"/>
      <c r="H16" s="105" t="s">
        <v>182</v>
      </c>
      <c r="I16" s="334">
        <v>390</v>
      </c>
      <c r="J16" s="335"/>
      <c r="K16" s="336" t="s">
        <v>661</v>
      </c>
      <c r="M16" s="1354"/>
      <c r="N16" s="106"/>
      <c r="O16" s="106"/>
      <c r="P16" s="131"/>
      <c r="R16" s="1354"/>
      <c r="S16" s="106"/>
      <c r="T16" s="106"/>
      <c r="U16" s="131"/>
      <c r="V16" s="105" t="s">
        <v>182</v>
      </c>
      <c r="W16" s="334">
        <v>8120</v>
      </c>
      <c r="X16" s="133">
        <v>80</v>
      </c>
      <c r="Y16" s="122" t="s">
        <v>183</v>
      </c>
      <c r="Z16" s="105" t="s">
        <v>182</v>
      </c>
      <c r="AA16" s="345">
        <v>56880</v>
      </c>
      <c r="AB16" s="134" t="s">
        <v>182</v>
      </c>
      <c r="AC16" s="134">
        <v>560</v>
      </c>
      <c r="AD16" s="135" t="s">
        <v>184</v>
      </c>
      <c r="AE16" s="105" t="s">
        <v>182</v>
      </c>
      <c r="AF16" s="345">
        <v>48760</v>
      </c>
      <c r="AG16" s="134" t="s">
        <v>182</v>
      </c>
      <c r="AH16" s="134">
        <v>480</v>
      </c>
      <c r="AI16" s="135" t="s">
        <v>184</v>
      </c>
      <c r="AK16" s="1378"/>
      <c r="AL16" s="106"/>
      <c r="AM16" s="106"/>
      <c r="AN16" s="131"/>
      <c r="AP16" s="348">
        <v>8120</v>
      </c>
      <c r="AQ16" s="106"/>
      <c r="AR16" s="106"/>
      <c r="AS16" s="131"/>
      <c r="AU16" s="1354"/>
      <c r="AV16" s="106"/>
      <c r="AW16" s="106"/>
      <c r="AX16" s="131"/>
      <c r="AZ16" s="353" t="s">
        <v>766</v>
      </c>
      <c r="BA16" s="1355"/>
      <c r="BB16" s="136" t="s">
        <v>767</v>
      </c>
      <c r="BC16" s="1355"/>
      <c r="BD16" s="353" t="s">
        <v>766</v>
      </c>
      <c r="BE16" s="1355"/>
      <c r="BF16" s="353" t="s">
        <v>663</v>
      </c>
      <c r="BH16" s="140">
        <v>7500</v>
      </c>
      <c r="BJ16" s="130" t="s">
        <v>785</v>
      </c>
      <c r="BL16" s="132"/>
      <c r="BM16" s="153"/>
      <c r="BN16" s="153"/>
      <c r="BO16" s="154"/>
      <c r="BQ16" s="132"/>
      <c r="BR16" s="153"/>
      <c r="BS16" s="153"/>
      <c r="BT16" s="153"/>
      <c r="BU16" s="154"/>
      <c r="BW16" s="132"/>
      <c r="BX16" s="153"/>
      <c r="BY16" s="153"/>
      <c r="BZ16" s="153"/>
      <c r="CA16" s="154"/>
      <c r="CC16" s="152">
        <v>0.89</v>
      </c>
    </row>
    <row r="17" spans="1:81" ht="75">
      <c r="A17" s="1403"/>
      <c r="B17" s="120" t="s">
        <v>202</v>
      </c>
      <c r="C17" s="121" t="s">
        <v>180</v>
      </c>
      <c r="D17" s="122" t="s">
        <v>181</v>
      </c>
      <c r="F17" s="327">
        <v>30850</v>
      </c>
      <c r="G17" s="328">
        <v>38970</v>
      </c>
      <c r="H17" s="105" t="s">
        <v>182</v>
      </c>
      <c r="I17" s="329">
        <v>290</v>
      </c>
      <c r="J17" s="330">
        <v>370</v>
      </c>
      <c r="K17" s="331" t="s">
        <v>661</v>
      </c>
      <c r="L17" s="105" t="s">
        <v>182</v>
      </c>
      <c r="M17" s="1353">
        <v>1530</v>
      </c>
      <c r="N17" s="123" t="s">
        <v>182</v>
      </c>
      <c r="O17" s="123">
        <v>10</v>
      </c>
      <c r="P17" s="124" t="s">
        <v>184</v>
      </c>
      <c r="Q17" s="105" t="s">
        <v>182</v>
      </c>
      <c r="R17" s="1353">
        <v>6500</v>
      </c>
      <c r="S17" s="123" t="s">
        <v>182</v>
      </c>
      <c r="T17" s="123">
        <v>60</v>
      </c>
      <c r="U17" s="124" t="s">
        <v>184</v>
      </c>
      <c r="V17" s="105" t="s">
        <v>182</v>
      </c>
      <c r="W17" s="342">
        <v>8120</v>
      </c>
      <c r="X17" s="126">
        <v>80</v>
      </c>
      <c r="Y17" s="122" t="s">
        <v>183</v>
      </c>
      <c r="AA17" s="344"/>
      <c r="AF17" s="344" t="s">
        <v>185</v>
      </c>
      <c r="AJ17" s="105" t="s">
        <v>182</v>
      </c>
      <c r="AK17" s="1377" t="s">
        <v>188</v>
      </c>
      <c r="AL17" s="106" t="s">
        <v>182</v>
      </c>
      <c r="AM17" s="106" t="s">
        <v>188</v>
      </c>
      <c r="AN17" s="131"/>
      <c r="AP17" s="349" t="s">
        <v>203</v>
      </c>
      <c r="AQ17" s="106" t="s">
        <v>182</v>
      </c>
      <c r="AR17" s="106">
        <v>60</v>
      </c>
      <c r="AS17" s="131" t="s">
        <v>187</v>
      </c>
      <c r="AT17" s="105" t="s">
        <v>182</v>
      </c>
      <c r="AU17" s="1353">
        <v>1040</v>
      </c>
      <c r="AV17" s="123" t="s">
        <v>182</v>
      </c>
      <c r="AW17" s="123">
        <v>10</v>
      </c>
      <c r="AX17" s="124" t="s">
        <v>184</v>
      </c>
      <c r="AY17" s="105" t="s">
        <v>182</v>
      </c>
      <c r="AZ17" s="352">
        <v>570</v>
      </c>
      <c r="BA17" s="1355" t="s">
        <v>664</v>
      </c>
      <c r="BB17" s="127">
        <v>5</v>
      </c>
      <c r="BC17" s="1355" t="s">
        <v>664</v>
      </c>
      <c r="BD17" s="352">
        <v>100</v>
      </c>
      <c r="BE17" s="1355" t="s">
        <v>664</v>
      </c>
      <c r="BF17" s="352">
        <v>1</v>
      </c>
      <c r="BH17" s="139" t="s">
        <v>773</v>
      </c>
      <c r="BI17" s="2" t="s">
        <v>182</v>
      </c>
      <c r="BJ17" s="121">
        <v>235</v>
      </c>
      <c r="BK17" s="105" t="s">
        <v>188</v>
      </c>
      <c r="BL17" s="125">
        <v>1500</v>
      </c>
      <c r="BM17" s="150" t="s">
        <v>189</v>
      </c>
      <c r="BN17" s="150">
        <v>10</v>
      </c>
      <c r="BO17" s="151" t="s">
        <v>184</v>
      </c>
      <c r="BP17" s="105" t="s">
        <v>188</v>
      </c>
      <c r="BQ17" s="125">
        <v>6500</v>
      </c>
      <c r="BR17" s="150" t="s">
        <v>189</v>
      </c>
      <c r="BS17" s="150">
        <v>60</v>
      </c>
      <c r="BT17" s="150" t="s">
        <v>184</v>
      </c>
      <c r="BU17" s="151" t="s">
        <v>190</v>
      </c>
      <c r="BV17" s="105" t="s">
        <v>188</v>
      </c>
      <c r="BW17" s="125">
        <v>4900</v>
      </c>
      <c r="BX17" s="150" t="s">
        <v>189</v>
      </c>
      <c r="BY17" s="150">
        <v>40</v>
      </c>
      <c r="BZ17" s="150" t="s">
        <v>184</v>
      </c>
      <c r="CA17" s="151" t="s">
        <v>190</v>
      </c>
      <c r="CC17" s="152" t="s">
        <v>191</v>
      </c>
    </row>
    <row r="18" spans="1:81" ht="37.5">
      <c r="A18" s="1403"/>
      <c r="B18" s="103"/>
      <c r="C18" s="104"/>
      <c r="D18" s="122" t="s">
        <v>192</v>
      </c>
      <c r="F18" s="332">
        <v>38970</v>
      </c>
      <c r="G18" s="333"/>
      <c r="H18" s="105" t="s">
        <v>182</v>
      </c>
      <c r="I18" s="334">
        <v>370</v>
      </c>
      <c r="J18" s="335"/>
      <c r="K18" s="336" t="s">
        <v>661</v>
      </c>
      <c r="M18" s="1354"/>
      <c r="N18" s="310"/>
      <c r="O18" s="310"/>
      <c r="P18" s="311"/>
      <c r="R18" s="1354"/>
      <c r="S18" s="310"/>
      <c r="T18" s="310"/>
      <c r="U18" s="311"/>
      <c r="V18" s="105" t="s">
        <v>182</v>
      </c>
      <c r="W18" s="334">
        <v>8120</v>
      </c>
      <c r="X18" s="133">
        <v>80</v>
      </c>
      <c r="Y18" s="122" t="s">
        <v>183</v>
      </c>
      <c r="Z18" s="105" t="s">
        <v>182</v>
      </c>
      <c r="AA18" s="345">
        <v>56880</v>
      </c>
      <c r="AB18" s="134" t="s">
        <v>182</v>
      </c>
      <c r="AC18" s="134">
        <v>560</v>
      </c>
      <c r="AD18" s="135" t="s">
        <v>184</v>
      </c>
      <c r="AE18" s="105" t="s">
        <v>182</v>
      </c>
      <c r="AF18" s="345">
        <v>48760</v>
      </c>
      <c r="AG18" s="134" t="s">
        <v>182</v>
      </c>
      <c r="AH18" s="134">
        <v>480</v>
      </c>
      <c r="AI18" s="135" t="s">
        <v>184</v>
      </c>
      <c r="AK18" s="1378"/>
      <c r="AL18" s="106"/>
      <c r="AM18" s="106"/>
      <c r="AN18" s="131"/>
      <c r="AP18" s="348">
        <v>6500</v>
      </c>
      <c r="AQ18" s="106"/>
      <c r="AR18" s="106"/>
      <c r="AS18" s="131"/>
      <c r="AU18" s="1354"/>
      <c r="AV18" s="110"/>
      <c r="AW18" s="110"/>
      <c r="AX18" s="108"/>
      <c r="AZ18" s="353" t="s">
        <v>766</v>
      </c>
      <c r="BA18" s="1355"/>
      <c r="BB18" s="136" t="s">
        <v>767</v>
      </c>
      <c r="BC18" s="1355"/>
      <c r="BD18" s="353" t="s">
        <v>766</v>
      </c>
      <c r="BE18" s="1355"/>
      <c r="BF18" s="353" t="s">
        <v>663</v>
      </c>
      <c r="BH18" s="140">
        <v>6130</v>
      </c>
      <c r="BJ18" s="104" t="s">
        <v>785</v>
      </c>
      <c r="BL18" s="109"/>
      <c r="BM18" s="146"/>
      <c r="BN18" s="146"/>
      <c r="BO18" s="147"/>
      <c r="BQ18" s="109"/>
      <c r="BR18" s="146"/>
      <c r="BS18" s="146"/>
      <c r="BT18" s="146"/>
      <c r="BU18" s="147"/>
      <c r="BW18" s="109"/>
      <c r="BX18" s="146"/>
      <c r="BY18" s="146"/>
      <c r="BZ18" s="146"/>
      <c r="CA18" s="147"/>
      <c r="CC18" s="152">
        <v>0.92</v>
      </c>
    </row>
    <row r="19" spans="1:81" ht="75">
      <c r="A19" s="1403"/>
      <c r="B19" s="129" t="s">
        <v>204</v>
      </c>
      <c r="C19" s="130" t="s">
        <v>180</v>
      </c>
      <c r="D19" s="122" t="s">
        <v>181</v>
      </c>
      <c r="F19" s="327">
        <v>29130</v>
      </c>
      <c r="G19" s="328">
        <v>37250</v>
      </c>
      <c r="H19" s="105" t="s">
        <v>182</v>
      </c>
      <c r="I19" s="329">
        <v>270</v>
      </c>
      <c r="J19" s="330">
        <v>350</v>
      </c>
      <c r="K19" s="331" t="s">
        <v>661</v>
      </c>
      <c r="L19" s="105" t="s">
        <v>182</v>
      </c>
      <c r="M19" s="1353">
        <v>1270</v>
      </c>
      <c r="N19" s="106" t="s">
        <v>182</v>
      </c>
      <c r="O19" s="106">
        <v>10</v>
      </c>
      <c r="P19" s="131" t="s">
        <v>184</v>
      </c>
      <c r="Q19" s="105" t="s">
        <v>182</v>
      </c>
      <c r="R19" s="1353">
        <v>5410</v>
      </c>
      <c r="S19" s="106" t="s">
        <v>182</v>
      </c>
      <c r="T19" s="106">
        <v>50</v>
      </c>
      <c r="U19" s="131" t="s">
        <v>184</v>
      </c>
      <c r="V19" s="105" t="s">
        <v>182</v>
      </c>
      <c r="W19" s="342">
        <v>8120</v>
      </c>
      <c r="X19" s="126">
        <v>80</v>
      </c>
      <c r="Y19" s="122" t="s">
        <v>183</v>
      </c>
      <c r="AA19" s="344"/>
      <c r="AF19" s="344" t="s">
        <v>185</v>
      </c>
      <c r="AJ19" s="105" t="s">
        <v>182</v>
      </c>
      <c r="AK19" s="1377" t="s">
        <v>188</v>
      </c>
      <c r="AL19" s="106" t="s">
        <v>182</v>
      </c>
      <c r="AM19" s="106" t="s">
        <v>188</v>
      </c>
      <c r="AN19" s="131"/>
      <c r="AP19" s="349" t="s">
        <v>205</v>
      </c>
      <c r="AQ19" s="106" t="s">
        <v>182</v>
      </c>
      <c r="AR19" s="106">
        <v>50</v>
      </c>
      <c r="AS19" s="131" t="s">
        <v>187</v>
      </c>
      <c r="AT19" s="105" t="s">
        <v>182</v>
      </c>
      <c r="AU19" s="1353">
        <v>860</v>
      </c>
      <c r="AV19" s="106" t="s">
        <v>182</v>
      </c>
      <c r="AW19" s="106">
        <v>8</v>
      </c>
      <c r="AX19" s="131" t="s">
        <v>184</v>
      </c>
      <c r="AY19" s="105" t="s">
        <v>182</v>
      </c>
      <c r="AZ19" s="352">
        <v>500</v>
      </c>
      <c r="BA19" s="1355" t="s">
        <v>664</v>
      </c>
      <c r="BB19" s="127">
        <v>5</v>
      </c>
      <c r="BC19" s="1355" t="s">
        <v>664</v>
      </c>
      <c r="BD19" s="352">
        <v>80</v>
      </c>
      <c r="BE19" s="1355" t="s">
        <v>664</v>
      </c>
      <c r="BF19" s="352">
        <v>1</v>
      </c>
      <c r="BH19" s="139" t="s">
        <v>774</v>
      </c>
      <c r="BI19" s="2" t="s">
        <v>182</v>
      </c>
      <c r="BJ19" s="130">
        <v>235</v>
      </c>
      <c r="BK19" s="105" t="s">
        <v>188</v>
      </c>
      <c r="BL19" s="132">
        <v>1250</v>
      </c>
      <c r="BM19" s="153" t="s">
        <v>189</v>
      </c>
      <c r="BN19" s="153">
        <v>10</v>
      </c>
      <c r="BO19" s="154" t="s">
        <v>184</v>
      </c>
      <c r="BP19" s="105" t="s">
        <v>188</v>
      </c>
      <c r="BQ19" s="132">
        <v>5410</v>
      </c>
      <c r="BR19" s="153" t="s">
        <v>189</v>
      </c>
      <c r="BS19" s="153">
        <v>50</v>
      </c>
      <c r="BT19" s="153" t="s">
        <v>184</v>
      </c>
      <c r="BU19" s="154" t="s">
        <v>190</v>
      </c>
      <c r="BV19" s="105" t="s">
        <v>188</v>
      </c>
      <c r="BW19" s="132">
        <v>4080</v>
      </c>
      <c r="BX19" s="153" t="s">
        <v>189</v>
      </c>
      <c r="BY19" s="153">
        <v>40</v>
      </c>
      <c r="BZ19" s="153" t="s">
        <v>184</v>
      </c>
      <c r="CA19" s="154" t="s">
        <v>190</v>
      </c>
      <c r="CC19" s="152" t="s">
        <v>191</v>
      </c>
    </row>
    <row r="20" spans="1:81" ht="37.5">
      <c r="A20" s="1403"/>
      <c r="B20" s="129"/>
      <c r="C20" s="130"/>
      <c r="D20" s="122" t="s">
        <v>192</v>
      </c>
      <c r="F20" s="332">
        <v>37250</v>
      </c>
      <c r="G20" s="333"/>
      <c r="H20" s="105" t="s">
        <v>182</v>
      </c>
      <c r="I20" s="334">
        <v>350</v>
      </c>
      <c r="J20" s="335"/>
      <c r="K20" s="336" t="s">
        <v>661</v>
      </c>
      <c r="M20" s="1354"/>
      <c r="N20" s="106"/>
      <c r="O20" s="106"/>
      <c r="P20" s="131"/>
      <c r="R20" s="1354"/>
      <c r="S20" s="106"/>
      <c r="T20" s="106"/>
      <c r="U20" s="131"/>
      <c r="V20" s="105" t="s">
        <v>182</v>
      </c>
      <c r="W20" s="334">
        <v>8120</v>
      </c>
      <c r="X20" s="133">
        <v>80</v>
      </c>
      <c r="Y20" s="122" t="s">
        <v>183</v>
      </c>
      <c r="Z20" s="105" t="s">
        <v>182</v>
      </c>
      <c r="AA20" s="345">
        <v>56880</v>
      </c>
      <c r="AB20" s="134" t="s">
        <v>182</v>
      </c>
      <c r="AC20" s="134">
        <v>560</v>
      </c>
      <c r="AD20" s="135" t="s">
        <v>184</v>
      </c>
      <c r="AE20" s="105" t="s">
        <v>182</v>
      </c>
      <c r="AF20" s="345">
        <v>48760</v>
      </c>
      <c r="AG20" s="134" t="s">
        <v>182</v>
      </c>
      <c r="AH20" s="134">
        <v>480</v>
      </c>
      <c r="AI20" s="135" t="s">
        <v>184</v>
      </c>
      <c r="AK20" s="1378"/>
      <c r="AL20" s="106"/>
      <c r="AM20" s="106"/>
      <c r="AN20" s="131"/>
      <c r="AP20" s="348">
        <v>5410</v>
      </c>
      <c r="AQ20" s="106"/>
      <c r="AR20" s="106"/>
      <c r="AS20" s="131"/>
      <c r="AU20" s="1354"/>
      <c r="AV20" s="106"/>
      <c r="AW20" s="106"/>
      <c r="AX20" s="131"/>
      <c r="AZ20" s="353" t="s">
        <v>766</v>
      </c>
      <c r="BA20" s="1355"/>
      <c r="BB20" s="136" t="s">
        <v>767</v>
      </c>
      <c r="BC20" s="1355"/>
      <c r="BD20" s="353" t="s">
        <v>766</v>
      </c>
      <c r="BE20" s="1355"/>
      <c r="BF20" s="353" t="s">
        <v>663</v>
      </c>
      <c r="BH20" s="140">
        <v>5220</v>
      </c>
      <c r="BJ20" s="130" t="s">
        <v>785</v>
      </c>
      <c r="BL20" s="132"/>
      <c r="BM20" s="153"/>
      <c r="BN20" s="153"/>
      <c r="BO20" s="154"/>
      <c r="BQ20" s="132"/>
      <c r="BR20" s="153"/>
      <c r="BS20" s="153"/>
      <c r="BT20" s="153"/>
      <c r="BU20" s="154"/>
      <c r="BW20" s="132"/>
      <c r="BX20" s="153"/>
      <c r="BY20" s="153"/>
      <c r="BZ20" s="153"/>
      <c r="CA20" s="154"/>
      <c r="CC20" s="152">
        <v>0.9</v>
      </c>
    </row>
    <row r="21" spans="1:81" ht="75">
      <c r="A21" s="1403"/>
      <c r="B21" s="120" t="s">
        <v>206</v>
      </c>
      <c r="C21" s="121" t="s">
        <v>180</v>
      </c>
      <c r="D21" s="122" t="s">
        <v>181</v>
      </c>
      <c r="F21" s="327">
        <v>28570</v>
      </c>
      <c r="G21" s="328">
        <v>36690</v>
      </c>
      <c r="H21" s="105" t="s">
        <v>182</v>
      </c>
      <c r="I21" s="329">
        <v>260</v>
      </c>
      <c r="J21" s="330">
        <v>340</v>
      </c>
      <c r="K21" s="331" t="s">
        <v>661</v>
      </c>
      <c r="L21" s="105" t="s">
        <v>182</v>
      </c>
      <c r="M21" s="1353">
        <v>1090</v>
      </c>
      <c r="N21" s="123" t="s">
        <v>182</v>
      </c>
      <c r="O21" s="123">
        <v>10</v>
      </c>
      <c r="P21" s="124" t="s">
        <v>184</v>
      </c>
      <c r="Q21" s="105" t="s">
        <v>182</v>
      </c>
      <c r="R21" s="1353">
        <v>4640</v>
      </c>
      <c r="S21" s="123" t="s">
        <v>182</v>
      </c>
      <c r="T21" s="123">
        <v>40</v>
      </c>
      <c r="U21" s="124" t="s">
        <v>184</v>
      </c>
      <c r="V21" s="105" t="s">
        <v>182</v>
      </c>
      <c r="W21" s="342">
        <v>8120</v>
      </c>
      <c r="X21" s="126">
        <v>80</v>
      </c>
      <c r="Y21" s="122" t="s">
        <v>183</v>
      </c>
      <c r="AA21" s="344"/>
      <c r="AF21" s="344" t="s">
        <v>185</v>
      </c>
      <c r="AJ21" s="105" t="s">
        <v>182</v>
      </c>
      <c r="AK21" s="1377" t="s">
        <v>188</v>
      </c>
      <c r="AL21" s="106" t="s">
        <v>182</v>
      </c>
      <c r="AM21" s="106" t="s">
        <v>188</v>
      </c>
      <c r="AN21" s="131"/>
      <c r="AP21" s="349" t="s">
        <v>207</v>
      </c>
      <c r="AQ21" s="106" t="s">
        <v>182</v>
      </c>
      <c r="AR21" s="106">
        <v>40</v>
      </c>
      <c r="AS21" s="131" t="s">
        <v>187</v>
      </c>
      <c r="AT21" s="105" t="s">
        <v>182</v>
      </c>
      <c r="AU21" s="1353">
        <v>740</v>
      </c>
      <c r="AV21" s="123" t="s">
        <v>182</v>
      </c>
      <c r="AW21" s="123">
        <v>7</v>
      </c>
      <c r="AX21" s="124" t="s">
        <v>184</v>
      </c>
      <c r="AY21" s="105" t="s">
        <v>182</v>
      </c>
      <c r="AZ21" s="352">
        <v>440</v>
      </c>
      <c r="BA21" s="1355" t="s">
        <v>664</v>
      </c>
      <c r="BB21" s="127">
        <v>4</v>
      </c>
      <c r="BC21" s="1355" t="s">
        <v>664</v>
      </c>
      <c r="BD21" s="352">
        <v>80</v>
      </c>
      <c r="BE21" s="1355" t="s">
        <v>664</v>
      </c>
      <c r="BF21" s="352">
        <v>1</v>
      </c>
      <c r="BH21" s="139" t="s">
        <v>775</v>
      </c>
      <c r="BI21" s="2" t="s">
        <v>182</v>
      </c>
      <c r="BJ21" s="121">
        <v>235</v>
      </c>
      <c r="BK21" s="105" t="s">
        <v>188</v>
      </c>
      <c r="BL21" s="125">
        <v>1070</v>
      </c>
      <c r="BM21" s="150" t="s">
        <v>189</v>
      </c>
      <c r="BN21" s="150">
        <v>10</v>
      </c>
      <c r="BO21" s="151" t="s">
        <v>184</v>
      </c>
      <c r="BP21" s="105" t="s">
        <v>188</v>
      </c>
      <c r="BQ21" s="125">
        <v>4640</v>
      </c>
      <c r="BR21" s="150" t="s">
        <v>189</v>
      </c>
      <c r="BS21" s="150">
        <v>40</v>
      </c>
      <c r="BT21" s="150" t="s">
        <v>184</v>
      </c>
      <c r="BU21" s="151" t="s">
        <v>190</v>
      </c>
      <c r="BV21" s="105" t="s">
        <v>188</v>
      </c>
      <c r="BW21" s="125">
        <v>3500</v>
      </c>
      <c r="BX21" s="150" t="s">
        <v>189</v>
      </c>
      <c r="BY21" s="150">
        <v>30</v>
      </c>
      <c r="BZ21" s="150" t="s">
        <v>184</v>
      </c>
      <c r="CA21" s="151" t="s">
        <v>190</v>
      </c>
      <c r="CC21" s="152" t="s">
        <v>191</v>
      </c>
    </row>
    <row r="22" spans="1:81" ht="37.5">
      <c r="A22" s="1403"/>
      <c r="B22" s="103"/>
      <c r="C22" s="104"/>
      <c r="D22" s="122" t="s">
        <v>192</v>
      </c>
      <c r="F22" s="332">
        <v>36690</v>
      </c>
      <c r="G22" s="333"/>
      <c r="H22" s="105" t="s">
        <v>182</v>
      </c>
      <c r="I22" s="334">
        <v>340</v>
      </c>
      <c r="J22" s="335"/>
      <c r="K22" s="336" t="s">
        <v>661</v>
      </c>
      <c r="M22" s="1354"/>
      <c r="N22" s="310"/>
      <c r="O22" s="310"/>
      <c r="P22" s="311"/>
      <c r="R22" s="1354"/>
      <c r="S22" s="310"/>
      <c r="T22" s="310"/>
      <c r="U22" s="311"/>
      <c r="V22" s="105" t="s">
        <v>182</v>
      </c>
      <c r="W22" s="334">
        <v>8120</v>
      </c>
      <c r="X22" s="133">
        <v>80</v>
      </c>
      <c r="Y22" s="122" t="s">
        <v>183</v>
      </c>
      <c r="Z22" s="105" t="s">
        <v>182</v>
      </c>
      <c r="AA22" s="345">
        <v>56880</v>
      </c>
      <c r="AB22" s="134" t="s">
        <v>182</v>
      </c>
      <c r="AC22" s="134">
        <v>560</v>
      </c>
      <c r="AD22" s="135" t="s">
        <v>184</v>
      </c>
      <c r="AE22" s="105" t="s">
        <v>182</v>
      </c>
      <c r="AF22" s="345">
        <v>48760</v>
      </c>
      <c r="AG22" s="134" t="s">
        <v>182</v>
      </c>
      <c r="AH22" s="134">
        <v>480</v>
      </c>
      <c r="AI22" s="135" t="s">
        <v>184</v>
      </c>
      <c r="AK22" s="1378"/>
      <c r="AL22" s="106"/>
      <c r="AM22" s="106"/>
      <c r="AN22" s="131"/>
      <c r="AP22" s="348">
        <v>4640</v>
      </c>
      <c r="AQ22" s="106"/>
      <c r="AR22" s="106"/>
      <c r="AS22" s="131"/>
      <c r="AU22" s="1354"/>
      <c r="AV22" s="110"/>
      <c r="AW22" s="110"/>
      <c r="AX22" s="108"/>
      <c r="AZ22" s="353" t="s">
        <v>766</v>
      </c>
      <c r="BA22" s="1355"/>
      <c r="BB22" s="136" t="s">
        <v>767</v>
      </c>
      <c r="BC22" s="1355"/>
      <c r="BD22" s="353" t="s">
        <v>766</v>
      </c>
      <c r="BE22" s="1355"/>
      <c r="BF22" s="353" t="s">
        <v>663</v>
      </c>
      <c r="BH22" s="140">
        <v>4660</v>
      </c>
      <c r="BJ22" s="104" t="s">
        <v>785</v>
      </c>
      <c r="BL22" s="109"/>
      <c r="BM22" s="146"/>
      <c r="BN22" s="146"/>
      <c r="BO22" s="147"/>
      <c r="BQ22" s="109"/>
      <c r="BR22" s="146"/>
      <c r="BS22" s="146"/>
      <c r="BT22" s="146"/>
      <c r="BU22" s="147"/>
      <c r="BW22" s="109"/>
      <c r="BX22" s="146"/>
      <c r="BY22" s="146"/>
      <c r="BZ22" s="146"/>
      <c r="CA22" s="147"/>
      <c r="CC22" s="152">
        <v>0.91</v>
      </c>
    </row>
    <row r="23" spans="1:81" ht="75">
      <c r="A23" s="1403"/>
      <c r="B23" s="129" t="s">
        <v>208</v>
      </c>
      <c r="C23" s="130" t="s">
        <v>180</v>
      </c>
      <c r="D23" s="122" t="s">
        <v>181</v>
      </c>
      <c r="F23" s="327">
        <v>27590</v>
      </c>
      <c r="G23" s="328">
        <v>35710</v>
      </c>
      <c r="H23" s="105" t="s">
        <v>182</v>
      </c>
      <c r="I23" s="329">
        <v>250</v>
      </c>
      <c r="J23" s="330">
        <v>330</v>
      </c>
      <c r="K23" s="331" t="s">
        <v>661</v>
      </c>
      <c r="L23" s="105" t="s">
        <v>182</v>
      </c>
      <c r="M23" s="1353">
        <v>950</v>
      </c>
      <c r="N23" s="106" t="s">
        <v>182</v>
      </c>
      <c r="O23" s="106">
        <v>9</v>
      </c>
      <c r="P23" s="131" t="s">
        <v>184</v>
      </c>
      <c r="Q23" s="105" t="s">
        <v>182</v>
      </c>
      <c r="R23" s="1353">
        <v>4060</v>
      </c>
      <c r="S23" s="106" t="s">
        <v>182</v>
      </c>
      <c r="T23" s="106">
        <v>40</v>
      </c>
      <c r="U23" s="131" t="s">
        <v>184</v>
      </c>
      <c r="V23" s="105" t="s">
        <v>182</v>
      </c>
      <c r="W23" s="342">
        <v>8120</v>
      </c>
      <c r="X23" s="126">
        <v>80</v>
      </c>
      <c r="Y23" s="122" t="s">
        <v>183</v>
      </c>
      <c r="AA23" s="344"/>
      <c r="AF23" s="344" t="s">
        <v>185</v>
      </c>
      <c r="AJ23" s="105" t="s">
        <v>182</v>
      </c>
      <c r="AK23" s="1377" t="s">
        <v>188</v>
      </c>
      <c r="AL23" s="106" t="s">
        <v>182</v>
      </c>
      <c r="AM23" s="106" t="s">
        <v>188</v>
      </c>
      <c r="AN23" s="131"/>
      <c r="AP23" s="349" t="s">
        <v>209</v>
      </c>
      <c r="AQ23" s="106" t="s">
        <v>182</v>
      </c>
      <c r="AR23" s="106">
        <v>40</v>
      </c>
      <c r="AS23" s="131" t="s">
        <v>187</v>
      </c>
      <c r="AT23" s="105" t="s">
        <v>182</v>
      </c>
      <c r="AU23" s="1353">
        <v>650</v>
      </c>
      <c r="AV23" s="106" t="s">
        <v>182</v>
      </c>
      <c r="AW23" s="106">
        <v>6</v>
      </c>
      <c r="AX23" s="131" t="s">
        <v>184</v>
      </c>
      <c r="AY23" s="105" t="s">
        <v>182</v>
      </c>
      <c r="AZ23" s="352">
        <v>410</v>
      </c>
      <c r="BA23" s="1355" t="s">
        <v>664</v>
      </c>
      <c r="BB23" s="127">
        <v>4</v>
      </c>
      <c r="BC23" s="1355" t="s">
        <v>664</v>
      </c>
      <c r="BD23" s="352">
        <v>70</v>
      </c>
      <c r="BE23" s="1355" t="s">
        <v>664</v>
      </c>
      <c r="BF23" s="352">
        <v>1</v>
      </c>
      <c r="BH23" s="139" t="s">
        <v>776</v>
      </c>
      <c r="BI23" s="2" t="s">
        <v>182</v>
      </c>
      <c r="BJ23" s="130">
        <v>235</v>
      </c>
      <c r="BK23" s="105" t="s">
        <v>188</v>
      </c>
      <c r="BL23" s="132">
        <v>930</v>
      </c>
      <c r="BM23" s="153" t="s">
        <v>189</v>
      </c>
      <c r="BN23" s="153">
        <v>9</v>
      </c>
      <c r="BO23" s="154" t="s">
        <v>184</v>
      </c>
      <c r="BP23" s="105" t="s">
        <v>188</v>
      </c>
      <c r="BQ23" s="132">
        <v>4060</v>
      </c>
      <c r="BR23" s="153" t="s">
        <v>189</v>
      </c>
      <c r="BS23" s="153">
        <v>40</v>
      </c>
      <c r="BT23" s="153" t="s">
        <v>184</v>
      </c>
      <c r="BU23" s="154" t="s">
        <v>190</v>
      </c>
      <c r="BV23" s="105" t="s">
        <v>188</v>
      </c>
      <c r="BW23" s="132">
        <v>3060</v>
      </c>
      <c r="BX23" s="153" t="s">
        <v>189</v>
      </c>
      <c r="BY23" s="153">
        <v>30</v>
      </c>
      <c r="BZ23" s="153" t="s">
        <v>184</v>
      </c>
      <c r="CA23" s="154" t="s">
        <v>190</v>
      </c>
      <c r="CC23" s="152" t="s">
        <v>191</v>
      </c>
    </row>
    <row r="24" spans="1:81" ht="37.5">
      <c r="A24" s="1403"/>
      <c r="B24" s="129"/>
      <c r="C24" s="130"/>
      <c r="D24" s="122" t="s">
        <v>192</v>
      </c>
      <c r="F24" s="332">
        <v>35710</v>
      </c>
      <c r="G24" s="333"/>
      <c r="H24" s="105" t="s">
        <v>182</v>
      </c>
      <c r="I24" s="334">
        <v>330</v>
      </c>
      <c r="J24" s="335"/>
      <c r="K24" s="336" t="s">
        <v>661</v>
      </c>
      <c r="M24" s="1354"/>
      <c r="N24" s="106"/>
      <c r="O24" s="106"/>
      <c r="P24" s="131"/>
      <c r="R24" s="1354"/>
      <c r="S24" s="106"/>
      <c r="T24" s="106"/>
      <c r="U24" s="131"/>
      <c r="V24" s="105" t="s">
        <v>182</v>
      </c>
      <c r="W24" s="334">
        <v>8120</v>
      </c>
      <c r="X24" s="133">
        <v>80</v>
      </c>
      <c r="Y24" s="122" t="s">
        <v>183</v>
      </c>
      <c r="Z24" s="105" t="s">
        <v>182</v>
      </c>
      <c r="AA24" s="345">
        <v>56880</v>
      </c>
      <c r="AB24" s="134" t="s">
        <v>182</v>
      </c>
      <c r="AC24" s="134">
        <v>560</v>
      </c>
      <c r="AD24" s="135" t="s">
        <v>184</v>
      </c>
      <c r="AE24" s="105" t="s">
        <v>182</v>
      </c>
      <c r="AF24" s="345">
        <v>48760</v>
      </c>
      <c r="AG24" s="134" t="s">
        <v>182</v>
      </c>
      <c r="AH24" s="134">
        <v>480</v>
      </c>
      <c r="AI24" s="135" t="s">
        <v>184</v>
      </c>
      <c r="AK24" s="1378"/>
      <c r="AL24" s="110"/>
      <c r="AM24" s="110"/>
      <c r="AN24" s="108"/>
      <c r="AP24" s="348">
        <v>4060</v>
      </c>
      <c r="AQ24" s="106"/>
      <c r="AR24" s="106"/>
      <c r="AS24" s="131"/>
      <c r="AU24" s="1354"/>
      <c r="AV24" s="106"/>
      <c r="AW24" s="106"/>
      <c r="AX24" s="131"/>
      <c r="AZ24" s="353" t="s">
        <v>766</v>
      </c>
      <c r="BA24" s="1355"/>
      <c r="BB24" s="136" t="s">
        <v>767</v>
      </c>
      <c r="BC24" s="1355"/>
      <c r="BD24" s="353" t="s">
        <v>766</v>
      </c>
      <c r="BE24" s="1355"/>
      <c r="BF24" s="353" t="s">
        <v>663</v>
      </c>
      <c r="BH24" s="140">
        <v>4250</v>
      </c>
      <c r="BJ24" s="130" t="s">
        <v>785</v>
      </c>
      <c r="BL24" s="132"/>
      <c r="BM24" s="153"/>
      <c r="BN24" s="153"/>
      <c r="BO24" s="154"/>
      <c r="BQ24" s="132"/>
      <c r="BR24" s="153"/>
      <c r="BS24" s="153"/>
      <c r="BT24" s="153"/>
      <c r="BU24" s="154"/>
      <c r="BW24" s="132"/>
      <c r="BX24" s="153"/>
      <c r="BY24" s="153"/>
      <c r="BZ24" s="153"/>
      <c r="CA24" s="154"/>
      <c r="CC24" s="152">
        <v>0.93</v>
      </c>
    </row>
    <row r="25" spans="1:81" ht="75">
      <c r="A25" s="1403"/>
      <c r="B25" s="120" t="s">
        <v>210</v>
      </c>
      <c r="C25" s="121" t="s">
        <v>180</v>
      </c>
      <c r="D25" s="122" t="s">
        <v>181</v>
      </c>
      <c r="F25" s="327">
        <v>26810</v>
      </c>
      <c r="G25" s="328">
        <v>34930</v>
      </c>
      <c r="H25" s="105" t="s">
        <v>182</v>
      </c>
      <c r="I25" s="329">
        <v>250</v>
      </c>
      <c r="J25" s="330">
        <v>330</v>
      </c>
      <c r="K25" s="331" t="s">
        <v>661</v>
      </c>
      <c r="L25" s="105" t="s">
        <v>182</v>
      </c>
      <c r="M25" s="1353">
        <v>850</v>
      </c>
      <c r="N25" s="123" t="s">
        <v>182</v>
      </c>
      <c r="O25" s="123">
        <v>8</v>
      </c>
      <c r="P25" s="124" t="s">
        <v>184</v>
      </c>
      <c r="Q25" s="105" t="s">
        <v>182</v>
      </c>
      <c r="R25" s="1353">
        <v>3610</v>
      </c>
      <c r="S25" s="123" t="s">
        <v>182</v>
      </c>
      <c r="T25" s="123">
        <v>30</v>
      </c>
      <c r="U25" s="124" t="s">
        <v>184</v>
      </c>
      <c r="V25" s="105" t="s">
        <v>182</v>
      </c>
      <c r="W25" s="342">
        <v>8120</v>
      </c>
      <c r="X25" s="126">
        <v>80</v>
      </c>
      <c r="Y25" s="122" t="s">
        <v>183</v>
      </c>
      <c r="AA25" s="344"/>
      <c r="AF25" s="344" t="s">
        <v>185</v>
      </c>
      <c r="AJ25" s="105" t="s">
        <v>182</v>
      </c>
      <c r="AK25" s="1356">
        <v>640</v>
      </c>
      <c r="AL25" s="106" t="s">
        <v>182</v>
      </c>
      <c r="AM25" s="106">
        <v>6</v>
      </c>
      <c r="AN25" s="131" t="s">
        <v>184</v>
      </c>
      <c r="AP25" s="349" t="s">
        <v>211</v>
      </c>
      <c r="AQ25" s="106" t="s">
        <v>182</v>
      </c>
      <c r="AR25" s="106">
        <v>30</v>
      </c>
      <c r="AS25" s="131" t="s">
        <v>187</v>
      </c>
      <c r="AT25" s="105" t="s">
        <v>182</v>
      </c>
      <c r="AU25" s="1353">
        <v>570</v>
      </c>
      <c r="AV25" s="123" t="s">
        <v>182</v>
      </c>
      <c r="AW25" s="123">
        <v>5</v>
      </c>
      <c r="AX25" s="124" t="s">
        <v>184</v>
      </c>
      <c r="AY25" s="105" t="s">
        <v>182</v>
      </c>
      <c r="AZ25" s="352">
        <v>370</v>
      </c>
      <c r="BA25" s="1355" t="s">
        <v>664</v>
      </c>
      <c r="BB25" s="127">
        <v>3</v>
      </c>
      <c r="BC25" s="1355" t="s">
        <v>664</v>
      </c>
      <c r="BD25" s="352">
        <v>60</v>
      </c>
      <c r="BE25" s="1355" t="s">
        <v>664</v>
      </c>
      <c r="BF25" s="352">
        <v>1</v>
      </c>
      <c r="BH25" s="139" t="s">
        <v>777</v>
      </c>
      <c r="BI25" s="2" t="s">
        <v>182</v>
      </c>
      <c r="BJ25" s="121">
        <v>235</v>
      </c>
      <c r="BK25" s="105" t="s">
        <v>188</v>
      </c>
      <c r="BL25" s="125">
        <v>830</v>
      </c>
      <c r="BM25" s="150" t="s">
        <v>189</v>
      </c>
      <c r="BN25" s="150">
        <v>8</v>
      </c>
      <c r="BO25" s="151" t="s">
        <v>184</v>
      </c>
      <c r="BP25" s="105" t="s">
        <v>188</v>
      </c>
      <c r="BQ25" s="125">
        <v>3610</v>
      </c>
      <c r="BR25" s="150" t="s">
        <v>189</v>
      </c>
      <c r="BS25" s="150">
        <v>30</v>
      </c>
      <c r="BT25" s="150" t="s">
        <v>184</v>
      </c>
      <c r="BU25" s="151" t="s">
        <v>190</v>
      </c>
      <c r="BV25" s="105" t="s">
        <v>188</v>
      </c>
      <c r="BW25" s="125">
        <v>2720</v>
      </c>
      <c r="BX25" s="150" t="s">
        <v>189</v>
      </c>
      <c r="BY25" s="150">
        <v>20</v>
      </c>
      <c r="BZ25" s="150" t="s">
        <v>184</v>
      </c>
      <c r="CA25" s="151" t="s">
        <v>190</v>
      </c>
      <c r="CC25" s="152" t="s">
        <v>191</v>
      </c>
    </row>
    <row r="26" spans="1:81" ht="37.5">
      <c r="A26" s="1403"/>
      <c r="B26" s="103"/>
      <c r="C26" s="104"/>
      <c r="D26" s="122" t="s">
        <v>192</v>
      </c>
      <c r="F26" s="332">
        <v>34930</v>
      </c>
      <c r="G26" s="333"/>
      <c r="H26" s="105" t="s">
        <v>182</v>
      </c>
      <c r="I26" s="334">
        <v>330</v>
      </c>
      <c r="J26" s="335"/>
      <c r="K26" s="336" t="s">
        <v>661</v>
      </c>
      <c r="M26" s="1354"/>
      <c r="N26" s="310"/>
      <c r="O26" s="310"/>
      <c r="P26" s="311"/>
      <c r="R26" s="1354"/>
      <c r="S26" s="310"/>
      <c r="T26" s="310"/>
      <c r="U26" s="311"/>
      <c r="V26" s="105" t="s">
        <v>182</v>
      </c>
      <c r="W26" s="334">
        <v>8120</v>
      </c>
      <c r="X26" s="133">
        <v>80</v>
      </c>
      <c r="Y26" s="122" t="s">
        <v>183</v>
      </c>
      <c r="Z26" s="105" t="s">
        <v>182</v>
      </c>
      <c r="AA26" s="345">
        <v>56880</v>
      </c>
      <c r="AB26" s="134" t="s">
        <v>182</v>
      </c>
      <c r="AC26" s="134">
        <v>560</v>
      </c>
      <c r="AD26" s="135" t="s">
        <v>184</v>
      </c>
      <c r="AE26" s="105" t="s">
        <v>182</v>
      </c>
      <c r="AF26" s="345">
        <v>48760</v>
      </c>
      <c r="AG26" s="134" t="s">
        <v>182</v>
      </c>
      <c r="AH26" s="134">
        <v>480</v>
      </c>
      <c r="AI26" s="135" t="s">
        <v>184</v>
      </c>
      <c r="AK26" s="1357"/>
      <c r="AL26" s="106"/>
      <c r="AM26" s="106"/>
      <c r="AN26" s="131"/>
      <c r="AP26" s="348">
        <v>3610</v>
      </c>
      <c r="AQ26" s="106"/>
      <c r="AR26" s="106"/>
      <c r="AS26" s="131"/>
      <c r="AU26" s="1354"/>
      <c r="AV26" s="110"/>
      <c r="AW26" s="110"/>
      <c r="AX26" s="108"/>
      <c r="AZ26" s="353" t="s">
        <v>766</v>
      </c>
      <c r="BA26" s="1355"/>
      <c r="BB26" s="136" t="s">
        <v>767</v>
      </c>
      <c r="BC26" s="1355"/>
      <c r="BD26" s="353" t="s">
        <v>766</v>
      </c>
      <c r="BE26" s="1355"/>
      <c r="BF26" s="353" t="s">
        <v>663</v>
      </c>
      <c r="BH26" s="140">
        <v>3920</v>
      </c>
      <c r="BJ26" s="104" t="s">
        <v>785</v>
      </c>
      <c r="BL26" s="109"/>
      <c r="BM26" s="146"/>
      <c r="BN26" s="146"/>
      <c r="BO26" s="147"/>
      <c r="BQ26" s="109"/>
      <c r="BR26" s="146"/>
      <c r="BS26" s="146"/>
      <c r="BT26" s="146"/>
      <c r="BU26" s="147"/>
      <c r="BW26" s="109"/>
      <c r="BX26" s="146"/>
      <c r="BY26" s="146"/>
      <c r="BZ26" s="146"/>
      <c r="CA26" s="147"/>
      <c r="CC26" s="152">
        <v>0.96</v>
      </c>
    </row>
    <row r="27" spans="1:81" ht="75">
      <c r="A27" s="1403"/>
      <c r="B27" s="129" t="s">
        <v>212</v>
      </c>
      <c r="C27" s="130" t="s">
        <v>180</v>
      </c>
      <c r="D27" s="122" t="s">
        <v>181</v>
      </c>
      <c r="F27" s="327">
        <v>26200</v>
      </c>
      <c r="G27" s="328">
        <v>34320</v>
      </c>
      <c r="H27" s="105" t="s">
        <v>182</v>
      </c>
      <c r="I27" s="329">
        <v>240</v>
      </c>
      <c r="J27" s="330">
        <v>320</v>
      </c>
      <c r="K27" s="331" t="s">
        <v>661</v>
      </c>
      <c r="L27" s="105" t="s">
        <v>182</v>
      </c>
      <c r="M27" s="1353">
        <v>760</v>
      </c>
      <c r="N27" s="106" t="s">
        <v>182</v>
      </c>
      <c r="O27" s="106">
        <v>7</v>
      </c>
      <c r="P27" s="131" t="s">
        <v>184</v>
      </c>
      <c r="Q27" s="105" t="s">
        <v>182</v>
      </c>
      <c r="R27" s="1353">
        <v>3250</v>
      </c>
      <c r="S27" s="106" t="s">
        <v>182</v>
      </c>
      <c r="T27" s="106">
        <v>30</v>
      </c>
      <c r="U27" s="131" t="s">
        <v>184</v>
      </c>
      <c r="V27" s="105" t="s">
        <v>182</v>
      </c>
      <c r="W27" s="342">
        <v>8120</v>
      </c>
      <c r="X27" s="126">
        <v>80</v>
      </c>
      <c r="Y27" s="122" t="s">
        <v>183</v>
      </c>
      <c r="AA27" s="344"/>
      <c r="AF27" s="344" t="s">
        <v>185</v>
      </c>
      <c r="AJ27" s="105" t="s">
        <v>182</v>
      </c>
      <c r="AK27" s="1356">
        <v>570</v>
      </c>
      <c r="AL27" s="123" t="s">
        <v>182</v>
      </c>
      <c r="AM27" s="123">
        <v>5</v>
      </c>
      <c r="AN27" s="124" t="s">
        <v>184</v>
      </c>
      <c r="AP27" s="349" t="s">
        <v>213</v>
      </c>
      <c r="AQ27" s="106" t="s">
        <v>182</v>
      </c>
      <c r="AR27" s="106">
        <v>30</v>
      </c>
      <c r="AS27" s="131" t="s">
        <v>187</v>
      </c>
      <c r="AT27" s="105" t="s">
        <v>182</v>
      </c>
      <c r="AU27" s="1353">
        <v>520</v>
      </c>
      <c r="AV27" s="106" t="s">
        <v>182</v>
      </c>
      <c r="AW27" s="106">
        <v>5</v>
      </c>
      <c r="AX27" s="131" t="s">
        <v>184</v>
      </c>
      <c r="AY27" s="105" t="s">
        <v>182</v>
      </c>
      <c r="AZ27" s="352">
        <v>350</v>
      </c>
      <c r="BA27" s="1355" t="s">
        <v>664</v>
      </c>
      <c r="BB27" s="127">
        <v>3</v>
      </c>
      <c r="BC27" s="1355" t="s">
        <v>664</v>
      </c>
      <c r="BD27" s="352">
        <v>60</v>
      </c>
      <c r="BE27" s="1355" t="s">
        <v>664</v>
      </c>
      <c r="BF27" s="352">
        <v>1</v>
      </c>
      <c r="BH27" s="139" t="s">
        <v>778</v>
      </c>
      <c r="BI27" s="2" t="s">
        <v>182</v>
      </c>
      <c r="BJ27" s="130">
        <v>235</v>
      </c>
      <c r="BK27" s="105" t="s">
        <v>188</v>
      </c>
      <c r="BL27" s="132">
        <v>750</v>
      </c>
      <c r="BM27" s="153" t="s">
        <v>189</v>
      </c>
      <c r="BN27" s="153">
        <v>8</v>
      </c>
      <c r="BO27" s="154" t="s">
        <v>184</v>
      </c>
      <c r="BP27" s="105" t="s">
        <v>188</v>
      </c>
      <c r="BQ27" s="132">
        <v>3250</v>
      </c>
      <c r="BR27" s="153" t="s">
        <v>189</v>
      </c>
      <c r="BS27" s="153">
        <v>30</v>
      </c>
      <c r="BT27" s="153" t="s">
        <v>184</v>
      </c>
      <c r="BU27" s="154" t="s">
        <v>190</v>
      </c>
      <c r="BV27" s="105" t="s">
        <v>188</v>
      </c>
      <c r="BW27" s="132">
        <v>2450</v>
      </c>
      <c r="BX27" s="153" t="s">
        <v>189</v>
      </c>
      <c r="BY27" s="153">
        <v>20</v>
      </c>
      <c r="BZ27" s="153" t="s">
        <v>184</v>
      </c>
      <c r="CA27" s="154" t="s">
        <v>190</v>
      </c>
      <c r="CC27" s="152" t="s">
        <v>191</v>
      </c>
    </row>
    <row r="28" spans="1:81" ht="37.5">
      <c r="A28" s="1403"/>
      <c r="B28" s="129"/>
      <c r="C28" s="130"/>
      <c r="D28" s="122" t="s">
        <v>192</v>
      </c>
      <c r="F28" s="332">
        <v>34320</v>
      </c>
      <c r="G28" s="333"/>
      <c r="H28" s="105" t="s">
        <v>182</v>
      </c>
      <c r="I28" s="334">
        <v>320</v>
      </c>
      <c r="J28" s="335"/>
      <c r="K28" s="336" t="s">
        <v>661</v>
      </c>
      <c r="M28" s="1354"/>
      <c r="N28" s="106"/>
      <c r="O28" s="106"/>
      <c r="P28" s="131"/>
      <c r="R28" s="1354"/>
      <c r="S28" s="106"/>
      <c r="T28" s="106"/>
      <c r="U28" s="131"/>
      <c r="V28" s="105" t="s">
        <v>182</v>
      </c>
      <c r="W28" s="334">
        <v>8120</v>
      </c>
      <c r="X28" s="133">
        <v>80</v>
      </c>
      <c r="Y28" s="122" t="s">
        <v>183</v>
      </c>
      <c r="Z28" s="105" t="s">
        <v>182</v>
      </c>
      <c r="AA28" s="345">
        <v>56880</v>
      </c>
      <c r="AB28" s="134" t="s">
        <v>182</v>
      </c>
      <c r="AC28" s="134">
        <v>560</v>
      </c>
      <c r="AD28" s="135" t="s">
        <v>184</v>
      </c>
      <c r="AE28" s="105" t="s">
        <v>182</v>
      </c>
      <c r="AF28" s="345">
        <v>48760</v>
      </c>
      <c r="AG28" s="134" t="s">
        <v>182</v>
      </c>
      <c r="AH28" s="134">
        <v>480</v>
      </c>
      <c r="AI28" s="135" t="s">
        <v>184</v>
      </c>
      <c r="AK28" s="1357"/>
      <c r="AL28" s="110"/>
      <c r="AM28" s="110"/>
      <c r="AN28" s="108"/>
      <c r="AP28" s="348">
        <v>3250</v>
      </c>
      <c r="AQ28" s="106"/>
      <c r="AR28" s="106"/>
      <c r="AS28" s="131"/>
      <c r="AU28" s="1354"/>
      <c r="AV28" s="106"/>
      <c r="AW28" s="106"/>
      <c r="AX28" s="131"/>
      <c r="AZ28" s="353" t="s">
        <v>766</v>
      </c>
      <c r="BA28" s="1355"/>
      <c r="BB28" s="136" t="s">
        <v>767</v>
      </c>
      <c r="BC28" s="1355"/>
      <c r="BD28" s="353" t="s">
        <v>766</v>
      </c>
      <c r="BE28" s="1355"/>
      <c r="BF28" s="353" t="s">
        <v>663</v>
      </c>
      <c r="BH28" s="140">
        <v>3660</v>
      </c>
      <c r="BJ28" s="130" t="s">
        <v>785</v>
      </c>
      <c r="BL28" s="132"/>
      <c r="BM28" s="153"/>
      <c r="BN28" s="153"/>
      <c r="BO28" s="154"/>
      <c r="BQ28" s="132"/>
      <c r="BR28" s="153"/>
      <c r="BS28" s="153"/>
      <c r="BT28" s="153"/>
      <c r="BU28" s="154"/>
      <c r="BW28" s="132"/>
      <c r="BX28" s="153"/>
      <c r="BY28" s="153"/>
      <c r="BZ28" s="153"/>
      <c r="CA28" s="154"/>
      <c r="CC28" s="152">
        <v>0.99</v>
      </c>
    </row>
    <row r="29" spans="1:81" ht="75">
      <c r="A29" s="1403"/>
      <c r="B29" s="120" t="s">
        <v>214</v>
      </c>
      <c r="C29" s="121" t="s">
        <v>180</v>
      </c>
      <c r="D29" s="122" t="s">
        <v>181</v>
      </c>
      <c r="F29" s="327">
        <v>25270</v>
      </c>
      <c r="G29" s="328">
        <v>33390</v>
      </c>
      <c r="H29" s="105" t="s">
        <v>182</v>
      </c>
      <c r="I29" s="329">
        <v>230</v>
      </c>
      <c r="J29" s="330">
        <v>310</v>
      </c>
      <c r="K29" s="331" t="s">
        <v>661</v>
      </c>
      <c r="L29" s="105" t="s">
        <v>182</v>
      </c>
      <c r="M29" s="1353">
        <v>630</v>
      </c>
      <c r="N29" s="123" t="s">
        <v>182</v>
      </c>
      <c r="O29" s="123">
        <v>6</v>
      </c>
      <c r="P29" s="124" t="s">
        <v>184</v>
      </c>
      <c r="Q29" s="105" t="s">
        <v>182</v>
      </c>
      <c r="R29" s="1353">
        <v>2700</v>
      </c>
      <c r="S29" s="123" t="s">
        <v>182</v>
      </c>
      <c r="T29" s="123">
        <v>20</v>
      </c>
      <c r="U29" s="124" t="s">
        <v>184</v>
      </c>
      <c r="V29" s="105" t="s">
        <v>182</v>
      </c>
      <c r="W29" s="342">
        <v>8120</v>
      </c>
      <c r="X29" s="126">
        <v>80</v>
      </c>
      <c r="Y29" s="122" t="s">
        <v>183</v>
      </c>
      <c r="AA29" s="344"/>
      <c r="AF29" s="344" t="s">
        <v>185</v>
      </c>
      <c r="AJ29" s="105" t="s">
        <v>182</v>
      </c>
      <c r="AK29" s="1356">
        <v>480</v>
      </c>
      <c r="AL29" s="106" t="s">
        <v>182</v>
      </c>
      <c r="AM29" s="106">
        <v>4</v>
      </c>
      <c r="AN29" s="131" t="s">
        <v>184</v>
      </c>
      <c r="AP29" s="349" t="s">
        <v>215</v>
      </c>
      <c r="AQ29" s="106" t="s">
        <v>182</v>
      </c>
      <c r="AR29" s="106">
        <v>20</v>
      </c>
      <c r="AS29" s="131" t="s">
        <v>187</v>
      </c>
      <c r="AT29" s="105" t="s">
        <v>182</v>
      </c>
      <c r="AU29" s="1353">
        <v>500</v>
      </c>
      <c r="AV29" s="123" t="s">
        <v>182</v>
      </c>
      <c r="AW29" s="123">
        <v>5</v>
      </c>
      <c r="AX29" s="124" t="s">
        <v>184</v>
      </c>
      <c r="AY29" s="105" t="s">
        <v>182</v>
      </c>
      <c r="AZ29" s="352">
        <v>300</v>
      </c>
      <c r="BA29" s="1355" t="s">
        <v>664</v>
      </c>
      <c r="BB29" s="127">
        <v>3</v>
      </c>
      <c r="BC29" s="1355" t="s">
        <v>664</v>
      </c>
      <c r="BD29" s="352">
        <v>50</v>
      </c>
      <c r="BE29" s="1355" t="s">
        <v>664</v>
      </c>
      <c r="BF29" s="352">
        <v>1</v>
      </c>
      <c r="BH29" s="139" t="s">
        <v>779</v>
      </c>
      <c r="BI29" s="2" t="s">
        <v>182</v>
      </c>
      <c r="BJ29" s="121">
        <v>235</v>
      </c>
      <c r="BK29" s="105" t="s">
        <v>188</v>
      </c>
      <c r="BL29" s="125">
        <v>620</v>
      </c>
      <c r="BM29" s="150" t="s">
        <v>189</v>
      </c>
      <c r="BN29" s="150">
        <v>6</v>
      </c>
      <c r="BO29" s="151" t="s">
        <v>184</v>
      </c>
      <c r="BP29" s="105" t="s">
        <v>188</v>
      </c>
      <c r="BQ29" s="125">
        <v>2700</v>
      </c>
      <c r="BR29" s="150" t="s">
        <v>189</v>
      </c>
      <c r="BS29" s="150">
        <v>20</v>
      </c>
      <c r="BT29" s="150" t="s">
        <v>184</v>
      </c>
      <c r="BU29" s="151" t="s">
        <v>190</v>
      </c>
      <c r="BV29" s="105" t="s">
        <v>188</v>
      </c>
      <c r="BW29" s="125">
        <v>2040</v>
      </c>
      <c r="BX29" s="150" t="s">
        <v>189</v>
      </c>
      <c r="BY29" s="150">
        <v>20</v>
      </c>
      <c r="BZ29" s="150" t="s">
        <v>184</v>
      </c>
      <c r="CA29" s="151" t="s">
        <v>190</v>
      </c>
      <c r="CC29" s="152" t="s">
        <v>191</v>
      </c>
    </row>
    <row r="30" spans="1:81" ht="37.5">
      <c r="A30" s="1403"/>
      <c r="B30" s="103"/>
      <c r="C30" s="104"/>
      <c r="D30" s="122" t="s">
        <v>192</v>
      </c>
      <c r="F30" s="332">
        <v>33390</v>
      </c>
      <c r="G30" s="333"/>
      <c r="H30" s="105" t="s">
        <v>182</v>
      </c>
      <c r="I30" s="334">
        <v>310</v>
      </c>
      <c r="J30" s="335"/>
      <c r="K30" s="336" t="s">
        <v>661</v>
      </c>
      <c r="M30" s="1354"/>
      <c r="N30" s="310"/>
      <c r="O30" s="310"/>
      <c r="P30" s="311"/>
      <c r="R30" s="1354"/>
      <c r="S30" s="310"/>
      <c r="T30" s="310"/>
      <c r="U30" s="311"/>
      <c r="V30" s="105" t="s">
        <v>182</v>
      </c>
      <c r="W30" s="334">
        <v>8120</v>
      </c>
      <c r="X30" s="133">
        <v>80</v>
      </c>
      <c r="Y30" s="122" t="s">
        <v>183</v>
      </c>
      <c r="Z30" s="105" t="s">
        <v>182</v>
      </c>
      <c r="AA30" s="345">
        <v>56880</v>
      </c>
      <c r="AB30" s="134" t="s">
        <v>182</v>
      </c>
      <c r="AC30" s="134">
        <v>560</v>
      </c>
      <c r="AD30" s="135" t="s">
        <v>184</v>
      </c>
      <c r="AE30" s="105" t="s">
        <v>182</v>
      </c>
      <c r="AF30" s="345">
        <v>48760</v>
      </c>
      <c r="AG30" s="134" t="s">
        <v>182</v>
      </c>
      <c r="AH30" s="134">
        <v>480</v>
      </c>
      <c r="AI30" s="135" t="s">
        <v>184</v>
      </c>
      <c r="AK30" s="1357"/>
      <c r="AL30" s="106"/>
      <c r="AM30" s="106"/>
      <c r="AN30" s="131"/>
      <c r="AP30" s="348">
        <v>2700</v>
      </c>
      <c r="AQ30" s="106"/>
      <c r="AR30" s="106"/>
      <c r="AS30" s="131"/>
      <c r="AU30" s="1354"/>
      <c r="AV30" s="110"/>
      <c r="AW30" s="110"/>
      <c r="AX30" s="108"/>
      <c r="AZ30" s="353" t="s">
        <v>766</v>
      </c>
      <c r="BA30" s="1355"/>
      <c r="BB30" s="136" t="s">
        <v>767</v>
      </c>
      <c r="BC30" s="1355"/>
      <c r="BD30" s="353" t="s">
        <v>766</v>
      </c>
      <c r="BE30" s="1355"/>
      <c r="BF30" s="353" t="s">
        <v>663</v>
      </c>
      <c r="BH30" s="140">
        <v>3160</v>
      </c>
      <c r="BJ30" s="104" t="s">
        <v>785</v>
      </c>
      <c r="BL30" s="109"/>
      <c r="BM30" s="146"/>
      <c r="BN30" s="146"/>
      <c r="BO30" s="147"/>
      <c r="BQ30" s="109"/>
      <c r="BR30" s="146"/>
      <c r="BS30" s="146"/>
      <c r="BT30" s="146"/>
      <c r="BU30" s="147"/>
      <c r="BW30" s="109"/>
      <c r="BX30" s="146"/>
      <c r="BY30" s="146"/>
      <c r="BZ30" s="146"/>
      <c r="CA30" s="147"/>
      <c r="CC30" s="152">
        <v>0.91</v>
      </c>
    </row>
    <row r="31" spans="1:81" ht="75">
      <c r="A31" s="1403"/>
      <c r="B31" s="129" t="s">
        <v>216</v>
      </c>
      <c r="C31" s="130" t="s">
        <v>180</v>
      </c>
      <c r="D31" s="122" t="s">
        <v>181</v>
      </c>
      <c r="F31" s="327">
        <v>24590</v>
      </c>
      <c r="G31" s="328">
        <v>32710</v>
      </c>
      <c r="H31" s="105" t="s">
        <v>182</v>
      </c>
      <c r="I31" s="329">
        <v>220</v>
      </c>
      <c r="J31" s="330">
        <v>300</v>
      </c>
      <c r="K31" s="331" t="s">
        <v>661</v>
      </c>
      <c r="L31" s="105" t="s">
        <v>182</v>
      </c>
      <c r="M31" s="1353">
        <v>540</v>
      </c>
      <c r="N31" s="106" t="s">
        <v>182</v>
      </c>
      <c r="O31" s="106">
        <v>5</v>
      </c>
      <c r="P31" s="131" t="s">
        <v>184</v>
      </c>
      <c r="Q31" s="105" t="s">
        <v>182</v>
      </c>
      <c r="R31" s="1353">
        <v>2320</v>
      </c>
      <c r="S31" s="106" t="s">
        <v>182</v>
      </c>
      <c r="T31" s="106">
        <v>20</v>
      </c>
      <c r="U31" s="131" t="s">
        <v>184</v>
      </c>
      <c r="V31" s="105" t="s">
        <v>182</v>
      </c>
      <c r="W31" s="342">
        <v>8120</v>
      </c>
      <c r="X31" s="126">
        <v>80</v>
      </c>
      <c r="Y31" s="122" t="s">
        <v>183</v>
      </c>
      <c r="AA31" s="344"/>
      <c r="AF31" s="344" t="s">
        <v>185</v>
      </c>
      <c r="AJ31" s="105" t="s">
        <v>182</v>
      </c>
      <c r="AK31" s="1356">
        <v>410</v>
      </c>
      <c r="AL31" s="123" t="s">
        <v>182</v>
      </c>
      <c r="AM31" s="123">
        <v>4</v>
      </c>
      <c r="AN31" s="124" t="s">
        <v>184</v>
      </c>
      <c r="AP31" s="349" t="s">
        <v>217</v>
      </c>
      <c r="AQ31" s="106" t="s">
        <v>182</v>
      </c>
      <c r="AR31" s="106">
        <v>20</v>
      </c>
      <c r="AS31" s="131" t="s">
        <v>187</v>
      </c>
      <c r="AT31" s="105" t="s">
        <v>182</v>
      </c>
      <c r="AU31" s="1353">
        <v>500</v>
      </c>
      <c r="AV31" s="106" t="s">
        <v>182</v>
      </c>
      <c r="AW31" s="106">
        <v>5</v>
      </c>
      <c r="AX31" s="131" t="s">
        <v>184</v>
      </c>
      <c r="AY31" s="105" t="s">
        <v>182</v>
      </c>
      <c r="AZ31" s="352">
        <v>270</v>
      </c>
      <c r="BA31" s="1355" t="s">
        <v>664</v>
      </c>
      <c r="BB31" s="127">
        <v>2</v>
      </c>
      <c r="BC31" s="1355" t="s">
        <v>664</v>
      </c>
      <c r="BD31" s="352">
        <v>40</v>
      </c>
      <c r="BE31" s="1355" t="s">
        <v>664</v>
      </c>
      <c r="BF31" s="352">
        <v>1</v>
      </c>
      <c r="BH31" s="139" t="s">
        <v>780</v>
      </c>
      <c r="BI31" s="2" t="s">
        <v>182</v>
      </c>
      <c r="BJ31" s="130">
        <v>235</v>
      </c>
      <c r="BK31" s="105" t="s">
        <v>188</v>
      </c>
      <c r="BL31" s="132">
        <v>530</v>
      </c>
      <c r="BM31" s="153" t="s">
        <v>189</v>
      </c>
      <c r="BN31" s="153">
        <v>5</v>
      </c>
      <c r="BO31" s="154" t="s">
        <v>184</v>
      </c>
      <c r="BP31" s="105" t="s">
        <v>188</v>
      </c>
      <c r="BQ31" s="132">
        <v>2320</v>
      </c>
      <c r="BR31" s="153" t="s">
        <v>189</v>
      </c>
      <c r="BS31" s="153">
        <v>20</v>
      </c>
      <c r="BT31" s="153" t="s">
        <v>184</v>
      </c>
      <c r="BU31" s="154" t="s">
        <v>190</v>
      </c>
      <c r="BV31" s="105" t="s">
        <v>188</v>
      </c>
      <c r="BW31" s="132">
        <v>1750</v>
      </c>
      <c r="BX31" s="153" t="s">
        <v>189</v>
      </c>
      <c r="BY31" s="153">
        <v>10</v>
      </c>
      <c r="BZ31" s="153" t="s">
        <v>184</v>
      </c>
      <c r="CA31" s="154" t="s">
        <v>190</v>
      </c>
      <c r="CC31" s="152" t="s">
        <v>191</v>
      </c>
    </row>
    <row r="32" spans="1:81" ht="37.5">
      <c r="A32" s="1403"/>
      <c r="B32" s="129"/>
      <c r="C32" s="130"/>
      <c r="D32" s="122" t="s">
        <v>192</v>
      </c>
      <c r="F32" s="332">
        <v>32710</v>
      </c>
      <c r="G32" s="333"/>
      <c r="H32" s="105" t="s">
        <v>182</v>
      </c>
      <c r="I32" s="334">
        <v>300</v>
      </c>
      <c r="J32" s="335"/>
      <c r="K32" s="336" t="s">
        <v>661</v>
      </c>
      <c r="M32" s="1354"/>
      <c r="N32" s="106"/>
      <c r="O32" s="106"/>
      <c r="P32" s="131"/>
      <c r="R32" s="1354"/>
      <c r="S32" s="106"/>
      <c r="T32" s="106"/>
      <c r="U32" s="131"/>
      <c r="V32" s="105" t="s">
        <v>182</v>
      </c>
      <c r="W32" s="334">
        <v>8120</v>
      </c>
      <c r="X32" s="133">
        <v>80</v>
      </c>
      <c r="Y32" s="122" t="s">
        <v>183</v>
      </c>
      <c r="Z32" s="105" t="s">
        <v>182</v>
      </c>
      <c r="AA32" s="345">
        <v>56880</v>
      </c>
      <c r="AB32" s="134" t="s">
        <v>182</v>
      </c>
      <c r="AC32" s="134">
        <v>560</v>
      </c>
      <c r="AD32" s="135" t="s">
        <v>184</v>
      </c>
      <c r="AE32" s="105" t="s">
        <v>182</v>
      </c>
      <c r="AF32" s="345">
        <v>48760</v>
      </c>
      <c r="AG32" s="134" t="s">
        <v>182</v>
      </c>
      <c r="AH32" s="134">
        <v>480</v>
      </c>
      <c r="AI32" s="135" t="s">
        <v>184</v>
      </c>
      <c r="AK32" s="1357"/>
      <c r="AL32" s="110"/>
      <c r="AM32" s="110"/>
      <c r="AN32" s="108"/>
      <c r="AP32" s="348">
        <v>2320</v>
      </c>
      <c r="AQ32" s="106"/>
      <c r="AR32" s="106"/>
      <c r="AS32" s="131"/>
      <c r="AU32" s="1354"/>
      <c r="AV32" s="106"/>
      <c r="AW32" s="106"/>
      <c r="AX32" s="131"/>
      <c r="AZ32" s="353" t="s">
        <v>766</v>
      </c>
      <c r="BA32" s="1355"/>
      <c r="BB32" s="136" t="s">
        <v>767</v>
      </c>
      <c r="BC32" s="1355"/>
      <c r="BD32" s="353" t="s">
        <v>766</v>
      </c>
      <c r="BE32" s="1355"/>
      <c r="BF32" s="353" t="s">
        <v>663</v>
      </c>
      <c r="BH32" s="140">
        <v>2810</v>
      </c>
      <c r="BJ32" s="130" t="s">
        <v>785</v>
      </c>
      <c r="BL32" s="132"/>
      <c r="BM32" s="153"/>
      <c r="BN32" s="153"/>
      <c r="BO32" s="154"/>
      <c r="BQ32" s="132"/>
      <c r="BR32" s="153"/>
      <c r="BS32" s="153"/>
      <c r="BT32" s="153"/>
      <c r="BU32" s="154"/>
      <c r="BW32" s="132"/>
      <c r="BX32" s="153"/>
      <c r="BY32" s="153"/>
      <c r="BZ32" s="153"/>
      <c r="CA32" s="154"/>
      <c r="CC32" s="152">
        <v>0.95</v>
      </c>
    </row>
    <row r="33" spans="1:81" ht="75">
      <c r="A33" s="1403"/>
      <c r="B33" s="120" t="s">
        <v>218</v>
      </c>
      <c r="C33" s="121" t="s">
        <v>180</v>
      </c>
      <c r="D33" s="122" t="s">
        <v>181</v>
      </c>
      <c r="F33" s="327">
        <v>24090</v>
      </c>
      <c r="G33" s="328">
        <v>32210</v>
      </c>
      <c r="H33" s="105" t="s">
        <v>182</v>
      </c>
      <c r="I33" s="329">
        <v>220</v>
      </c>
      <c r="J33" s="330">
        <v>300</v>
      </c>
      <c r="K33" s="331" t="s">
        <v>661</v>
      </c>
      <c r="L33" s="105" t="s">
        <v>182</v>
      </c>
      <c r="M33" s="1353">
        <v>470</v>
      </c>
      <c r="N33" s="123" t="s">
        <v>182</v>
      </c>
      <c r="O33" s="123">
        <v>4</v>
      </c>
      <c r="P33" s="124" t="s">
        <v>184</v>
      </c>
      <c r="Q33" s="105" t="s">
        <v>182</v>
      </c>
      <c r="R33" s="1353">
        <v>2030</v>
      </c>
      <c r="S33" s="123" t="s">
        <v>182</v>
      </c>
      <c r="T33" s="123">
        <v>20</v>
      </c>
      <c r="U33" s="124" t="s">
        <v>184</v>
      </c>
      <c r="V33" s="105" t="s">
        <v>182</v>
      </c>
      <c r="W33" s="342">
        <v>8120</v>
      </c>
      <c r="X33" s="126">
        <v>80</v>
      </c>
      <c r="Y33" s="122" t="s">
        <v>183</v>
      </c>
      <c r="AA33" s="344"/>
      <c r="AF33" s="344" t="s">
        <v>185</v>
      </c>
      <c r="AJ33" s="105" t="s">
        <v>182</v>
      </c>
      <c r="AK33" s="1356">
        <v>360</v>
      </c>
      <c r="AL33" s="106" t="s">
        <v>182</v>
      </c>
      <c r="AM33" s="106">
        <v>3</v>
      </c>
      <c r="AN33" s="131" t="s">
        <v>184</v>
      </c>
      <c r="AP33" s="349" t="s">
        <v>219</v>
      </c>
      <c r="AQ33" s="106" t="s">
        <v>182</v>
      </c>
      <c r="AR33" s="106">
        <v>20</v>
      </c>
      <c r="AS33" s="131" t="s">
        <v>187</v>
      </c>
      <c r="AT33" s="105" t="s">
        <v>182</v>
      </c>
      <c r="AU33" s="1353">
        <v>500</v>
      </c>
      <c r="AV33" s="123" t="s">
        <v>182</v>
      </c>
      <c r="AW33" s="123">
        <v>5</v>
      </c>
      <c r="AX33" s="124" t="s">
        <v>184</v>
      </c>
      <c r="AY33" s="105" t="s">
        <v>182</v>
      </c>
      <c r="AZ33" s="352">
        <v>250</v>
      </c>
      <c r="BA33" s="1355" t="s">
        <v>664</v>
      </c>
      <c r="BB33" s="127">
        <v>2</v>
      </c>
      <c r="BC33" s="1355" t="s">
        <v>664</v>
      </c>
      <c r="BD33" s="352">
        <v>40</v>
      </c>
      <c r="BE33" s="1355" t="s">
        <v>664</v>
      </c>
      <c r="BF33" s="352">
        <v>1</v>
      </c>
      <c r="BH33" s="139" t="s">
        <v>781</v>
      </c>
      <c r="BI33" s="2" t="s">
        <v>182</v>
      </c>
      <c r="BJ33" s="121">
        <v>235</v>
      </c>
      <c r="BK33" s="105" t="s">
        <v>188</v>
      </c>
      <c r="BL33" s="125">
        <v>460</v>
      </c>
      <c r="BM33" s="150" t="s">
        <v>189</v>
      </c>
      <c r="BN33" s="150">
        <v>5</v>
      </c>
      <c r="BO33" s="151" t="s">
        <v>184</v>
      </c>
      <c r="BP33" s="105" t="s">
        <v>188</v>
      </c>
      <c r="BQ33" s="125">
        <v>2030</v>
      </c>
      <c r="BR33" s="150" t="s">
        <v>189</v>
      </c>
      <c r="BS33" s="150">
        <v>20</v>
      </c>
      <c r="BT33" s="150" t="s">
        <v>184</v>
      </c>
      <c r="BU33" s="151" t="s">
        <v>190</v>
      </c>
      <c r="BV33" s="105" t="s">
        <v>188</v>
      </c>
      <c r="BW33" s="125">
        <v>1530</v>
      </c>
      <c r="BX33" s="150" t="s">
        <v>189</v>
      </c>
      <c r="BY33" s="150">
        <v>10</v>
      </c>
      <c r="BZ33" s="150" t="s">
        <v>184</v>
      </c>
      <c r="CA33" s="151" t="s">
        <v>190</v>
      </c>
      <c r="CC33" s="152" t="s">
        <v>191</v>
      </c>
    </row>
    <row r="34" spans="1:81" ht="37.5">
      <c r="A34" s="1403"/>
      <c r="B34" s="103"/>
      <c r="C34" s="104"/>
      <c r="D34" s="122" t="s">
        <v>192</v>
      </c>
      <c r="F34" s="332">
        <v>32210</v>
      </c>
      <c r="G34" s="333"/>
      <c r="H34" s="105" t="s">
        <v>182</v>
      </c>
      <c r="I34" s="334">
        <v>300</v>
      </c>
      <c r="J34" s="335"/>
      <c r="K34" s="336" t="s">
        <v>661</v>
      </c>
      <c r="M34" s="1354"/>
      <c r="N34" s="310"/>
      <c r="O34" s="310"/>
      <c r="P34" s="311"/>
      <c r="R34" s="1354"/>
      <c r="S34" s="310"/>
      <c r="T34" s="310"/>
      <c r="U34" s="311"/>
      <c r="V34" s="105" t="s">
        <v>182</v>
      </c>
      <c r="W34" s="334">
        <v>8120</v>
      </c>
      <c r="X34" s="133">
        <v>80</v>
      </c>
      <c r="Y34" s="122" t="s">
        <v>183</v>
      </c>
      <c r="Z34" s="105" t="s">
        <v>182</v>
      </c>
      <c r="AA34" s="345">
        <v>56880</v>
      </c>
      <c r="AB34" s="134" t="s">
        <v>182</v>
      </c>
      <c r="AC34" s="134">
        <v>560</v>
      </c>
      <c r="AD34" s="135" t="s">
        <v>184</v>
      </c>
      <c r="AE34" s="105" t="s">
        <v>182</v>
      </c>
      <c r="AF34" s="345">
        <v>48760</v>
      </c>
      <c r="AG34" s="134" t="s">
        <v>182</v>
      </c>
      <c r="AH34" s="134">
        <v>480</v>
      </c>
      <c r="AI34" s="135" t="s">
        <v>184</v>
      </c>
      <c r="AK34" s="1357"/>
      <c r="AL34" s="106"/>
      <c r="AM34" s="106"/>
      <c r="AN34" s="131"/>
      <c r="AP34" s="348">
        <v>2030</v>
      </c>
      <c r="AQ34" s="106"/>
      <c r="AR34" s="106"/>
      <c r="AS34" s="131"/>
      <c r="AU34" s="1354"/>
      <c r="AV34" s="110"/>
      <c r="AW34" s="110"/>
      <c r="AX34" s="108"/>
      <c r="AZ34" s="353" t="s">
        <v>766</v>
      </c>
      <c r="BA34" s="1355"/>
      <c r="BB34" s="136" t="s">
        <v>767</v>
      </c>
      <c r="BC34" s="1355"/>
      <c r="BD34" s="353" t="s">
        <v>766</v>
      </c>
      <c r="BE34" s="1355"/>
      <c r="BF34" s="353" t="s">
        <v>663</v>
      </c>
      <c r="BH34" s="140">
        <v>2540</v>
      </c>
      <c r="BJ34" s="104" t="s">
        <v>785</v>
      </c>
      <c r="BL34" s="109"/>
      <c r="BM34" s="146"/>
      <c r="BN34" s="146"/>
      <c r="BO34" s="147"/>
      <c r="BQ34" s="109"/>
      <c r="BR34" s="146"/>
      <c r="BS34" s="146"/>
      <c r="BT34" s="146"/>
      <c r="BU34" s="147"/>
      <c r="BW34" s="109"/>
      <c r="BX34" s="146"/>
      <c r="BY34" s="146"/>
      <c r="BZ34" s="146"/>
      <c r="CA34" s="147"/>
      <c r="CC34" s="152">
        <v>0.99</v>
      </c>
    </row>
    <row r="35" spans="1:81" ht="75">
      <c r="A35" s="1403"/>
      <c r="B35" s="129" t="s">
        <v>220</v>
      </c>
      <c r="C35" s="130" t="s">
        <v>180</v>
      </c>
      <c r="D35" s="122" t="s">
        <v>181</v>
      </c>
      <c r="F35" s="327">
        <v>23710</v>
      </c>
      <c r="G35" s="328">
        <v>31830</v>
      </c>
      <c r="H35" s="105" t="s">
        <v>182</v>
      </c>
      <c r="I35" s="329">
        <v>210</v>
      </c>
      <c r="J35" s="330">
        <v>300</v>
      </c>
      <c r="K35" s="331" t="s">
        <v>661</v>
      </c>
      <c r="L35" s="105" t="s">
        <v>182</v>
      </c>
      <c r="M35" s="1353">
        <v>420</v>
      </c>
      <c r="N35" s="106" t="s">
        <v>182</v>
      </c>
      <c r="O35" s="106">
        <v>4</v>
      </c>
      <c r="P35" s="131" t="s">
        <v>184</v>
      </c>
      <c r="Q35" s="105" t="s">
        <v>182</v>
      </c>
      <c r="R35" s="1353">
        <v>1800</v>
      </c>
      <c r="S35" s="106" t="s">
        <v>182</v>
      </c>
      <c r="T35" s="106">
        <v>10</v>
      </c>
      <c r="U35" s="131" t="s">
        <v>184</v>
      </c>
      <c r="V35" s="105" t="s">
        <v>182</v>
      </c>
      <c r="W35" s="342">
        <v>8120</v>
      </c>
      <c r="X35" s="126">
        <v>80</v>
      </c>
      <c r="Y35" s="122" t="s">
        <v>183</v>
      </c>
      <c r="AA35" s="344"/>
      <c r="AF35" s="344" t="s">
        <v>185</v>
      </c>
      <c r="AJ35" s="105" t="s">
        <v>182</v>
      </c>
      <c r="AK35" s="1356">
        <v>320</v>
      </c>
      <c r="AL35" s="123" t="s">
        <v>182</v>
      </c>
      <c r="AM35" s="123">
        <v>3</v>
      </c>
      <c r="AN35" s="124" t="s">
        <v>184</v>
      </c>
      <c r="AP35" s="349" t="s">
        <v>221</v>
      </c>
      <c r="AQ35" s="106" t="s">
        <v>182</v>
      </c>
      <c r="AR35" s="106">
        <v>10</v>
      </c>
      <c r="AS35" s="131" t="s">
        <v>187</v>
      </c>
      <c r="AT35" s="105" t="s">
        <v>182</v>
      </c>
      <c r="AU35" s="1353">
        <v>500</v>
      </c>
      <c r="AV35" s="106" t="s">
        <v>182</v>
      </c>
      <c r="AW35" s="106">
        <v>5</v>
      </c>
      <c r="AX35" s="131" t="s">
        <v>184</v>
      </c>
      <c r="AY35" s="105" t="s">
        <v>182</v>
      </c>
      <c r="AZ35" s="352">
        <v>220</v>
      </c>
      <c r="BA35" s="1355" t="s">
        <v>664</v>
      </c>
      <c r="BB35" s="127">
        <v>2</v>
      </c>
      <c r="BC35" s="1355" t="s">
        <v>664</v>
      </c>
      <c r="BD35" s="352">
        <v>40</v>
      </c>
      <c r="BE35" s="1355" t="s">
        <v>664</v>
      </c>
      <c r="BF35" s="352">
        <v>1</v>
      </c>
      <c r="BH35" s="139" t="s">
        <v>782</v>
      </c>
      <c r="BI35" s="2" t="s">
        <v>182</v>
      </c>
      <c r="BJ35" s="130">
        <v>235</v>
      </c>
      <c r="BK35" s="105" t="s">
        <v>188</v>
      </c>
      <c r="BL35" s="132">
        <v>410</v>
      </c>
      <c r="BM35" s="153" t="s">
        <v>189</v>
      </c>
      <c r="BN35" s="153">
        <v>4</v>
      </c>
      <c r="BO35" s="154" t="s">
        <v>184</v>
      </c>
      <c r="BP35" s="105" t="s">
        <v>188</v>
      </c>
      <c r="BQ35" s="132">
        <v>1800</v>
      </c>
      <c r="BR35" s="153" t="s">
        <v>189</v>
      </c>
      <c r="BS35" s="153">
        <v>10</v>
      </c>
      <c r="BT35" s="153" t="s">
        <v>184</v>
      </c>
      <c r="BU35" s="154" t="s">
        <v>190</v>
      </c>
      <c r="BV35" s="105" t="s">
        <v>188</v>
      </c>
      <c r="BW35" s="132">
        <v>1360</v>
      </c>
      <c r="BX35" s="153" t="s">
        <v>189</v>
      </c>
      <c r="BY35" s="153">
        <v>10</v>
      </c>
      <c r="BZ35" s="153" t="s">
        <v>184</v>
      </c>
      <c r="CA35" s="154" t="s">
        <v>190</v>
      </c>
      <c r="CC35" s="152" t="s">
        <v>191</v>
      </c>
    </row>
    <row r="36" spans="1:81" ht="37.5">
      <c r="A36" s="1403"/>
      <c r="B36" s="129"/>
      <c r="C36" s="130"/>
      <c r="D36" s="122" t="s">
        <v>192</v>
      </c>
      <c r="F36" s="332">
        <v>31830</v>
      </c>
      <c r="G36" s="333"/>
      <c r="H36" s="105" t="s">
        <v>182</v>
      </c>
      <c r="I36" s="334">
        <v>300</v>
      </c>
      <c r="J36" s="335"/>
      <c r="K36" s="336" t="s">
        <v>661</v>
      </c>
      <c r="M36" s="1354"/>
      <c r="N36" s="106"/>
      <c r="O36" s="106"/>
      <c r="P36" s="131"/>
      <c r="R36" s="1354"/>
      <c r="S36" s="106"/>
      <c r="T36" s="106"/>
      <c r="U36" s="131"/>
      <c r="V36" s="105" t="s">
        <v>182</v>
      </c>
      <c r="W36" s="334">
        <v>8120</v>
      </c>
      <c r="X36" s="133">
        <v>80</v>
      </c>
      <c r="Y36" s="122" t="s">
        <v>183</v>
      </c>
      <c r="Z36" s="105" t="s">
        <v>182</v>
      </c>
      <c r="AA36" s="345">
        <v>56880</v>
      </c>
      <c r="AB36" s="134" t="s">
        <v>182</v>
      </c>
      <c r="AC36" s="134">
        <v>560</v>
      </c>
      <c r="AD36" s="135" t="s">
        <v>184</v>
      </c>
      <c r="AE36" s="105" t="s">
        <v>182</v>
      </c>
      <c r="AF36" s="345">
        <v>48760</v>
      </c>
      <c r="AG36" s="134" t="s">
        <v>182</v>
      </c>
      <c r="AH36" s="134">
        <v>480</v>
      </c>
      <c r="AI36" s="135" t="s">
        <v>184</v>
      </c>
      <c r="AK36" s="1357"/>
      <c r="AL36" s="110"/>
      <c r="AM36" s="110"/>
      <c r="AN36" s="108"/>
      <c r="AP36" s="348">
        <v>1800</v>
      </c>
      <c r="AQ36" s="106"/>
      <c r="AR36" s="106"/>
      <c r="AS36" s="131"/>
      <c r="AU36" s="1354"/>
      <c r="AV36" s="106"/>
      <c r="AW36" s="106"/>
      <c r="AX36" s="131"/>
      <c r="AZ36" s="353" t="s">
        <v>766</v>
      </c>
      <c r="BA36" s="1355"/>
      <c r="BB36" s="136" t="s">
        <v>767</v>
      </c>
      <c r="BC36" s="1355"/>
      <c r="BD36" s="353" t="s">
        <v>766</v>
      </c>
      <c r="BE36" s="1355"/>
      <c r="BF36" s="353" t="s">
        <v>663</v>
      </c>
      <c r="BH36" s="140">
        <v>2440</v>
      </c>
      <c r="BJ36" s="130" t="s">
        <v>785</v>
      </c>
      <c r="BL36" s="132"/>
      <c r="BM36" s="153"/>
      <c r="BN36" s="153"/>
      <c r="BO36" s="154"/>
      <c r="BQ36" s="132"/>
      <c r="BR36" s="153"/>
      <c r="BS36" s="153"/>
      <c r="BT36" s="153"/>
      <c r="BU36" s="154"/>
      <c r="BW36" s="132"/>
      <c r="BX36" s="153"/>
      <c r="BY36" s="153"/>
      <c r="BZ36" s="153"/>
      <c r="CA36" s="154"/>
      <c r="CC36" s="152">
        <v>0.99</v>
      </c>
    </row>
    <row r="37" spans="1:81" ht="75">
      <c r="A37" s="1403"/>
      <c r="B37" s="120" t="s">
        <v>222</v>
      </c>
      <c r="C37" s="121" t="s">
        <v>180</v>
      </c>
      <c r="D37" s="122" t="s">
        <v>181</v>
      </c>
      <c r="F37" s="327">
        <v>23400</v>
      </c>
      <c r="G37" s="328">
        <v>31520</v>
      </c>
      <c r="H37" s="105" t="s">
        <v>182</v>
      </c>
      <c r="I37" s="329">
        <v>210</v>
      </c>
      <c r="J37" s="330">
        <v>290</v>
      </c>
      <c r="K37" s="331" t="s">
        <v>661</v>
      </c>
      <c r="L37" s="105" t="s">
        <v>182</v>
      </c>
      <c r="M37" s="1353">
        <v>380</v>
      </c>
      <c r="N37" s="123" t="s">
        <v>182</v>
      </c>
      <c r="O37" s="123">
        <v>3</v>
      </c>
      <c r="P37" s="124" t="s">
        <v>184</v>
      </c>
      <c r="Q37" s="105" t="s">
        <v>182</v>
      </c>
      <c r="R37" s="1353">
        <v>1620</v>
      </c>
      <c r="S37" s="123" t="s">
        <v>182</v>
      </c>
      <c r="T37" s="123">
        <v>10</v>
      </c>
      <c r="U37" s="124" t="s">
        <v>184</v>
      </c>
      <c r="V37" s="105" t="s">
        <v>182</v>
      </c>
      <c r="W37" s="342">
        <v>8120</v>
      </c>
      <c r="X37" s="126">
        <v>80</v>
      </c>
      <c r="Y37" s="122" t="s">
        <v>183</v>
      </c>
      <c r="AA37" s="344"/>
      <c r="AF37" s="344" t="s">
        <v>185</v>
      </c>
      <c r="AJ37" s="105" t="s">
        <v>182</v>
      </c>
      <c r="AK37" s="1356">
        <v>280</v>
      </c>
      <c r="AL37" s="106" t="s">
        <v>182</v>
      </c>
      <c r="AM37" s="106">
        <v>2</v>
      </c>
      <c r="AN37" s="131" t="s">
        <v>184</v>
      </c>
      <c r="AP37" s="349" t="s">
        <v>223</v>
      </c>
      <c r="AQ37" s="106" t="s">
        <v>182</v>
      </c>
      <c r="AR37" s="106">
        <v>10</v>
      </c>
      <c r="AS37" s="131" t="s">
        <v>187</v>
      </c>
      <c r="AT37" s="105" t="s">
        <v>182</v>
      </c>
      <c r="AU37" s="1353">
        <v>500</v>
      </c>
      <c r="AV37" s="123" t="s">
        <v>182</v>
      </c>
      <c r="AW37" s="123">
        <v>5</v>
      </c>
      <c r="AX37" s="124" t="s">
        <v>184</v>
      </c>
      <c r="AY37" s="105" t="s">
        <v>182</v>
      </c>
      <c r="AZ37" s="352">
        <v>200</v>
      </c>
      <c r="BA37" s="1355" t="s">
        <v>664</v>
      </c>
      <c r="BB37" s="127">
        <v>2</v>
      </c>
      <c r="BC37" s="1355" t="s">
        <v>664</v>
      </c>
      <c r="BD37" s="352">
        <v>30</v>
      </c>
      <c r="BE37" s="1355" t="s">
        <v>664</v>
      </c>
      <c r="BF37" s="352">
        <v>1</v>
      </c>
      <c r="BH37" s="139" t="s">
        <v>783</v>
      </c>
      <c r="BI37" s="2" t="s">
        <v>182</v>
      </c>
      <c r="BJ37" s="121">
        <v>235</v>
      </c>
      <c r="BK37" s="105" t="s">
        <v>188</v>
      </c>
      <c r="BL37" s="125">
        <v>370</v>
      </c>
      <c r="BM37" s="150" t="s">
        <v>189</v>
      </c>
      <c r="BN37" s="150">
        <v>4</v>
      </c>
      <c r="BO37" s="151" t="s">
        <v>184</v>
      </c>
      <c r="BP37" s="105" t="s">
        <v>188</v>
      </c>
      <c r="BQ37" s="125">
        <v>1620</v>
      </c>
      <c r="BR37" s="150" t="s">
        <v>189</v>
      </c>
      <c r="BS37" s="150">
        <v>10</v>
      </c>
      <c r="BT37" s="150" t="s">
        <v>184</v>
      </c>
      <c r="BU37" s="151" t="s">
        <v>190</v>
      </c>
      <c r="BV37" s="105" t="s">
        <v>188</v>
      </c>
      <c r="BW37" s="125">
        <v>1220</v>
      </c>
      <c r="BX37" s="150" t="s">
        <v>189</v>
      </c>
      <c r="BY37" s="150">
        <v>10</v>
      </c>
      <c r="BZ37" s="150" t="s">
        <v>184</v>
      </c>
      <c r="CA37" s="151" t="s">
        <v>190</v>
      </c>
      <c r="CC37" s="152" t="s">
        <v>191</v>
      </c>
    </row>
    <row r="38" spans="1:81" ht="37.5">
      <c r="A38" s="1403"/>
      <c r="B38" s="103"/>
      <c r="C38" s="104"/>
      <c r="D38" s="122" t="s">
        <v>192</v>
      </c>
      <c r="F38" s="332">
        <v>31520</v>
      </c>
      <c r="G38" s="333"/>
      <c r="H38" s="105" t="s">
        <v>182</v>
      </c>
      <c r="I38" s="334">
        <v>290</v>
      </c>
      <c r="J38" s="335"/>
      <c r="K38" s="336" t="s">
        <v>661</v>
      </c>
      <c r="M38" s="1354"/>
      <c r="N38" s="310"/>
      <c r="O38" s="310"/>
      <c r="P38" s="311"/>
      <c r="R38" s="1354"/>
      <c r="S38" s="310"/>
      <c r="T38" s="310"/>
      <c r="U38" s="311"/>
      <c r="V38" s="105" t="s">
        <v>182</v>
      </c>
      <c r="W38" s="334">
        <v>8120</v>
      </c>
      <c r="X38" s="133">
        <v>80</v>
      </c>
      <c r="Y38" s="122" t="s">
        <v>183</v>
      </c>
      <c r="Z38" s="105" t="s">
        <v>182</v>
      </c>
      <c r="AA38" s="345">
        <v>56880</v>
      </c>
      <c r="AB38" s="134" t="s">
        <v>182</v>
      </c>
      <c r="AC38" s="134">
        <v>560</v>
      </c>
      <c r="AD38" s="135" t="s">
        <v>184</v>
      </c>
      <c r="AE38" s="105" t="s">
        <v>182</v>
      </c>
      <c r="AF38" s="345">
        <v>48760</v>
      </c>
      <c r="AG38" s="134" t="s">
        <v>182</v>
      </c>
      <c r="AH38" s="134">
        <v>480</v>
      </c>
      <c r="AI38" s="135" t="s">
        <v>184</v>
      </c>
      <c r="AK38" s="1357"/>
      <c r="AL38" s="106"/>
      <c r="AM38" s="106"/>
      <c r="AN38" s="131"/>
      <c r="AP38" s="348">
        <v>1620</v>
      </c>
      <c r="AQ38" s="106"/>
      <c r="AR38" s="106"/>
      <c r="AS38" s="131"/>
      <c r="AU38" s="1354"/>
      <c r="AV38" s="110"/>
      <c r="AW38" s="110"/>
      <c r="AX38" s="108"/>
      <c r="AZ38" s="353" t="s">
        <v>766</v>
      </c>
      <c r="BA38" s="1355"/>
      <c r="BB38" s="136" t="s">
        <v>767</v>
      </c>
      <c r="BC38" s="1355"/>
      <c r="BD38" s="353" t="s">
        <v>766</v>
      </c>
      <c r="BE38" s="1355"/>
      <c r="BF38" s="353" t="s">
        <v>663</v>
      </c>
      <c r="BH38" s="140">
        <v>2360</v>
      </c>
      <c r="BJ38" s="104" t="s">
        <v>785</v>
      </c>
      <c r="BL38" s="109"/>
      <c r="BM38" s="146"/>
      <c r="BN38" s="146"/>
      <c r="BO38" s="147"/>
      <c r="BQ38" s="109"/>
      <c r="BR38" s="146"/>
      <c r="BS38" s="146"/>
      <c r="BT38" s="146"/>
      <c r="BU38" s="147"/>
      <c r="BW38" s="109"/>
      <c r="BX38" s="146"/>
      <c r="BY38" s="146"/>
      <c r="BZ38" s="146"/>
      <c r="CA38" s="147"/>
      <c r="CC38" s="152">
        <v>0.99</v>
      </c>
    </row>
    <row r="39" spans="1:81" ht="37.5">
      <c r="A39" s="1403"/>
      <c r="B39" s="120" t="s">
        <v>224</v>
      </c>
      <c r="C39" s="121" t="s">
        <v>180</v>
      </c>
      <c r="D39" s="122" t="s">
        <v>181</v>
      </c>
      <c r="F39" s="327">
        <v>23150</v>
      </c>
      <c r="G39" s="328">
        <v>31270</v>
      </c>
      <c r="H39" s="105" t="s">
        <v>182</v>
      </c>
      <c r="I39" s="329">
        <v>210</v>
      </c>
      <c r="J39" s="330">
        <v>290</v>
      </c>
      <c r="K39" s="331" t="s">
        <v>661</v>
      </c>
      <c r="L39" s="105" t="s">
        <v>182</v>
      </c>
      <c r="M39" s="1353">
        <v>340</v>
      </c>
      <c r="N39" s="106" t="s">
        <v>182</v>
      </c>
      <c r="O39" s="106">
        <v>3</v>
      </c>
      <c r="P39" s="131" t="s">
        <v>184</v>
      </c>
      <c r="R39" s="1358"/>
      <c r="S39" s="106"/>
      <c r="T39" s="106"/>
      <c r="U39" s="131"/>
      <c r="V39" s="105" t="s">
        <v>182</v>
      </c>
      <c r="W39" s="342">
        <v>8120</v>
      </c>
      <c r="X39" s="126">
        <v>80</v>
      </c>
      <c r="Y39" s="122" t="s">
        <v>183</v>
      </c>
      <c r="AA39" s="344"/>
      <c r="AF39" s="344" t="s">
        <v>185</v>
      </c>
      <c r="AJ39" s="105" t="s">
        <v>182</v>
      </c>
      <c r="AK39" s="1356">
        <v>260</v>
      </c>
      <c r="AL39" s="123" t="s">
        <v>182</v>
      </c>
      <c r="AM39" s="123">
        <v>2</v>
      </c>
      <c r="AN39" s="124" t="s">
        <v>184</v>
      </c>
      <c r="AP39" s="349" t="s">
        <v>225</v>
      </c>
      <c r="AQ39" s="106" t="s">
        <v>182</v>
      </c>
      <c r="AR39" s="106">
        <v>10</v>
      </c>
      <c r="AS39" s="131" t="s">
        <v>187</v>
      </c>
      <c r="AT39" s="105" t="s">
        <v>182</v>
      </c>
      <c r="AU39" s="1353">
        <v>500</v>
      </c>
      <c r="AV39" s="106" t="s">
        <v>182</v>
      </c>
      <c r="AW39" s="106">
        <v>5</v>
      </c>
      <c r="AX39" s="131" t="s">
        <v>184</v>
      </c>
      <c r="AY39" s="105" t="s">
        <v>182</v>
      </c>
      <c r="AZ39" s="352">
        <v>180</v>
      </c>
      <c r="BA39" s="1355" t="s">
        <v>664</v>
      </c>
      <c r="BB39" s="127">
        <v>1</v>
      </c>
      <c r="BC39" s="1355" t="s">
        <v>664</v>
      </c>
      <c r="BD39" s="352">
        <v>30</v>
      </c>
      <c r="BE39" s="1355" t="s">
        <v>664</v>
      </c>
      <c r="BF39" s="352">
        <v>1</v>
      </c>
      <c r="BH39" s="139" t="s">
        <v>784</v>
      </c>
      <c r="BI39" s="2" t="s">
        <v>182</v>
      </c>
      <c r="BJ39" s="130">
        <v>235</v>
      </c>
      <c r="BK39" s="105" t="s">
        <v>188</v>
      </c>
      <c r="BL39" s="132">
        <v>340</v>
      </c>
      <c r="BM39" s="153" t="s">
        <v>189</v>
      </c>
      <c r="BN39" s="153">
        <v>3</v>
      </c>
      <c r="BO39" s="154" t="s">
        <v>184</v>
      </c>
      <c r="BP39" s="105" t="s">
        <v>188</v>
      </c>
      <c r="BQ39" s="132">
        <v>1470</v>
      </c>
      <c r="BR39" s="153" t="s">
        <v>189</v>
      </c>
      <c r="BS39" s="153">
        <v>10</v>
      </c>
      <c r="BT39" s="153" t="s">
        <v>184</v>
      </c>
      <c r="BU39" s="154" t="s">
        <v>190</v>
      </c>
      <c r="BV39" s="105" t="s">
        <v>188</v>
      </c>
      <c r="BW39" s="132">
        <v>1110</v>
      </c>
      <c r="BX39" s="153" t="s">
        <v>189</v>
      </c>
      <c r="BY39" s="153">
        <v>10</v>
      </c>
      <c r="BZ39" s="153" t="s">
        <v>184</v>
      </c>
      <c r="CA39" s="154" t="s">
        <v>190</v>
      </c>
      <c r="CC39" s="152" t="s">
        <v>191</v>
      </c>
    </row>
    <row r="40" spans="1:81" ht="37.5">
      <c r="A40" s="1403"/>
      <c r="B40" s="103"/>
      <c r="C40" s="104"/>
      <c r="D40" s="122" t="s">
        <v>192</v>
      </c>
      <c r="F40" s="332">
        <v>31270</v>
      </c>
      <c r="G40" s="333"/>
      <c r="H40" s="105" t="s">
        <v>182</v>
      </c>
      <c r="I40" s="334">
        <v>290</v>
      </c>
      <c r="J40" s="335"/>
      <c r="K40" s="336" t="s">
        <v>661</v>
      </c>
      <c r="M40" s="1354"/>
      <c r="N40" s="106"/>
      <c r="O40" s="106"/>
      <c r="P40" s="131"/>
      <c r="R40" s="1358"/>
      <c r="S40" s="106"/>
      <c r="T40" s="106"/>
      <c r="U40" s="131"/>
      <c r="V40" s="105" t="s">
        <v>182</v>
      </c>
      <c r="W40" s="334">
        <v>8120</v>
      </c>
      <c r="X40" s="133">
        <v>80</v>
      </c>
      <c r="Y40" s="122" t="s">
        <v>183</v>
      </c>
      <c r="Z40" s="105" t="s">
        <v>182</v>
      </c>
      <c r="AA40" s="345">
        <v>56880</v>
      </c>
      <c r="AB40" s="134" t="s">
        <v>182</v>
      </c>
      <c r="AC40" s="134">
        <v>560</v>
      </c>
      <c r="AD40" s="135" t="s">
        <v>184</v>
      </c>
      <c r="AE40" s="105" t="s">
        <v>182</v>
      </c>
      <c r="AF40" s="345">
        <v>48760</v>
      </c>
      <c r="AG40" s="134" t="s">
        <v>182</v>
      </c>
      <c r="AH40" s="134">
        <v>480</v>
      </c>
      <c r="AI40" s="135" t="s">
        <v>184</v>
      </c>
      <c r="AK40" s="1357"/>
      <c r="AL40" s="110"/>
      <c r="AM40" s="110"/>
      <c r="AN40" s="108"/>
      <c r="AP40" s="350">
        <v>1470</v>
      </c>
      <c r="AQ40" s="110"/>
      <c r="AR40" s="110"/>
      <c r="AS40" s="108"/>
      <c r="AU40" s="1354"/>
      <c r="AV40" s="106"/>
      <c r="AW40" s="106"/>
      <c r="AX40" s="131"/>
      <c r="AZ40" s="353" t="s">
        <v>766</v>
      </c>
      <c r="BA40" s="1355"/>
      <c r="BB40" s="136" t="s">
        <v>767</v>
      </c>
      <c r="BC40" s="1355"/>
      <c r="BD40" s="353" t="s">
        <v>766</v>
      </c>
      <c r="BE40" s="1355"/>
      <c r="BF40" s="353" t="s">
        <v>663</v>
      </c>
      <c r="BH40" s="141">
        <v>2150</v>
      </c>
      <c r="BJ40" s="130" t="s">
        <v>785</v>
      </c>
      <c r="BL40" s="132"/>
      <c r="BM40" s="153"/>
      <c r="BN40" s="153"/>
      <c r="BO40" s="154"/>
      <c r="BQ40" s="132"/>
      <c r="BR40" s="153"/>
      <c r="BS40" s="153"/>
      <c r="BT40" s="153"/>
      <c r="BU40" s="154"/>
      <c r="BW40" s="132"/>
      <c r="BX40" s="153"/>
      <c r="BY40" s="153"/>
      <c r="BZ40" s="153"/>
      <c r="CA40" s="154"/>
      <c r="CC40" s="152">
        <v>0.99</v>
      </c>
    </row>
    <row r="41" spans="1:81" ht="37.5">
      <c r="A41" s="1403" t="s">
        <v>226</v>
      </c>
      <c r="B41" s="129" t="s">
        <v>179</v>
      </c>
      <c r="C41" s="130" t="s">
        <v>180</v>
      </c>
      <c r="D41" s="122" t="s">
        <v>181</v>
      </c>
      <c r="F41" s="327">
        <v>85590</v>
      </c>
      <c r="G41" s="328">
        <v>93460</v>
      </c>
      <c r="H41" s="105" t="s">
        <v>182</v>
      </c>
      <c r="I41" s="329">
        <v>830</v>
      </c>
      <c r="J41" s="330">
        <v>910</v>
      </c>
      <c r="K41" s="331" t="s">
        <v>661</v>
      </c>
      <c r="L41" s="105" t="s">
        <v>182</v>
      </c>
      <c r="M41" s="1353">
        <v>7380</v>
      </c>
      <c r="N41" s="123" t="s">
        <v>182</v>
      </c>
      <c r="O41" s="123">
        <v>70</v>
      </c>
      <c r="P41" s="124" t="s">
        <v>184</v>
      </c>
      <c r="Q41" s="105" t="s">
        <v>182</v>
      </c>
      <c r="R41" s="1353">
        <v>31510</v>
      </c>
      <c r="S41" s="123" t="s">
        <v>182</v>
      </c>
      <c r="T41" s="123">
        <v>310</v>
      </c>
      <c r="U41" s="124" t="s">
        <v>184</v>
      </c>
      <c r="V41" s="105" t="s">
        <v>182</v>
      </c>
      <c r="W41" s="342">
        <v>7870</v>
      </c>
      <c r="X41" s="126">
        <v>70</v>
      </c>
      <c r="Y41" s="122" t="s">
        <v>183</v>
      </c>
      <c r="AA41" s="344"/>
      <c r="AF41" s="344" t="s">
        <v>185</v>
      </c>
      <c r="AJ41" s="105" t="s">
        <v>182</v>
      </c>
      <c r="AK41" s="1356">
        <v>5780</v>
      </c>
      <c r="AL41" s="106" t="s">
        <v>182</v>
      </c>
      <c r="AM41" s="106">
        <v>50</v>
      </c>
      <c r="AN41" s="131" t="s">
        <v>184</v>
      </c>
      <c r="AO41" s="105" t="s">
        <v>182</v>
      </c>
      <c r="AP41" s="347" t="s">
        <v>186</v>
      </c>
      <c r="AQ41" s="123" t="s">
        <v>182</v>
      </c>
      <c r="AR41" s="123">
        <v>310</v>
      </c>
      <c r="AS41" s="124" t="s">
        <v>187</v>
      </c>
      <c r="AT41" s="105" t="s">
        <v>182</v>
      </c>
      <c r="AU41" s="1353">
        <v>3640</v>
      </c>
      <c r="AV41" s="123" t="s">
        <v>182</v>
      </c>
      <c r="AW41" s="123">
        <v>30</v>
      </c>
      <c r="AX41" s="124" t="s">
        <v>184</v>
      </c>
      <c r="AY41" s="105" t="s">
        <v>182</v>
      </c>
      <c r="AZ41" s="352">
        <v>2730</v>
      </c>
      <c r="BA41" s="1355" t="s">
        <v>664</v>
      </c>
      <c r="BB41" s="127">
        <v>20</v>
      </c>
      <c r="BC41" s="1355" t="s">
        <v>664</v>
      </c>
      <c r="BD41" s="352">
        <v>480</v>
      </c>
      <c r="BE41" s="1355" t="s">
        <v>664</v>
      </c>
      <c r="BF41" s="352">
        <v>4</v>
      </c>
      <c r="BG41" s="105" t="s">
        <v>182</v>
      </c>
      <c r="BH41" s="142" t="s">
        <v>768</v>
      </c>
      <c r="BI41" s="2" t="s">
        <v>182</v>
      </c>
      <c r="BJ41" s="121">
        <v>235</v>
      </c>
      <c r="BK41" s="105" t="s">
        <v>188</v>
      </c>
      <c r="BL41" s="125">
        <v>7500</v>
      </c>
      <c r="BM41" s="150" t="s">
        <v>189</v>
      </c>
      <c r="BN41" s="150">
        <v>70</v>
      </c>
      <c r="BO41" s="151" t="s">
        <v>184</v>
      </c>
      <c r="BP41" s="105" t="s">
        <v>188</v>
      </c>
      <c r="BQ41" s="125">
        <v>31510</v>
      </c>
      <c r="BR41" s="150" t="s">
        <v>189</v>
      </c>
      <c r="BS41" s="150">
        <v>310</v>
      </c>
      <c r="BT41" s="150" t="s">
        <v>184</v>
      </c>
      <c r="BU41" s="151" t="s">
        <v>190</v>
      </c>
      <c r="BV41" s="105" t="s">
        <v>188</v>
      </c>
      <c r="BW41" s="125">
        <v>23530</v>
      </c>
      <c r="BX41" s="150" t="s">
        <v>189</v>
      </c>
      <c r="BY41" s="150">
        <v>230</v>
      </c>
      <c r="BZ41" s="150" t="s">
        <v>184</v>
      </c>
      <c r="CA41" s="151" t="s">
        <v>190</v>
      </c>
      <c r="CC41" s="152" t="s">
        <v>191</v>
      </c>
    </row>
    <row r="42" spans="1:81" ht="37.5">
      <c r="A42" s="1403"/>
      <c r="B42" s="129"/>
      <c r="C42" s="130"/>
      <c r="D42" s="122" t="s">
        <v>192</v>
      </c>
      <c r="F42" s="332">
        <v>93460</v>
      </c>
      <c r="G42" s="333"/>
      <c r="H42" s="105" t="s">
        <v>182</v>
      </c>
      <c r="I42" s="334">
        <v>910</v>
      </c>
      <c r="J42" s="335"/>
      <c r="K42" s="336" t="s">
        <v>661</v>
      </c>
      <c r="M42" s="1354"/>
      <c r="N42" s="310"/>
      <c r="O42" s="310"/>
      <c r="P42" s="311"/>
      <c r="R42" s="1354"/>
      <c r="S42" s="310"/>
      <c r="T42" s="310"/>
      <c r="U42" s="311"/>
      <c r="V42" s="105" t="s">
        <v>182</v>
      </c>
      <c r="W42" s="334">
        <v>7870</v>
      </c>
      <c r="X42" s="133">
        <v>70</v>
      </c>
      <c r="Y42" s="122" t="s">
        <v>183</v>
      </c>
      <c r="Z42" s="105" t="s">
        <v>182</v>
      </c>
      <c r="AA42" s="345">
        <v>55150</v>
      </c>
      <c r="AB42" s="134" t="s">
        <v>182</v>
      </c>
      <c r="AC42" s="134">
        <v>550</v>
      </c>
      <c r="AD42" s="135" t="s">
        <v>184</v>
      </c>
      <c r="AE42" s="105" t="s">
        <v>182</v>
      </c>
      <c r="AF42" s="345">
        <v>47280</v>
      </c>
      <c r="AG42" s="134" t="s">
        <v>182</v>
      </c>
      <c r="AH42" s="134">
        <v>470</v>
      </c>
      <c r="AI42" s="135" t="s">
        <v>184</v>
      </c>
      <c r="AK42" s="1357"/>
      <c r="AL42" s="106"/>
      <c r="AM42" s="106"/>
      <c r="AN42" s="131"/>
      <c r="AP42" s="348">
        <v>31510</v>
      </c>
      <c r="AQ42" s="106"/>
      <c r="AR42" s="106"/>
      <c r="AS42" s="131"/>
      <c r="AU42" s="1354"/>
      <c r="AV42" s="110"/>
      <c r="AW42" s="110"/>
      <c r="AX42" s="108"/>
      <c r="AZ42" s="353" t="s">
        <v>766</v>
      </c>
      <c r="BA42" s="1355"/>
      <c r="BB42" s="136" t="s">
        <v>767</v>
      </c>
      <c r="BC42" s="1355"/>
      <c r="BD42" s="353" t="s">
        <v>766</v>
      </c>
      <c r="BE42" s="1355"/>
      <c r="BF42" s="353" t="s">
        <v>663</v>
      </c>
      <c r="BH42" s="140">
        <v>27330</v>
      </c>
      <c r="BJ42" s="104" t="s">
        <v>785</v>
      </c>
      <c r="BL42" s="109"/>
      <c r="BM42" s="146"/>
      <c r="BN42" s="146"/>
      <c r="BO42" s="147"/>
      <c r="BQ42" s="109"/>
      <c r="BR42" s="146"/>
      <c r="BS42" s="146"/>
      <c r="BT42" s="146"/>
      <c r="BU42" s="147"/>
      <c r="BW42" s="109"/>
      <c r="BX42" s="146"/>
      <c r="BY42" s="146"/>
      <c r="BZ42" s="146"/>
      <c r="CA42" s="147"/>
      <c r="CC42" s="152">
        <v>0.63</v>
      </c>
    </row>
    <row r="43" spans="1:81" ht="75">
      <c r="A43" s="1403"/>
      <c r="B43" s="120" t="s">
        <v>193</v>
      </c>
      <c r="C43" s="121" t="s">
        <v>180</v>
      </c>
      <c r="D43" s="122" t="s">
        <v>181</v>
      </c>
      <c r="F43" s="327">
        <v>53080</v>
      </c>
      <c r="G43" s="328">
        <v>60950</v>
      </c>
      <c r="H43" s="105" t="s">
        <v>182</v>
      </c>
      <c r="I43" s="329">
        <v>510</v>
      </c>
      <c r="J43" s="330">
        <v>590</v>
      </c>
      <c r="K43" s="331" t="s">
        <v>661</v>
      </c>
      <c r="L43" s="105" t="s">
        <v>182</v>
      </c>
      <c r="M43" s="1353">
        <v>4430</v>
      </c>
      <c r="N43" s="106" t="s">
        <v>182</v>
      </c>
      <c r="O43" s="106">
        <v>40</v>
      </c>
      <c r="P43" s="131" t="s">
        <v>184</v>
      </c>
      <c r="Q43" s="105" t="s">
        <v>182</v>
      </c>
      <c r="R43" s="1353">
        <v>18910</v>
      </c>
      <c r="S43" s="106" t="s">
        <v>182</v>
      </c>
      <c r="T43" s="106">
        <v>180</v>
      </c>
      <c r="U43" s="131" t="s">
        <v>184</v>
      </c>
      <c r="V43" s="105" t="s">
        <v>182</v>
      </c>
      <c r="W43" s="342">
        <v>7870</v>
      </c>
      <c r="X43" s="126">
        <v>70</v>
      </c>
      <c r="Y43" s="122" t="s">
        <v>183</v>
      </c>
      <c r="AA43" s="344"/>
      <c r="AF43" s="344" t="s">
        <v>185</v>
      </c>
      <c r="AJ43" s="105" t="s">
        <v>182</v>
      </c>
      <c r="AK43" s="1356">
        <v>3470</v>
      </c>
      <c r="AL43" s="123" t="s">
        <v>182</v>
      </c>
      <c r="AM43" s="123">
        <v>30</v>
      </c>
      <c r="AN43" s="124" t="s">
        <v>184</v>
      </c>
      <c r="AP43" s="349" t="s">
        <v>194</v>
      </c>
      <c r="AQ43" s="106" t="s">
        <v>182</v>
      </c>
      <c r="AR43" s="106">
        <v>180</v>
      </c>
      <c r="AS43" s="131" t="s">
        <v>187</v>
      </c>
      <c r="AT43" s="105" t="s">
        <v>182</v>
      </c>
      <c r="AU43" s="1353">
        <v>2490</v>
      </c>
      <c r="AV43" s="106" t="s">
        <v>182</v>
      </c>
      <c r="AW43" s="106">
        <v>20</v>
      </c>
      <c r="AX43" s="131" t="s">
        <v>184</v>
      </c>
      <c r="AY43" s="105" t="s">
        <v>182</v>
      </c>
      <c r="AZ43" s="352">
        <v>1630</v>
      </c>
      <c r="BA43" s="1355" t="s">
        <v>664</v>
      </c>
      <c r="BB43" s="127">
        <v>10</v>
      </c>
      <c r="BC43" s="1355" t="s">
        <v>664</v>
      </c>
      <c r="BD43" s="352">
        <v>290</v>
      </c>
      <c r="BE43" s="1355" t="s">
        <v>664</v>
      </c>
      <c r="BF43" s="352">
        <v>2</v>
      </c>
      <c r="BH43" s="139" t="s">
        <v>769</v>
      </c>
      <c r="BI43" s="2" t="s">
        <v>182</v>
      </c>
      <c r="BJ43" s="130">
        <v>235</v>
      </c>
      <c r="BK43" s="105" t="s">
        <v>188</v>
      </c>
      <c r="BL43" s="132">
        <v>4500</v>
      </c>
      <c r="BM43" s="153" t="s">
        <v>189</v>
      </c>
      <c r="BN43" s="153">
        <v>40</v>
      </c>
      <c r="BO43" s="154" t="s">
        <v>184</v>
      </c>
      <c r="BP43" s="105" t="s">
        <v>188</v>
      </c>
      <c r="BQ43" s="132">
        <v>18910</v>
      </c>
      <c r="BR43" s="153" t="s">
        <v>189</v>
      </c>
      <c r="BS43" s="153">
        <v>180</v>
      </c>
      <c r="BT43" s="153" t="s">
        <v>184</v>
      </c>
      <c r="BU43" s="154" t="s">
        <v>190</v>
      </c>
      <c r="BV43" s="105" t="s">
        <v>188</v>
      </c>
      <c r="BW43" s="132">
        <v>14120</v>
      </c>
      <c r="BX43" s="153" t="s">
        <v>189</v>
      </c>
      <c r="BY43" s="153">
        <v>140</v>
      </c>
      <c r="BZ43" s="153" t="s">
        <v>184</v>
      </c>
      <c r="CA43" s="154" t="s">
        <v>190</v>
      </c>
      <c r="CC43" s="152" t="s">
        <v>191</v>
      </c>
    </row>
    <row r="44" spans="1:81" ht="37.5">
      <c r="A44" s="1403"/>
      <c r="B44" s="129"/>
      <c r="C44" s="130"/>
      <c r="D44" s="122" t="s">
        <v>192</v>
      </c>
      <c r="F44" s="332">
        <v>60950</v>
      </c>
      <c r="G44" s="333"/>
      <c r="H44" s="105" t="s">
        <v>182</v>
      </c>
      <c r="I44" s="334">
        <v>590</v>
      </c>
      <c r="J44" s="335"/>
      <c r="K44" s="336" t="s">
        <v>661</v>
      </c>
      <c r="M44" s="1354"/>
      <c r="N44" s="106"/>
      <c r="O44" s="106"/>
      <c r="P44" s="131"/>
      <c r="R44" s="1354"/>
      <c r="S44" s="106"/>
      <c r="T44" s="106"/>
      <c r="U44" s="131"/>
      <c r="V44" s="105" t="s">
        <v>182</v>
      </c>
      <c r="W44" s="334">
        <v>7870</v>
      </c>
      <c r="X44" s="133">
        <v>70</v>
      </c>
      <c r="Y44" s="122" t="s">
        <v>183</v>
      </c>
      <c r="Z44" s="105" t="s">
        <v>182</v>
      </c>
      <c r="AA44" s="345">
        <v>55150</v>
      </c>
      <c r="AB44" s="134" t="s">
        <v>182</v>
      </c>
      <c r="AC44" s="134">
        <v>550</v>
      </c>
      <c r="AD44" s="135" t="s">
        <v>184</v>
      </c>
      <c r="AE44" s="105" t="s">
        <v>182</v>
      </c>
      <c r="AF44" s="345">
        <v>47280</v>
      </c>
      <c r="AG44" s="134" t="s">
        <v>182</v>
      </c>
      <c r="AH44" s="134">
        <v>470</v>
      </c>
      <c r="AI44" s="135" t="s">
        <v>184</v>
      </c>
      <c r="AK44" s="1357"/>
      <c r="AL44" s="110"/>
      <c r="AM44" s="110"/>
      <c r="AN44" s="108"/>
      <c r="AP44" s="348">
        <v>18910</v>
      </c>
      <c r="AQ44" s="106"/>
      <c r="AR44" s="106"/>
      <c r="AS44" s="131"/>
      <c r="AU44" s="1354"/>
      <c r="AV44" s="106"/>
      <c r="AW44" s="106"/>
      <c r="AX44" s="131"/>
      <c r="AZ44" s="353" t="s">
        <v>766</v>
      </c>
      <c r="BA44" s="1355"/>
      <c r="BB44" s="136" t="s">
        <v>767</v>
      </c>
      <c r="BC44" s="1355"/>
      <c r="BD44" s="353" t="s">
        <v>766</v>
      </c>
      <c r="BE44" s="1355"/>
      <c r="BF44" s="353" t="s">
        <v>663</v>
      </c>
      <c r="BH44" s="140">
        <v>16800</v>
      </c>
      <c r="BJ44" s="130" t="s">
        <v>785</v>
      </c>
      <c r="BL44" s="132"/>
      <c r="BM44" s="153"/>
      <c r="BN44" s="153"/>
      <c r="BO44" s="154"/>
      <c r="BQ44" s="132"/>
      <c r="BR44" s="153"/>
      <c r="BS44" s="153"/>
      <c r="BT44" s="153"/>
      <c r="BU44" s="154"/>
      <c r="BW44" s="132"/>
      <c r="BX44" s="153"/>
      <c r="BY44" s="153"/>
      <c r="BZ44" s="153"/>
      <c r="CA44" s="154"/>
      <c r="CC44" s="152">
        <v>0.78</v>
      </c>
    </row>
    <row r="45" spans="1:81" ht="75">
      <c r="A45" s="1403"/>
      <c r="B45" s="120" t="s">
        <v>195</v>
      </c>
      <c r="C45" s="121" t="s">
        <v>180</v>
      </c>
      <c r="D45" s="122" t="s">
        <v>181</v>
      </c>
      <c r="F45" s="327">
        <v>41440</v>
      </c>
      <c r="G45" s="328">
        <v>49310</v>
      </c>
      <c r="H45" s="105" t="s">
        <v>182</v>
      </c>
      <c r="I45" s="329">
        <v>390</v>
      </c>
      <c r="J45" s="330">
        <v>470</v>
      </c>
      <c r="K45" s="331" t="s">
        <v>661</v>
      </c>
      <c r="L45" s="105" t="s">
        <v>182</v>
      </c>
      <c r="M45" s="1353">
        <v>3160</v>
      </c>
      <c r="N45" s="123" t="s">
        <v>182</v>
      </c>
      <c r="O45" s="123">
        <v>30</v>
      </c>
      <c r="P45" s="124" t="s">
        <v>184</v>
      </c>
      <c r="Q45" s="105" t="s">
        <v>182</v>
      </c>
      <c r="R45" s="1353">
        <v>13500</v>
      </c>
      <c r="S45" s="123" t="s">
        <v>182</v>
      </c>
      <c r="T45" s="123">
        <v>130</v>
      </c>
      <c r="U45" s="124" t="s">
        <v>184</v>
      </c>
      <c r="V45" s="105" t="s">
        <v>182</v>
      </c>
      <c r="W45" s="342">
        <v>7870</v>
      </c>
      <c r="X45" s="126">
        <v>70</v>
      </c>
      <c r="Y45" s="122" t="s">
        <v>183</v>
      </c>
      <c r="AA45" s="344"/>
      <c r="AF45" s="344" t="s">
        <v>185</v>
      </c>
      <c r="AJ45" s="105" t="s">
        <v>182</v>
      </c>
      <c r="AK45" s="1356">
        <v>2480</v>
      </c>
      <c r="AL45" s="106" t="s">
        <v>182</v>
      </c>
      <c r="AM45" s="106">
        <v>20</v>
      </c>
      <c r="AN45" s="131" t="s">
        <v>184</v>
      </c>
      <c r="AP45" s="349" t="s">
        <v>196</v>
      </c>
      <c r="AQ45" s="106" t="s">
        <v>182</v>
      </c>
      <c r="AR45" s="106">
        <v>130</v>
      </c>
      <c r="AS45" s="131" t="s">
        <v>187</v>
      </c>
      <c r="AT45" s="105" t="s">
        <v>182</v>
      </c>
      <c r="AU45" s="1353">
        <v>2000</v>
      </c>
      <c r="AV45" s="123" t="s">
        <v>182</v>
      </c>
      <c r="AW45" s="123">
        <v>20</v>
      </c>
      <c r="AX45" s="124" t="s">
        <v>184</v>
      </c>
      <c r="AY45" s="105" t="s">
        <v>182</v>
      </c>
      <c r="AZ45" s="352">
        <v>1170</v>
      </c>
      <c r="BA45" s="1355" t="s">
        <v>664</v>
      </c>
      <c r="BB45" s="127">
        <v>10</v>
      </c>
      <c r="BC45" s="1355" t="s">
        <v>664</v>
      </c>
      <c r="BD45" s="352">
        <v>200</v>
      </c>
      <c r="BE45" s="1355" t="s">
        <v>664</v>
      </c>
      <c r="BF45" s="352">
        <v>2</v>
      </c>
      <c r="BH45" s="139" t="s">
        <v>770</v>
      </c>
      <c r="BI45" s="2" t="s">
        <v>182</v>
      </c>
      <c r="BJ45" s="121">
        <v>235</v>
      </c>
      <c r="BK45" s="105" t="s">
        <v>188</v>
      </c>
      <c r="BL45" s="125">
        <v>3210</v>
      </c>
      <c r="BM45" s="150" t="s">
        <v>189</v>
      </c>
      <c r="BN45" s="150">
        <v>30</v>
      </c>
      <c r="BO45" s="151" t="s">
        <v>184</v>
      </c>
      <c r="BP45" s="105" t="s">
        <v>188</v>
      </c>
      <c r="BQ45" s="125">
        <v>13500</v>
      </c>
      <c r="BR45" s="150" t="s">
        <v>189</v>
      </c>
      <c r="BS45" s="150">
        <v>130</v>
      </c>
      <c r="BT45" s="150" t="s">
        <v>184</v>
      </c>
      <c r="BU45" s="151" t="s">
        <v>190</v>
      </c>
      <c r="BV45" s="105" t="s">
        <v>188</v>
      </c>
      <c r="BW45" s="125">
        <v>10080</v>
      </c>
      <c r="BX45" s="150" t="s">
        <v>189</v>
      </c>
      <c r="BY45" s="150">
        <v>100</v>
      </c>
      <c r="BZ45" s="150" t="s">
        <v>184</v>
      </c>
      <c r="CA45" s="151" t="s">
        <v>190</v>
      </c>
      <c r="CC45" s="152" t="s">
        <v>191</v>
      </c>
    </row>
    <row r="46" spans="1:81" ht="37.5">
      <c r="A46" s="1403"/>
      <c r="B46" s="103"/>
      <c r="C46" s="104"/>
      <c r="D46" s="122" t="s">
        <v>192</v>
      </c>
      <c r="F46" s="332">
        <v>49310</v>
      </c>
      <c r="G46" s="333"/>
      <c r="H46" s="105" t="s">
        <v>182</v>
      </c>
      <c r="I46" s="334">
        <v>470</v>
      </c>
      <c r="J46" s="335"/>
      <c r="K46" s="336" t="s">
        <v>661</v>
      </c>
      <c r="M46" s="1354"/>
      <c r="N46" s="310"/>
      <c r="O46" s="310"/>
      <c r="P46" s="311"/>
      <c r="R46" s="1354"/>
      <c r="S46" s="310"/>
      <c r="T46" s="310"/>
      <c r="U46" s="311"/>
      <c r="V46" s="105" t="s">
        <v>182</v>
      </c>
      <c r="W46" s="334">
        <v>7870</v>
      </c>
      <c r="X46" s="133">
        <v>70</v>
      </c>
      <c r="Y46" s="122" t="s">
        <v>183</v>
      </c>
      <c r="Z46" s="105" t="s">
        <v>182</v>
      </c>
      <c r="AA46" s="345">
        <v>55150</v>
      </c>
      <c r="AB46" s="134" t="s">
        <v>182</v>
      </c>
      <c r="AC46" s="134">
        <v>550</v>
      </c>
      <c r="AD46" s="135" t="s">
        <v>184</v>
      </c>
      <c r="AE46" s="105" t="s">
        <v>182</v>
      </c>
      <c r="AF46" s="345">
        <v>47280</v>
      </c>
      <c r="AG46" s="134" t="s">
        <v>182</v>
      </c>
      <c r="AH46" s="134">
        <v>470</v>
      </c>
      <c r="AI46" s="135" t="s">
        <v>184</v>
      </c>
      <c r="AK46" s="1357"/>
      <c r="AL46" s="106"/>
      <c r="AM46" s="106"/>
      <c r="AN46" s="131"/>
      <c r="AP46" s="348">
        <v>13500</v>
      </c>
      <c r="AQ46" s="106"/>
      <c r="AR46" s="106"/>
      <c r="AS46" s="131"/>
      <c r="AU46" s="1354"/>
      <c r="AV46" s="110"/>
      <c r="AW46" s="110"/>
      <c r="AX46" s="108"/>
      <c r="AZ46" s="353" t="s">
        <v>766</v>
      </c>
      <c r="BA46" s="1355"/>
      <c r="BB46" s="136" t="s">
        <v>767</v>
      </c>
      <c r="BC46" s="1355"/>
      <c r="BD46" s="353" t="s">
        <v>766</v>
      </c>
      <c r="BE46" s="1355"/>
      <c r="BF46" s="353" t="s">
        <v>663</v>
      </c>
      <c r="BH46" s="140">
        <v>12280</v>
      </c>
      <c r="BJ46" s="104" t="s">
        <v>785</v>
      </c>
      <c r="BL46" s="109"/>
      <c r="BM46" s="146"/>
      <c r="BN46" s="146"/>
      <c r="BO46" s="147"/>
      <c r="BQ46" s="109"/>
      <c r="BR46" s="146"/>
      <c r="BS46" s="146"/>
      <c r="BT46" s="146"/>
      <c r="BU46" s="147"/>
      <c r="BW46" s="109"/>
      <c r="BX46" s="146"/>
      <c r="BY46" s="146"/>
      <c r="BZ46" s="146"/>
      <c r="CA46" s="147"/>
      <c r="CC46" s="152">
        <v>0.86</v>
      </c>
    </row>
    <row r="47" spans="1:81" ht="75">
      <c r="A47" s="1403"/>
      <c r="B47" s="129" t="s">
        <v>197</v>
      </c>
      <c r="C47" s="130" t="s">
        <v>180</v>
      </c>
      <c r="D47" s="122" t="s">
        <v>181</v>
      </c>
      <c r="F47" s="327">
        <v>36740</v>
      </c>
      <c r="G47" s="328">
        <v>44610</v>
      </c>
      <c r="H47" s="105" t="s">
        <v>182</v>
      </c>
      <c r="I47" s="329">
        <v>350</v>
      </c>
      <c r="J47" s="330">
        <v>420</v>
      </c>
      <c r="K47" s="331" t="s">
        <v>661</v>
      </c>
      <c r="L47" s="105" t="s">
        <v>182</v>
      </c>
      <c r="M47" s="1353">
        <v>2460</v>
      </c>
      <c r="N47" s="106" t="s">
        <v>182</v>
      </c>
      <c r="O47" s="106">
        <v>20</v>
      </c>
      <c r="P47" s="131" t="s">
        <v>184</v>
      </c>
      <c r="Q47" s="105" t="s">
        <v>182</v>
      </c>
      <c r="R47" s="1353">
        <v>10500</v>
      </c>
      <c r="S47" s="106" t="s">
        <v>182</v>
      </c>
      <c r="T47" s="106">
        <v>100</v>
      </c>
      <c r="U47" s="131" t="s">
        <v>184</v>
      </c>
      <c r="V47" s="105" t="s">
        <v>182</v>
      </c>
      <c r="W47" s="342">
        <v>7870</v>
      </c>
      <c r="X47" s="126">
        <v>70</v>
      </c>
      <c r="Y47" s="122" t="s">
        <v>183</v>
      </c>
      <c r="AA47" s="344"/>
      <c r="AF47" s="344" t="s">
        <v>185</v>
      </c>
      <c r="AJ47" s="105" t="s">
        <v>182</v>
      </c>
      <c r="AK47" s="1356" t="s">
        <v>188</v>
      </c>
      <c r="AL47" s="123" t="s">
        <v>182</v>
      </c>
      <c r="AM47" s="123" t="s">
        <v>188</v>
      </c>
      <c r="AN47" s="124"/>
      <c r="AP47" s="349" t="s">
        <v>198</v>
      </c>
      <c r="AQ47" s="106" t="s">
        <v>182</v>
      </c>
      <c r="AR47" s="106">
        <v>100</v>
      </c>
      <c r="AS47" s="131" t="s">
        <v>187</v>
      </c>
      <c r="AT47" s="105" t="s">
        <v>182</v>
      </c>
      <c r="AU47" s="1353">
        <v>1730</v>
      </c>
      <c r="AV47" s="106" t="s">
        <v>182</v>
      </c>
      <c r="AW47" s="106">
        <v>10</v>
      </c>
      <c r="AX47" s="131" t="s">
        <v>184</v>
      </c>
      <c r="AY47" s="105" t="s">
        <v>182</v>
      </c>
      <c r="AZ47" s="352">
        <v>910</v>
      </c>
      <c r="BA47" s="1355" t="s">
        <v>664</v>
      </c>
      <c r="BB47" s="127">
        <v>9</v>
      </c>
      <c r="BC47" s="1355" t="s">
        <v>664</v>
      </c>
      <c r="BD47" s="352">
        <v>160</v>
      </c>
      <c r="BE47" s="1355" t="s">
        <v>664</v>
      </c>
      <c r="BF47" s="352">
        <v>1</v>
      </c>
      <c r="BH47" s="139" t="s">
        <v>771</v>
      </c>
      <c r="BI47" s="2" t="s">
        <v>182</v>
      </c>
      <c r="BJ47" s="130">
        <v>235</v>
      </c>
      <c r="BK47" s="105" t="s">
        <v>188</v>
      </c>
      <c r="BL47" s="132">
        <v>2500</v>
      </c>
      <c r="BM47" s="153" t="s">
        <v>189</v>
      </c>
      <c r="BN47" s="153">
        <v>20</v>
      </c>
      <c r="BO47" s="154" t="s">
        <v>184</v>
      </c>
      <c r="BP47" s="105" t="s">
        <v>188</v>
      </c>
      <c r="BQ47" s="132">
        <v>10500</v>
      </c>
      <c r="BR47" s="153" t="s">
        <v>189</v>
      </c>
      <c r="BS47" s="153">
        <v>100</v>
      </c>
      <c r="BT47" s="153" t="s">
        <v>184</v>
      </c>
      <c r="BU47" s="154" t="s">
        <v>190</v>
      </c>
      <c r="BV47" s="105" t="s">
        <v>188</v>
      </c>
      <c r="BW47" s="132">
        <v>7840</v>
      </c>
      <c r="BX47" s="153" t="s">
        <v>189</v>
      </c>
      <c r="BY47" s="153">
        <v>70</v>
      </c>
      <c r="BZ47" s="153" t="s">
        <v>184</v>
      </c>
      <c r="CA47" s="154" t="s">
        <v>190</v>
      </c>
      <c r="CC47" s="152" t="s">
        <v>191</v>
      </c>
    </row>
    <row r="48" spans="1:81" ht="37.5">
      <c r="A48" s="1403"/>
      <c r="B48" s="103"/>
      <c r="C48" s="104"/>
      <c r="D48" s="122" t="s">
        <v>192</v>
      </c>
      <c r="F48" s="332">
        <v>44610</v>
      </c>
      <c r="G48" s="333"/>
      <c r="H48" s="105" t="s">
        <v>182</v>
      </c>
      <c r="I48" s="334">
        <v>420</v>
      </c>
      <c r="J48" s="335"/>
      <c r="K48" s="336" t="s">
        <v>661</v>
      </c>
      <c r="M48" s="1354"/>
      <c r="N48" s="106"/>
      <c r="O48" s="106"/>
      <c r="P48" s="131"/>
      <c r="R48" s="1354"/>
      <c r="S48" s="106"/>
      <c r="T48" s="106"/>
      <c r="U48" s="131"/>
      <c r="V48" s="105" t="s">
        <v>182</v>
      </c>
      <c r="W48" s="334">
        <v>7870</v>
      </c>
      <c r="X48" s="133">
        <v>70</v>
      </c>
      <c r="Y48" s="122" t="s">
        <v>183</v>
      </c>
      <c r="Z48" s="105" t="s">
        <v>182</v>
      </c>
      <c r="AA48" s="345">
        <v>55150</v>
      </c>
      <c r="AB48" s="134" t="s">
        <v>182</v>
      </c>
      <c r="AC48" s="134">
        <v>550</v>
      </c>
      <c r="AD48" s="135" t="s">
        <v>184</v>
      </c>
      <c r="AE48" s="105" t="s">
        <v>182</v>
      </c>
      <c r="AF48" s="345">
        <v>47280</v>
      </c>
      <c r="AG48" s="134" t="s">
        <v>182</v>
      </c>
      <c r="AH48" s="134">
        <v>470</v>
      </c>
      <c r="AI48" s="135" t="s">
        <v>184</v>
      </c>
      <c r="AK48" s="1357"/>
      <c r="AL48" s="106"/>
      <c r="AM48" s="106"/>
      <c r="AN48" s="131"/>
      <c r="AP48" s="348">
        <v>10500</v>
      </c>
      <c r="AQ48" s="106"/>
      <c r="AR48" s="106"/>
      <c r="AS48" s="131"/>
      <c r="AU48" s="1354"/>
      <c r="AV48" s="106"/>
      <c r="AW48" s="106"/>
      <c r="AX48" s="131"/>
      <c r="AZ48" s="353" t="s">
        <v>766</v>
      </c>
      <c r="BA48" s="1355"/>
      <c r="BB48" s="136" t="s">
        <v>767</v>
      </c>
      <c r="BC48" s="1355"/>
      <c r="BD48" s="353" t="s">
        <v>766</v>
      </c>
      <c r="BE48" s="1355"/>
      <c r="BF48" s="353" t="s">
        <v>663</v>
      </c>
      <c r="BH48" s="140">
        <v>9770</v>
      </c>
      <c r="BJ48" s="130" t="s">
        <v>785</v>
      </c>
      <c r="BL48" s="132"/>
      <c r="BM48" s="153"/>
      <c r="BN48" s="153"/>
      <c r="BO48" s="154"/>
      <c r="BQ48" s="132"/>
      <c r="BR48" s="153"/>
      <c r="BS48" s="153"/>
      <c r="BT48" s="153"/>
      <c r="BU48" s="154"/>
      <c r="BW48" s="132"/>
      <c r="BX48" s="153"/>
      <c r="BY48" s="153"/>
      <c r="BZ48" s="153"/>
      <c r="CA48" s="154"/>
      <c r="CC48" s="152">
        <v>0.95</v>
      </c>
    </row>
    <row r="49" spans="1:81" ht="75">
      <c r="A49" s="1403"/>
      <c r="B49" s="129" t="s">
        <v>200</v>
      </c>
      <c r="C49" s="130" t="s">
        <v>180</v>
      </c>
      <c r="D49" s="122" t="s">
        <v>181</v>
      </c>
      <c r="F49" s="327">
        <v>32560</v>
      </c>
      <c r="G49" s="328">
        <v>40430</v>
      </c>
      <c r="H49" s="105" t="s">
        <v>182</v>
      </c>
      <c r="I49" s="329">
        <v>300</v>
      </c>
      <c r="J49" s="330">
        <v>380</v>
      </c>
      <c r="K49" s="331" t="s">
        <v>661</v>
      </c>
      <c r="L49" s="105" t="s">
        <v>182</v>
      </c>
      <c r="M49" s="1353">
        <v>1840</v>
      </c>
      <c r="N49" s="123" t="s">
        <v>182</v>
      </c>
      <c r="O49" s="123">
        <v>10</v>
      </c>
      <c r="P49" s="124" t="s">
        <v>184</v>
      </c>
      <c r="Q49" s="105" t="s">
        <v>182</v>
      </c>
      <c r="R49" s="1353">
        <v>7870</v>
      </c>
      <c r="S49" s="123" t="s">
        <v>182</v>
      </c>
      <c r="T49" s="123">
        <v>70</v>
      </c>
      <c r="U49" s="124" t="s">
        <v>184</v>
      </c>
      <c r="V49" s="105" t="s">
        <v>182</v>
      </c>
      <c r="W49" s="342">
        <v>7870</v>
      </c>
      <c r="X49" s="126">
        <v>70</v>
      </c>
      <c r="Y49" s="122" t="s">
        <v>183</v>
      </c>
      <c r="AA49" s="344"/>
      <c r="AF49" s="344" t="s">
        <v>185</v>
      </c>
      <c r="AJ49" s="105" t="s">
        <v>182</v>
      </c>
      <c r="AK49" s="1356" t="s">
        <v>188</v>
      </c>
      <c r="AL49" s="106" t="s">
        <v>182</v>
      </c>
      <c r="AM49" s="106" t="s">
        <v>188</v>
      </c>
      <c r="AN49" s="131"/>
      <c r="AP49" s="349" t="s">
        <v>201</v>
      </c>
      <c r="AQ49" s="106" t="s">
        <v>182</v>
      </c>
      <c r="AR49" s="106">
        <v>70</v>
      </c>
      <c r="AS49" s="131" t="s">
        <v>187</v>
      </c>
      <c r="AT49" s="105" t="s">
        <v>182</v>
      </c>
      <c r="AU49" s="1353">
        <v>1300</v>
      </c>
      <c r="AV49" s="123" t="s">
        <v>182</v>
      </c>
      <c r="AW49" s="123">
        <v>10</v>
      </c>
      <c r="AX49" s="124" t="s">
        <v>184</v>
      </c>
      <c r="AY49" s="105" t="s">
        <v>182</v>
      </c>
      <c r="AZ49" s="352">
        <v>680</v>
      </c>
      <c r="BA49" s="1355" t="s">
        <v>664</v>
      </c>
      <c r="BB49" s="127">
        <v>6</v>
      </c>
      <c r="BC49" s="1355" t="s">
        <v>664</v>
      </c>
      <c r="BD49" s="352">
        <v>120</v>
      </c>
      <c r="BE49" s="1355" t="s">
        <v>664</v>
      </c>
      <c r="BF49" s="352">
        <v>1</v>
      </c>
      <c r="BH49" s="139" t="s">
        <v>772</v>
      </c>
      <c r="BI49" s="2" t="s">
        <v>182</v>
      </c>
      <c r="BJ49" s="121">
        <v>235</v>
      </c>
      <c r="BK49" s="105" t="s">
        <v>188</v>
      </c>
      <c r="BL49" s="125">
        <v>1870</v>
      </c>
      <c r="BM49" s="150" t="s">
        <v>189</v>
      </c>
      <c r="BN49" s="150">
        <v>10</v>
      </c>
      <c r="BO49" s="151" t="s">
        <v>184</v>
      </c>
      <c r="BP49" s="105" t="s">
        <v>188</v>
      </c>
      <c r="BQ49" s="125">
        <v>7870</v>
      </c>
      <c r="BR49" s="150" t="s">
        <v>189</v>
      </c>
      <c r="BS49" s="150">
        <v>70</v>
      </c>
      <c r="BT49" s="150" t="s">
        <v>184</v>
      </c>
      <c r="BU49" s="151" t="s">
        <v>190</v>
      </c>
      <c r="BV49" s="105" t="s">
        <v>188</v>
      </c>
      <c r="BW49" s="125">
        <v>5880</v>
      </c>
      <c r="BX49" s="150" t="s">
        <v>189</v>
      </c>
      <c r="BY49" s="150">
        <v>50</v>
      </c>
      <c r="BZ49" s="150" t="s">
        <v>184</v>
      </c>
      <c r="CA49" s="151" t="s">
        <v>190</v>
      </c>
      <c r="CC49" s="152" t="s">
        <v>191</v>
      </c>
    </row>
    <row r="50" spans="1:81" ht="37.5">
      <c r="A50" s="1403"/>
      <c r="B50" s="129"/>
      <c r="C50" s="130"/>
      <c r="D50" s="122" t="s">
        <v>192</v>
      </c>
      <c r="F50" s="332">
        <v>40430</v>
      </c>
      <c r="G50" s="333"/>
      <c r="H50" s="105" t="s">
        <v>182</v>
      </c>
      <c r="I50" s="334">
        <v>380</v>
      </c>
      <c r="J50" s="335"/>
      <c r="K50" s="336" t="s">
        <v>661</v>
      </c>
      <c r="M50" s="1354"/>
      <c r="N50" s="310"/>
      <c r="O50" s="310"/>
      <c r="P50" s="311"/>
      <c r="R50" s="1354"/>
      <c r="S50" s="310"/>
      <c r="T50" s="310"/>
      <c r="U50" s="311"/>
      <c r="V50" s="105" t="s">
        <v>182</v>
      </c>
      <c r="W50" s="334">
        <v>7870</v>
      </c>
      <c r="X50" s="133">
        <v>70</v>
      </c>
      <c r="Y50" s="122" t="s">
        <v>183</v>
      </c>
      <c r="Z50" s="105" t="s">
        <v>182</v>
      </c>
      <c r="AA50" s="345">
        <v>55150</v>
      </c>
      <c r="AB50" s="134" t="s">
        <v>182</v>
      </c>
      <c r="AC50" s="134">
        <v>550</v>
      </c>
      <c r="AD50" s="135" t="s">
        <v>184</v>
      </c>
      <c r="AE50" s="105" t="s">
        <v>182</v>
      </c>
      <c r="AF50" s="345">
        <v>47280</v>
      </c>
      <c r="AG50" s="134" t="s">
        <v>182</v>
      </c>
      <c r="AH50" s="134">
        <v>470</v>
      </c>
      <c r="AI50" s="135" t="s">
        <v>184</v>
      </c>
      <c r="AK50" s="1357"/>
      <c r="AL50" s="106"/>
      <c r="AM50" s="106"/>
      <c r="AN50" s="131"/>
      <c r="AP50" s="348">
        <v>7870</v>
      </c>
      <c r="AQ50" s="106"/>
      <c r="AR50" s="106"/>
      <c r="AS50" s="131"/>
      <c r="AU50" s="1354"/>
      <c r="AV50" s="110"/>
      <c r="AW50" s="110"/>
      <c r="AX50" s="108"/>
      <c r="AZ50" s="353" t="s">
        <v>766</v>
      </c>
      <c r="BA50" s="1355"/>
      <c r="BB50" s="136" t="s">
        <v>767</v>
      </c>
      <c r="BC50" s="1355"/>
      <c r="BD50" s="353" t="s">
        <v>766</v>
      </c>
      <c r="BE50" s="1355"/>
      <c r="BF50" s="353" t="s">
        <v>663</v>
      </c>
      <c r="BH50" s="140">
        <v>7500</v>
      </c>
      <c r="BJ50" s="104" t="s">
        <v>785</v>
      </c>
      <c r="BL50" s="109"/>
      <c r="BM50" s="146"/>
      <c r="BN50" s="146"/>
      <c r="BO50" s="147"/>
      <c r="BQ50" s="109"/>
      <c r="BR50" s="146"/>
      <c r="BS50" s="146"/>
      <c r="BT50" s="146"/>
      <c r="BU50" s="147"/>
      <c r="BW50" s="109"/>
      <c r="BX50" s="146"/>
      <c r="BY50" s="146"/>
      <c r="BZ50" s="146"/>
      <c r="CA50" s="147"/>
      <c r="CC50" s="152">
        <v>0.89</v>
      </c>
    </row>
    <row r="51" spans="1:81" ht="75">
      <c r="A51" s="1403"/>
      <c r="B51" s="120" t="s">
        <v>202</v>
      </c>
      <c r="C51" s="121" t="s">
        <v>180</v>
      </c>
      <c r="D51" s="122" t="s">
        <v>181</v>
      </c>
      <c r="F51" s="327">
        <v>30100</v>
      </c>
      <c r="G51" s="328">
        <v>37970</v>
      </c>
      <c r="H51" s="105" t="s">
        <v>182</v>
      </c>
      <c r="I51" s="329">
        <v>280</v>
      </c>
      <c r="J51" s="330">
        <v>360</v>
      </c>
      <c r="K51" s="331" t="s">
        <v>661</v>
      </c>
      <c r="L51" s="105" t="s">
        <v>182</v>
      </c>
      <c r="M51" s="1353">
        <v>1470</v>
      </c>
      <c r="N51" s="106" t="s">
        <v>182</v>
      </c>
      <c r="O51" s="106">
        <v>10</v>
      </c>
      <c r="P51" s="131" t="s">
        <v>184</v>
      </c>
      <c r="Q51" s="105" t="s">
        <v>182</v>
      </c>
      <c r="R51" s="1353">
        <v>6300</v>
      </c>
      <c r="S51" s="106" t="s">
        <v>182</v>
      </c>
      <c r="T51" s="106">
        <v>60</v>
      </c>
      <c r="U51" s="131" t="s">
        <v>184</v>
      </c>
      <c r="V51" s="105" t="s">
        <v>182</v>
      </c>
      <c r="W51" s="342">
        <v>7870</v>
      </c>
      <c r="X51" s="126">
        <v>70</v>
      </c>
      <c r="Y51" s="122" t="s">
        <v>183</v>
      </c>
      <c r="AA51" s="344"/>
      <c r="AF51" s="344" t="s">
        <v>185</v>
      </c>
      <c r="AJ51" s="105" t="s">
        <v>182</v>
      </c>
      <c r="AK51" s="1356" t="s">
        <v>188</v>
      </c>
      <c r="AL51" s="106" t="s">
        <v>182</v>
      </c>
      <c r="AM51" s="106" t="s">
        <v>188</v>
      </c>
      <c r="AN51" s="131"/>
      <c r="AP51" s="349" t="s">
        <v>203</v>
      </c>
      <c r="AQ51" s="106" t="s">
        <v>182</v>
      </c>
      <c r="AR51" s="106">
        <v>60</v>
      </c>
      <c r="AS51" s="131" t="s">
        <v>187</v>
      </c>
      <c r="AT51" s="105" t="s">
        <v>182</v>
      </c>
      <c r="AU51" s="1353">
        <v>1040</v>
      </c>
      <c r="AV51" s="106" t="s">
        <v>182</v>
      </c>
      <c r="AW51" s="106">
        <v>10</v>
      </c>
      <c r="AX51" s="131" t="s">
        <v>184</v>
      </c>
      <c r="AY51" s="105" t="s">
        <v>182</v>
      </c>
      <c r="AZ51" s="352">
        <v>570</v>
      </c>
      <c r="BA51" s="1355" t="s">
        <v>664</v>
      </c>
      <c r="BB51" s="127">
        <v>5</v>
      </c>
      <c r="BC51" s="1355" t="s">
        <v>664</v>
      </c>
      <c r="BD51" s="352">
        <v>100</v>
      </c>
      <c r="BE51" s="1355" t="s">
        <v>664</v>
      </c>
      <c r="BF51" s="352">
        <v>1</v>
      </c>
      <c r="BH51" s="139" t="s">
        <v>773</v>
      </c>
      <c r="BI51" s="2" t="s">
        <v>182</v>
      </c>
      <c r="BJ51" s="130">
        <v>235</v>
      </c>
      <c r="BK51" s="105" t="s">
        <v>188</v>
      </c>
      <c r="BL51" s="132">
        <v>1500</v>
      </c>
      <c r="BM51" s="153" t="s">
        <v>189</v>
      </c>
      <c r="BN51" s="153">
        <v>10</v>
      </c>
      <c r="BO51" s="154" t="s">
        <v>184</v>
      </c>
      <c r="BP51" s="105" t="s">
        <v>188</v>
      </c>
      <c r="BQ51" s="132">
        <v>6300</v>
      </c>
      <c r="BR51" s="153" t="s">
        <v>189</v>
      </c>
      <c r="BS51" s="153">
        <v>60</v>
      </c>
      <c r="BT51" s="153" t="s">
        <v>184</v>
      </c>
      <c r="BU51" s="154" t="s">
        <v>190</v>
      </c>
      <c r="BV51" s="105" t="s">
        <v>188</v>
      </c>
      <c r="BW51" s="132">
        <v>4700</v>
      </c>
      <c r="BX51" s="153" t="s">
        <v>189</v>
      </c>
      <c r="BY51" s="153">
        <v>40</v>
      </c>
      <c r="BZ51" s="153" t="s">
        <v>184</v>
      </c>
      <c r="CA51" s="154" t="s">
        <v>190</v>
      </c>
      <c r="CC51" s="152" t="s">
        <v>191</v>
      </c>
    </row>
    <row r="52" spans="1:81" ht="37.5">
      <c r="A52" s="1403"/>
      <c r="B52" s="103"/>
      <c r="C52" s="104"/>
      <c r="D52" s="122" t="s">
        <v>192</v>
      </c>
      <c r="F52" s="332">
        <v>37970</v>
      </c>
      <c r="G52" s="333"/>
      <c r="H52" s="105" t="s">
        <v>182</v>
      </c>
      <c r="I52" s="334">
        <v>360</v>
      </c>
      <c r="J52" s="335"/>
      <c r="K52" s="336" t="s">
        <v>661</v>
      </c>
      <c r="M52" s="1354"/>
      <c r="N52" s="106"/>
      <c r="O52" s="106"/>
      <c r="P52" s="131"/>
      <c r="R52" s="1354"/>
      <c r="S52" s="106"/>
      <c r="T52" s="106"/>
      <c r="U52" s="131"/>
      <c r="V52" s="105" t="s">
        <v>182</v>
      </c>
      <c r="W52" s="334">
        <v>7870</v>
      </c>
      <c r="X52" s="133">
        <v>70</v>
      </c>
      <c r="Y52" s="122" t="s">
        <v>183</v>
      </c>
      <c r="Z52" s="105" t="s">
        <v>182</v>
      </c>
      <c r="AA52" s="345">
        <v>55150</v>
      </c>
      <c r="AB52" s="134" t="s">
        <v>182</v>
      </c>
      <c r="AC52" s="134">
        <v>550</v>
      </c>
      <c r="AD52" s="135" t="s">
        <v>184</v>
      </c>
      <c r="AE52" s="105" t="s">
        <v>182</v>
      </c>
      <c r="AF52" s="345">
        <v>47280</v>
      </c>
      <c r="AG52" s="134" t="s">
        <v>182</v>
      </c>
      <c r="AH52" s="134">
        <v>470</v>
      </c>
      <c r="AI52" s="135" t="s">
        <v>184</v>
      </c>
      <c r="AK52" s="1357"/>
      <c r="AL52" s="106"/>
      <c r="AM52" s="106"/>
      <c r="AN52" s="131"/>
      <c r="AP52" s="348">
        <v>6300</v>
      </c>
      <c r="AQ52" s="106"/>
      <c r="AR52" s="106"/>
      <c r="AS52" s="131"/>
      <c r="AU52" s="1354"/>
      <c r="AV52" s="106"/>
      <c r="AW52" s="106"/>
      <c r="AX52" s="131"/>
      <c r="AZ52" s="353" t="s">
        <v>766</v>
      </c>
      <c r="BA52" s="1355"/>
      <c r="BB52" s="136" t="s">
        <v>767</v>
      </c>
      <c r="BC52" s="1355"/>
      <c r="BD52" s="353" t="s">
        <v>766</v>
      </c>
      <c r="BE52" s="1355"/>
      <c r="BF52" s="353" t="s">
        <v>663</v>
      </c>
      <c r="BH52" s="140">
        <v>6130</v>
      </c>
      <c r="BJ52" s="130" t="s">
        <v>785</v>
      </c>
      <c r="BL52" s="132"/>
      <c r="BM52" s="153"/>
      <c r="BN52" s="153"/>
      <c r="BO52" s="154"/>
      <c r="BQ52" s="132"/>
      <c r="BR52" s="153"/>
      <c r="BS52" s="153"/>
      <c r="BT52" s="153"/>
      <c r="BU52" s="154"/>
      <c r="BW52" s="132"/>
      <c r="BX52" s="153"/>
      <c r="BY52" s="153"/>
      <c r="BZ52" s="153"/>
      <c r="CA52" s="154"/>
      <c r="CC52" s="152">
        <v>0.92</v>
      </c>
    </row>
    <row r="53" spans="1:81" ht="75">
      <c r="A53" s="1403"/>
      <c r="B53" s="129" t="s">
        <v>204</v>
      </c>
      <c r="C53" s="130" t="s">
        <v>180</v>
      </c>
      <c r="D53" s="122" t="s">
        <v>181</v>
      </c>
      <c r="F53" s="327">
        <v>28420</v>
      </c>
      <c r="G53" s="328">
        <v>36290</v>
      </c>
      <c r="H53" s="105" t="s">
        <v>182</v>
      </c>
      <c r="I53" s="329">
        <v>260</v>
      </c>
      <c r="J53" s="330">
        <v>340</v>
      </c>
      <c r="K53" s="331" t="s">
        <v>661</v>
      </c>
      <c r="L53" s="105" t="s">
        <v>182</v>
      </c>
      <c r="M53" s="1353">
        <v>1230</v>
      </c>
      <c r="N53" s="123" t="s">
        <v>182</v>
      </c>
      <c r="O53" s="123">
        <v>10</v>
      </c>
      <c r="P53" s="124" t="s">
        <v>184</v>
      </c>
      <c r="Q53" s="105" t="s">
        <v>182</v>
      </c>
      <c r="R53" s="1353">
        <v>5250</v>
      </c>
      <c r="S53" s="123" t="s">
        <v>182</v>
      </c>
      <c r="T53" s="123">
        <v>50</v>
      </c>
      <c r="U53" s="124" t="s">
        <v>184</v>
      </c>
      <c r="V53" s="105" t="s">
        <v>182</v>
      </c>
      <c r="W53" s="342">
        <v>7870</v>
      </c>
      <c r="X53" s="126">
        <v>70</v>
      </c>
      <c r="Y53" s="122" t="s">
        <v>183</v>
      </c>
      <c r="AA53" s="344"/>
      <c r="AF53" s="344" t="s">
        <v>185</v>
      </c>
      <c r="AJ53" s="105" t="s">
        <v>182</v>
      </c>
      <c r="AK53" s="1356" t="s">
        <v>188</v>
      </c>
      <c r="AL53" s="106" t="s">
        <v>182</v>
      </c>
      <c r="AM53" s="106" t="s">
        <v>188</v>
      </c>
      <c r="AN53" s="131"/>
      <c r="AP53" s="349" t="s">
        <v>205</v>
      </c>
      <c r="AQ53" s="106" t="s">
        <v>182</v>
      </c>
      <c r="AR53" s="106">
        <v>50</v>
      </c>
      <c r="AS53" s="131" t="s">
        <v>187</v>
      </c>
      <c r="AT53" s="105" t="s">
        <v>182</v>
      </c>
      <c r="AU53" s="1353">
        <v>860</v>
      </c>
      <c r="AV53" s="123" t="s">
        <v>182</v>
      </c>
      <c r="AW53" s="123">
        <v>8</v>
      </c>
      <c r="AX53" s="124" t="s">
        <v>184</v>
      </c>
      <c r="AY53" s="105" t="s">
        <v>182</v>
      </c>
      <c r="AZ53" s="352">
        <v>500</v>
      </c>
      <c r="BA53" s="1355" t="s">
        <v>664</v>
      </c>
      <c r="BB53" s="127">
        <v>5</v>
      </c>
      <c r="BC53" s="1355" t="s">
        <v>664</v>
      </c>
      <c r="BD53" s="352">
        <v>80</v>
      </c>
      <c r="BE53" s="1355" t="s">
        <v>664</v>
      </c>
      <c r="BF53" s="352">
        <v>1</v>
      </c>
      <c r="BH53" s="139" t="s">
        <v>774</v>
      </c>
      <c r="BI53" s="2" t="s">
        <v>182</v>
      </c>
      <c r="BJ53" s="121">
        <v>235</v>
      </c>
      <c r="BK53" s="105" t="s">
        <v>188</v>
      </c>
      <c r="BL53" s="125">
        <v>1250</v>
      </c>
      <c r="BM53" s="150" t="s">
        <v>189</v>
      </c>
      <c r="BN53" s="150">
        <v>10</v>
      </c>
      <c r="BO53" s="151" t="s">
        <v>184</v>
      </c>
      <c r="BP53" s="105" t="s">
        <v>188</v>
      </c>
      <c r="BQ53" s="125">
        <v>5250</v>
      </c>
      <c r="BR53" s="150" t="s">
        <v>189</v>
      </c>
      <c r="BS53" s="150">
        <v>50</v>
      </c>
      <c r="BT53" s="150" t="s">
        <v>184</v>
      </c>
      <c r="BU53" s="151" t="s">
        <v>190</v>
      </c>
      <c r="BV53" s="105" t="s">
        <v>188</v>
      </c>
      <c r="BW53" s="125">
        <v>3920</v>
      </c>
      <c r="BX53" s="150" t="s">
        <v>189</v>
      </c>
      <c r="BY53" s="150">
        <v>30</v>
      </c>
      <c r="BZ53" s="150" t="s">
        <v>184</v>
      </c>
      <c r="CA53" s="151" t="s">
        <v>190</v>
      </c>
      <c r="CC53" s="152" t="s">
        <v>191</v>
      </c>
    </row>
    <row r="54" spans="1:81" ht="37.5">
      <c r="A54" s="1403"/>
      <c r="B54" s="129"/>
      <c r="C54" s="130"/>
      <c r="D54" s="122" t="s">
        <v>192</v>
      </c>
      <c r="F54" s="332">
        <v>36290</v>
      </c>
      <c r="G54" s="333"/>
      <c r="H54" s="105" t="s">
        <v>182</v>
      </c>
      <c r="I54" s="334">
        <v>340</v>
      </c>
      <c r="J54" s="335"/>
      <c r="K54" s="336" t="s">
        <v>661</v>
      </c>
      <c r="M54" s="1354"/>
      <c r="N54" s="310"/>
      <c r="O54" s="310"/>
      <c r="P54" s="311"/>
      <c r="R54" s="1354"/>
      <c r="S54" s="310"/>
      <c r="T54" s="310"/>
      <c r="U54" s="311"/>
      <c r="V54" s="105" t="s">
        <v>182</v>
      </c>
      <c r="W54" s="334">
        <v>7870</v>
      </c>
      <c r="X54" s="133">
        <v>70</v>
      </c>
      <c r="Y54" s="122" t="s">
        <v>183</v>
      </c>
      <c r="Z54" s="105" t="s">
        <v>182</v>
      </c>
      <c r="AA54" s="345">
        <v>55150</v>
      </c>
      <c r="AB54" s="134" t="s">
        <v>182</v>
      </c>
      <c r="AC54" s="134">
        <v>550</v>
      </c>
      <c r="AD54" s="135" t="s">
        <v>184</v>
      </c>
      <c r="AE54" s="105" t="s">
        <v>182</v>
      </c>
      <c r="AF54" s="345">
        <v>47280</v>
      </c>
      <c r="AG54" s="134" t="s">
        <v>182</v>
      </c>
      <c r="AH54" s="134">
        <v>470</v>
      </c>
      <c r="AI54" s="135" t="s">
        <v>184</v>
      </c>
      <c r="AK54" s="1357"/>
      <c r="AL54" s="106"/>
      <c r="AM54" s="106"/>
      <c r="AN54" s="131"/>
      <c r="AP54" s="348">
        <v>5250</v>
      </c>
      <c r="AQ54" s="106"/>
      <c r="AR54" s="106"/>
      <c r="AS54" s="131"/>
      <c r="AU54" s="1354"/>
      <c r="AV54" s="110"/>
      <c r="AW54" s="110"/>
      <c r="AX54" s="108"/>
      <c r="AZ54" s="353" t="s">
        <v>766</v>
      </c>
      <c r="BA54" s="1355"/>
      <c r="BB54" s="136" t="s">
        <v>767</v>
      </c>
      <c r="BC54" s="1355"/>
      <c r="BD54" s="353" t="s">
        <v>766</v>
      </c>
      <c r="BE54" s="1355"/>
      <c r="BF54" s="353" t="s">
        <v>663</v>
      </c>
      <c r="BH54" s="140">
        <v>5220</v>
      </c>
      <c r="BJ54" s="104" t="s">
        <v>785</v>
      </c>
      <c r="BL54" s="109"/>
      <c r="BM54" s="146"/>
      <c r="BN54" s="146"/>
      <c r="BO54" s="147"/>
      <c r="BQ54" s="109"/>
      <c r="BR54" s="146"/>
      <c r="BS54" s="146"/>
      <c r="BT54" s="146"/>
      <c r="BU54" s="147"/>
      <c r="BW54" s="109"/>
      <c r="BX54" s="146"/>
      <c r="BY54" s="146"/>
      <c r="BZ54" s="146"/>
      <c r="CA54" s="147"/>
      <c r="CC54" s="152">
        <v>0.9</v>
      </c>
    </row>
    <row r="55" spans="1:81" ht="75">
      <c r="A55" s="1403"/>
      <c r="B55" s="120" t="s">
        <v>206</v>
      </c>
      <c r="C55" s="121" t="s">
        <v>180</v>
      </c>
      <c r="D55" s="122" t="s">
        <v>181</v>
      </c>
      <c r="F55" s="327">
        <v>27890</v>
      </c>
      <c r="G55" s="328">
        <v>35760</v>
      </c>
      <c r="H55" s="105" t="s">
        <v>182</v>
      </c>
      <c r="I55" s="329">
        <v>260</v>
      </c>
      <c r="J55" s="330">
        <v>340</v>
      </c>
      <c r="K55" s="331" t="s">
        <v>661</v>
      </c>
      <c r="L55" s="105" t="s">
        <v>182</v>
      </c>
      <c r="M55" s="1353">
        <v>1050</v>
      </c>
      <c r="N55" s="106" t="s">
        <v>182</v>
      </c>
      <c r="O55" s="106">
        <v>10</v>
      </c>
      <c r="P55" s="131" t="s">
        <v>184</v>
      </c>
      <c r="Q55" s="105" t="s">
        <v>182</v>
      </c>
      <c r="R55" s="1353">
        <v>4500</v>
      </c>
      <c r="S55" s="106" t="s">
        <v>182</v>
      </c>
      <c r="T55" s="106">
        <v>40</v>
      </c>
      <c r="U55" s="131" t="s">
        <v>184</v>
      </c>
      <c r="V55" s="105" t="s">
        <v>182</v>
      </c>
      <c r="W55" s="342">
        <v>7870</v>
      </c>
      <c r="X55" s="126">
        <v>70</v>
      </c>
      <c r="Y55" s="122" t="s">
        <v>183</v>
      </c>
      <c r="AA55" s="344"/>
      <c r="AF55" s="344" t="s">
        <v>185</v>
      </c>
      <c r="AJ55" s="105" t="s">
        <v>182</v>
      </c>
      <c r="AK55" s="1356" t="s">
        <v>188</v>
      </c>
      <c r="AL55" s="106" t="s">
        <v>182</v>
      </c>
      <c r="AM55" s="106" t="s">
        <v>188</v>
      </c>
      <c r="AN55" s="131"/>
      <c r="AP55" s="349" t="s">
        <v>207</v>
      </c>
      <c r="AQ55" s="106" t="s">
        <v>182</v>
      </c>
      <c r="AR55" s="106">
        <v>40</v>
      </c>
      <c r="AS55" s="131" t="s">
        <v>187</v>
      </c>
      <c r="AT55" s="105" t="s">
        <v>182</v>
      </c>
      <c r="AU55" s="1353">
        <v>740</v>
      </c>
      <c r="AV55" s="106" t="s">
        <v>182</v>
      </c>
      <c r="AW55" s="106">
        <v>7</v>
      </c>
      <c r="AX55" s="131" t="s">
        <v>184</v>
      </c>
      <c r="AY55" s="105" t="s">
        <v>182</v>
      </c>
      <c r="AZ55" s="352">
        <v>440</v>
      </c>
      <c r="BA55" s="1355" t="s">
        <v>664</v>
      </c>
      <c r="BB55" s="127">
        <v>4</v>
      </c>
      <c r="BC55" s="1355" t="s">
        <v>664</v>
      </c>
      <c r="BD55" s="352">
        <v>80</v>
      </c>
      <c r="BE55" s="1355" t="s">
        <v>664</v>
      </c>
      <c r="BF55" s="352">
        <v>1</v>
      </c>
      <c r="BH55" s="139" t="s">
        <v>775</v>
      </c>
      <c r="BI55" s="2" t="s">
        <v>182</v>
      </c>
      <c r="BJ55" s="130">
        <v>235</v>
      </c>
      <c r="BK55" s="105" t="s">
        <v>188</v>
      </c>
      <c r="BL55" s="132">
        <v>1070</v>
      </c>
      <c r="BM55" s="153" t="s">
        <v>189</v>
      </c>
      <c r="BN55" s="153">
        <v>10</v>
      </c>
      <c r="BO55" s="154" t="s">
        <v>184</v>
      </c>
      <c r="BP55" s="105" t="s">
        <v>188</v>
      </c>
      <c r="BQ55" s="132">
        <v>4500</v>
      </c>
      <c r="BR55" s="153" t="s">
        <v>189</v>
      </c>
      <c r="BS55" s="153">
        <v>40</v>
      </c>
      <c r="BT55" s="153" t="s">
        <v>184</v>
      </c>
      <c r="BU55" s="154" t="s">
        <v>190</v>
      </c>
      <c r="BV55" s="105" t="s">
        <v>188</v>
      </c>
      <c r="BW55" s="132">
        <v>3360</v>
      </c>
      <c r="BX55" s="153" t="s">
        <v>189</v>
      </c>
      <c r="BY55" s="153">
        <v>30</v>
      </c>
      <c r="BZ55" s="153" t="s">
        <v>184</v>
      </c>
      <c r="CA55" s="154" t="s">
        <v>190</v>
      </c>
      <c r="CC55" s="152" t="s">
        <v>191</v>
      </c>
    </row>
    <row r="56" spans="1:81" ht="37.5">
      <c r="A56" s="1403"/>
      <c r="B56" s="103"/>
      <c r="C56" s="104"/>
      <c r="D56" s="122" t="s">
        <v>192</v>
      </c>
      <c r="F56" s="332">
        <v>35760</v>
      </c>
      <c r="G56" s="333"/>
      <c r="H56" s="105" t="s">
        <v>182</v>
      </c>
      <c r="I56" s="334">
        <v>340</v>
      </c>
      <c r="J56" s="335"/>
      <c r="K56" s="336" t="s">
        <v>661</v>
      </c>
      <c r="M56" s="1354"/>
      <c r="N56" s="106"/>
      <c r="O56" s="106"/>
      <c r="P56" s="131"/>
      <c r="R56" s="1354"/>
      <c r="S56" s="106"/>
      <c r="T56" s="106"/>
      <c r="U56" s="131"/>
      <c r="V56" s="105" t="s">
        <v>182</v>
      </c>
      <c r="W56" s="334">
        <v>7870</v>
      </c>
      <c r="X56" s="133">
        <v>70</v>
      </c>
      <c r="Y56" s="122" t="s">
        <v>183</v>
      </c>
      <c r="Z56" s="105" t="s">
        <v>182</v>
      </c>
      <c r="AA56" s="345">
        <v>55150</v>
      </c>
      <c r="AB56" s="134" t="s">
        <v>182</v>
      </c>
      <c r="AC56" s="134">
        <v>550</v>
      </c>
      <c r="AD56" s="135" t="s">
        <v>184</v>
      </c>
      <c r="AE56" s="105" t="s">
        <v>182</v>
      </c>
      <c r="AF56" s="345">
        <v>47280</v>
      </c>
      <c r="AG56" s="134" t="s">
        <v>182</v>
      </c>
      <c r="AH56" s="134">
        <v>470</v>
      </c>
      <c r="AI56" s="135" t="s">
        <v>184</v>
      </c>
      <c r="AK56" s="1357"/>
      <c r="AL56" s="106"/>
      <c r="AM56" s="106"/>
      <c r="AN56" s="131"/>
      <c r="AP56" s="348">
        <v>4500</v>
      </c>
      <c r="AQ56" s="106"/>
      <c r="AR56" s="106"/>
      <c r="AS56" s="131"/>
      <c r="AU56" s="1354"/>
      <c r="AV56" s="106"/>
      <c r="AW56" s="106"/>
      <c r="AX56" s="131"/>
      <c r="AZ56" s="353" t="s">
        <v>766</v>
      </c>
      <c r="BA56" s="1355"/>
      <c r="BB56" s="136" t="s">
        <v>767</v>
      </c>
      <c r="BC56" s="1355"/>
      <c r="BD56" s="353" t="s">
        <v>766</v>
      </c>
      <c r="BE56" s="1355"/>
      <c r="BF56" s="353" t="s">
        <v>663</v>
      </c>
      <c r="BH56" s="140">
        <v>4660</v>
      </c>
      <c r="BJ56" s="130" t="s">
        <v>785</v>
      </c>
      <c r="BL56" s="132"/>
      <c r="BM56" s="153"/>
      <c r="BN56" s="153"/>
      <c r="BO56" s="154"/>
      <c r="BQ56" s="132"/>
      <c r="BR56" s="153"/>
      <c r="BS56" s="153"/>
      <c r="BT56" s="153"/>
      <c r="BU56" s="154"/>
      <c r="BW56" s="132"/>
      <c r="BX56" s="153"/>
      <c r="BY56" s="153"/>
      <c r="BZ56" s="153"/>
      <c r="CA56" s="154"/>
      <c r="CC56" s="152">
        <v>0.91</v>
      </c>
    </row>
    <row r="57" spans="1:81" ht="75">
      <c r="A57" s="1403"/>
      <c r="B57" s="129" t="s">
        <v>208</v>
      </c>
      <c r="C57" s="130" t="s">
        <v>180</v>
      </c>
      <c r="D57" s="122" t="s">
        <v>181</v>
      </c>
      <c r="F57" s="327">
        <v>26930</v>
      </c>
      <c r="G57" s="328">
        <v>34800</v>
      </c>
      <c r="H57" s="105" t="s">
        <v>182</v>
      </c>
      <c r="I57" s="329">
        <v>250</v>
      </c>
      <c r="J57" s="330">
        <v>330</v>
      </c>
      <c r="K57" s="331" t="s">
        <v>661</v>
      </c>
      <c r="L57" s="105" t="s">
        <v>182</v>
      </c>
      <c r="M57" s="1353">
        <v>920</v>
      </c>
      <c r="N57" s="123" t="s">
        <v>182</v>
      </c>
      <c r="O57" s="123">
        <v>9</v>
      </c>
      <c r="P57" s="124" t="s">
        <v>184</v>
      </c>
      <c r="Q57" s="105" t="s">
        <v>182</v>
      </c>
      <c r="R57" s="1353">
        <v>3930</v>
      </c>
      <c r="S57" s="123" t="s">
        <v>182</v>
      </c>
      <c r="T57" s="123">
        <v>30</v>
      </c>
      <c r="U57" s="124" t="s">
        <v>184</v>
      </c>
      <c r="V57" s="105" t="s">
        <v>182</v>
      </c>
      <c r="W57" s="342">
        <v>7870</v>
      </c>
      <c r="X57" s="126">
        <v>70</v>
      </c>
      <c r="Y57" s="122" t="s">
        <v>183</v>
      </c>
      <c r="AA57" s="344"/>
      <c r="AF57" s="344" t="s">
        <v>185</v>
      </c>
      <c r="AJ57" s="105" t="s">
        <v>182</v>
      </c>
      <c r="AK57" s="1356" t="s">
        <v>188</v>
      </c>
      <c r="AL57" s="106" t="s">
        <v>182</v>
      </c>
      <c r="AM57" s="106" t="s">
        <v>188</v>
      </c>
      <c r="AN57" s="131"/>
      <c r="AP57" s="349" t="s">
        <v>209</v>
      </c>
      <c r="AQ57" s="106" t="s">
        <v>182</v>
      </c>
      <c r="AR57" s="106">
        <v>30</v>
      </c>
      <c r="AS57" s="131" t="s">
        <v>187</v>
      </c>
      <c r="AT57" s="105" t="s">
        <v>182</v>
      </c>
      <c r="AU57" s="1353">
        <v>650</v>
      </c>
      <c r="AV57" s="123" t="s">
        <v>182</v>
      </c>
      <c r="AW57" s="123">
        <v>6</v>
      </c>
      <c r="AX57" s="124" t="s">
        <v>184</v>
      </c>
      <c r="AY57" s="105" t="s">
        <v>182</v>
      </c>
      <c r="AZ57" s="352">
        <v>410</v>
      </c>
      <c r="BA57" s="1355" t="s">
        <v>664</v>
      </c>
      <c r="BB57" s="127">
        <v>4</v>
      </c>
      <c r="BC57" s="1355" t="s">
        <v>664</v>
      </c>
      <c r="BD57" s="352">
        <v>70</v>
      </c>
      <c r="BE57" s="1355" t="s">
        <v>664</v>
      </c>
      <c r="BF57" s="352">
        <v>1</v>
      </c>
      <c r="BH57" s="139" t="s">
        <v>776</v>
      </c>
      <c r="BI57" s="2" t="s">
        <v>182</v>
      </c>
      <c r="BJ57" s="121">
        <v>235</v>
      </c>
      <c r="BK57" s="105" t="s">
        <v>188</v>
      </c>
      <c r="BL57" s="125">
        <v>930</v>
      </c>
      <c r="BM57" s="150" t="s">
        <v>189</v>
      </c>
      <c r="BN57" s="150">
        <v>9</v>
      </c>
      <c r="BO57" s="151" t="s">
        <v>184</v>
      </c>
      <c r="BP57" s="105" t="s">
        <v>188</v>
      </c>
      <c r="BQ57" s="125">
        <v>3940</v>
      </c>
      <c r="BR57" s="150" t="s">
        <v>189</v>
      </c>
      <c r="BS57" s="150">
        <v>30</v>
      </c>
      <c r="BT57" s="150" t="s">
        <v>184</v>
      </c>
      <c r="BU57" s="151" t="s">
        <v>190</v>
      </c>
      <c r="BV57" s="105" t="s">
        <v>188</v>
      </c>
      <c r="BW57" s="125">
        <v>2940</v>
      </c>
      <c r="BX57" s="150" t="s">
        <v>189</v>
      </c>
      <c r="BY57" s="150">
        <v>20</v>
      </c>
      <c r="BZ57" s="150" t="s">
        <v>184</v>
      </c>
      <c r="CA57" s="151" t="s">
        <v>190</v>
      </c>
      <c r="CC57" s="152" t="s">
        <v>191</v>
      </c>
    </row>
    <row r="58" spans="1:81" ht="37.5">
      <c r="A58" s="1403"/>
      <c r="B58" s="129"/>
      <c r="C58" s="130"/>
      <c r="D58" s="122" t="s">
        <v>192</v>
      </c>
      <c r="F58" s="332">
        <v>34800</v>
      </c>
      <c r="G58" s="333"/>
      <c r="H58" s="105" t="s">
        <v>182</v>
      </c>
      <c r="I58" s="334">
        <v>330</v>
      </c>
      <c r="J58" s="335"/>
      <c r="K58" s="336" t="s">
        <v>661</v>
      </c>
      <c r="M58" s="1354"/>
      <c r="N58" s="310"/>
      <c r="O58" s="310"/>
      <c r="P58" s="311"/>
      <c r="R58" s="1354"/>
      <c r="S58" s="310"/>
      <c r="T58" s="310"/>
      <c r="U58" s="311"/>
      <c r="V58" s="105" t="s">
        <v>182</v>
      </c>
      <c r="W58" s="334">
        <v>7870</v>
      </c>
      <c r="X58" s="133">
        <v>70</v>
      </c>
      <c r="Y58" s="122" t="s">
        <v>183</v>
      </c>
      <c r="Z58" s="105" t="s">
        <v>182</v>
      </c>
      <c r="AA58" s="345">
        <v>55150</v>
      </c>
      <c r="AB58" s="134" t="s">
        <v>182</v>
      </c>
      <c r="AC58" s="134">
        <v>550</v>
      </c>
      <c r="AD58" s="135" t="s">
        <v>184</v>
      </c>
      <c r="AE58" s="105" t="s">
        <v>182</v>
      </c>
      <c r="AF58" s="345">
        <v>47280</v>
      </c>
      <c r="AG58" s="134" t="s">
        <v>182</v>
      </c>
      <c r="AH58" s="134">
        <v>470</v>
      </c>
      <c r="AI58" s="135" t="s">
        <v>184</v>
      </c>
      <c r="AK58" s="1357"/>
      <c r="AL58" s="110"/>
      <c r="AM58" s="110"/>
      <c r="AN58" s="108"/>
      <c r="AP58" s="348">
        <v>3930</v>
      </c>
      <c r="AQ58" s="106"/>
      <c r="AR58" s="106"/>
      <c r="AS58" s="131"/>
      <c r="AU58" s="1354"/>
      <c r="AV58" s="110"/>
      <c r="AW58" s="110"/>
      <c r="AX58" s="108"/>
      <c r="AZ58" s="353" t="s">
        <v>766</v>
      </c>
      <c r="BA58" s="1355"/>
      <c r="BB58" s="136" t="s">
        <v>767</v>
      </c>
      <c r="BC58" s="1355"/>
      <c r="BD58" s="353" t="s">
        <v>766</v>
      </c>
      <c r="BE58" s="1355"/>
      <c r="BF58" s="353" t="s">
        <v>663</v>
      </c>
      <c r="BH58" s="140">
        <v>4250</v>
      </c>
      <c r="BJ58" s="104" t="s">
        <v>785</v>
      </c>
      <c r="BL58" s="109"/>
      <c r="BM58" s="146"/>
      <c r="BN58" s="146"/>
      <c r="BO58" s="147"/>
      <c r="BQ58" s="109"/>
      <c r="BR58" s="146"/>
      <c r="BS58" s="146"/>
      <c r="BT58" s="146"/>
      <c r="BU58" s="147"/>
      <c r="BW58" s="109"/>
      <c r="BX58" s="146"/>
      <c r="BY58" s="146"/>
      <c r="BZ58" s="146"/>
      <c r="CA58" s="147"/>
      <c r="CC58" s="152">
        <v>0.93</v>
      </c>
    </row>
    <row r="59" spans="1:81" ht="75">
      <c r="A59" s="1403"/>
      <c r="B59" s="120" t="s">
        <v>210</v>
      </c>
      <c r="C59" s="121" t="s">
        <v>180</v>
      </c>
      <c r="D59" s="122" t="s">
        <v>181</v>
      </c>
      <c r="F59" s="327">
        <v>26160</v>
      </c>
      <c r="G59" s="328">
        <v>34030</v>
      </c>
      <c r="H59" s="105" t="s">
        <v>182</v>
      </c>
      <c r="I59" s="329">
        <v>240</v>
      </c>
      <c r="J59" s="330">
        <v>320</v>
      </c>
      <c r="K59" s="331" t="s">
        <v>661</v>
      </c>
      <c r="L59" s="105" t="s">
        <v>182</v>
      </c>
      <c r="M59" s="1353">
        <v>820</v>
      </c>
      <c r="N59" s="106" t="s">
        <v>182</v>
      </c>
      <c r="O59" s="106">
        <v>8</v>
      </c>
      <c r="P59" s="131" t="s">
        <v>184</v>
      </c>
      <c r="Q59" s="105" t="s">
        <v>182</v>
      </c>
      <c r="R59" s="1353">
        <v>3500</v>
      </c>
      <c r="S59" s="106" t="s">
        <v>182</v>
      </c>
      <c r="T59" s="106">
        <v>30</v>
      </c>
      <c r="U59" s="131" t="s">
        <v>184</v>
      </c>
      <c r="V59" s="105" t="s">
        <v>182</v>
      </c>
      <c r="W59" s="342">
        <v>7870</v>
      </c>
      <c r="X59" s="126">
        <v>70</v>
      </c>
      <c r="Y59" s="122" t="s">
        <v>183</v>
      </c>
      <c r="AA59" s="344"/>
      <c r="AF59" s="344" t="s">
        <v>185</v>
      </c>
      <c r="AJ59" s="105" t="s">
        <v>182</v>
      </c>
      <c r="AK59" s="1356">
        <v>640</v>
      </c>
      <c r="AL59" s="106" t="s">
        <v>182</v>
      </c>
      <c r="AM59" s="106">
        <v>6</v>
      </c>
      <c r="AN59" s="131" t="s">
        <v>184</v>
      </c>
      <c r="AP59" s="349" t="s">
        <v>211</v>
      </c>
      <c r="AQ59" s="106" t="s">
        <v>182</v>
      </c>
      <c r="AR59" s="106">
        <v>30</v>
      </c>
      <c r="AS59" s="131" t="s">
        <v>187</v>
      </c>
      <c r="AT59" s="105" t="s">
        <v>182</v>
      </c>
      <c r="AU59" s="1353">
        <v>570</v>
      </c>
      <c r="AV59" s="106" t="s">
        <v>182</v>
      </c>
      <c r="AW59" s="106">
        <v>5</v>
      </c>
      <c r="AX59" s="131" t="s">
        <v>184</v>
      </c>
      <c r="AY59" s="105" t="s">
        <v>182</v>
      </c>
      <c r="AZ59" s="352">
        <v>370</v>
      </c>
      <c r="BA59" s="1355" t="s">
        <v>664</v>
      </c>
      <c r="BB59" s="127">
        <v>3</v>
      </c>
      <c r="BC59" s="1355" t="s">
        <v>664</v>
      </c>
      <c r="BD59" s="352">
        <v>60</v>
      </c>
      <c r="BE59" s="1355" t="s">
        <v>664</v>
      </c>
      <c r="BF59" s="352">
        <v>1</v>
      </c>
      <c r="BH59" s="139" t="s">
        <v>777</v>
      </c>
      <c r="BI59" s="2" t="s">
        <v>182</v>
      </c>
      <c r="BJ59" s="130">
        <v>235</v>
      </c>
      <c r="BK59" s="105" t="s">
        <v>188</v>
      </c>
      <c r="BL59" s="132">
        <v>830</v>
      </c>
      <c r="BM59" s="153" t="s">
        <v>189</v>
      </c>
      <c r="BN59" s="153">
        <v>8</v>
      </c>
      <c r="BO59" s="154" t="s">
        <v>184</v>
      </c>
      <c r="BP59" s="105" t="s">
        <v>188</v>
      </c>
      <c r="BQ59" s="132">
        <v>3500</v>
      </c>
      <c r="BR59" s="153" t="s">
        <v>189</v>
      </c>
      <c r="BS59" s="153">
        <v>30</v>
      </c>
      <c r="BT59" s="153" t="s">
        <v>184</v>
      </c>
      <c r="BU59" s="154" t="s">
        <v>190</v>
      </c>
      <c r="BV59" s="105" t="s">
        <v>188</v>
      </c>
      <c r="BW59" s="132">
        <v>2610</v>
      </c>
      <c r="BX59" s="153" t="s">
        <v>189</v>
      </c>
      <c r="BY59" s="153">
        <v>20</v>
      </c>
      <c r="BZ59" s="153" t="s">
        <v>184</v>
      </c>
      <c r="CA59" s="154" t="s">
        <v>190</v>
      </c>
      <c r="CC59" s="152" t="s">
        <v>191</v>
      </c>
    </row>
    <row r="60" spans="1:81" ht="37.5">
      <c r="A60" s="1403"/>
      <c r="B60" s="103"/>
      <c r="C60" s="104"/>
      <c r="D60" s="122" t="s">
        <v>192</v>
      </c>
      <c r="F60" s="332">
        <v>34030</v>
      </c>
      <c r="G60" s="333"/>
      <c r="H60" s="105" t="s">
        <v>182</v>
      </c>
      <c r="I60" s="334">
        <v>320</v>
      </c>
      <c r="J60" s="335"/>
      <c r="K60" s="336" t="s">
        <v>661</v>
      </c>
      <c r="M60" s="1354"/>
      <c r="N60" s="106"/>
      <c r="O60" s="106"/>
      <c r="P60" s="131"/>
      <c r="R60" s="1354"/>
      <c r="S60" s="106"/>
      <c r="T60" s="106"/>
      <c r="U60" s="131"/>
      <c r="V60" s="105" t="s">
        <v>182</v>
      </c>
      <c r="W60" s="334">
        <v>7870</v>
      </c>
      <c r="X60" s="133">
        <v>70</v>
      </c>
      <c r="Y60" s="122" t="s">
        <v>183</v>
      </c>
      <c r="Z60" s="105" t="s">
        <v>182</v>
      </c>
      <c r="AA60" s="345">
        <v>55150</v>
      </c>
      <c r="AB60" s="134" t="s">
        <v>182</v>
      </c>
      <c r="AC60" s="134">
        <v>550</v>
      </c>
      <c r="AD60" s="135" t="s">
        <v>184</v>
      </c>
      <c r="AE60" s="105" t="s">
        <v>182</v>
      </c>
      <c r="AF60" s="345">
        <v>47280</v>
      </c>
      <c r="AG60" s="134" t="s">
        <v>182</v>
      </c>
      <c r="AH60" s="134">
        <v>470</v>
      </c>
      <c r="AI60" s="135" t="s">
        <v>184</v>
      </c>
      <c r="AK60" s="1357"/>
      <c r="AL60" s="106"/>
      <c r="AM60" s="106"/>
      <c r="AN60" s="131"/>
      <c r="AP60" s="348">
        <v>3500</v>
      </c>
      <c r="AQ60" s="106"/>
      <c r="AR60" s="106"/>
      <c r="AS60" s="131"/>
      <c r="AU60" s="1354"/>
      <c r="AV60" s="106"/>
      <c r="AW60" s="106"/>
      <c r="AX60" s="131"/>
      <c r="AZ60" s="353" t="s">
        <v>766</v>
      </c>
      <c r="BA60" s="1355"/>
      <c r="BB60" s="136" t="s">
        <v>767</v>
      </c>
      <c r="BC60" s="1355"/>
      <c r="BD60" s="353" t="s">
        <v>766</v>
      </c>
      <c r="BE60" s="1355"/>
      <c r="BF60" s="353" t="s">
        <v>663</v>
      </c>
      <c r="BH60" s="140">
        <v>3920</v>
      </c>
      <c r="BJ60" s="130" t="s">
        <v>785</v>
      </c>
      <c r="BL60" s="132"/>
      <c r="BM60" s="153"/>
      <c r="BN60" s="153"/>
      <c r="BO60" s="154"/>
      <c r="BQ60" s="132"/>
      <c r="BR60" s="153"/>
      <c r="BS60" s="153"/>
      <c r="BT60" s="153"/>
      <c r="BU60" s="154"/>
      <c r="BW60" s="132"/>
      <c r="BX60" s="153"/>
      <c r="BY60" s="153"/>
      <c r="BZ60" s="153"/>
      <c r="CA60" s="154"/>
      <c r="CC60" s="152">
        <v>0.96</v>
      </c>
    </row>
    <row r="61" spans="1:81" ht="75">
      <c r="A61" s="1403"/>
      <c r="B61" s="129" t="s">
        <v>212</v>
      </c>
      <c r="C61" s="130" t="s">
        <v>180</v>
      </c>
      <c r="D61" s="122" t="s">
        <v>181</v>
      </c>
      <c r="F61" s="327">
        <v>25570</v>
      </c>
      <c r="G61" s="328">
        <v>33440</v>
      </c>
      <c r="H61" s="105" t="s">
        <v>182</v>
      </c>
      <c r="I61" s="329">
        <v>230</v>
      </c>
      <c r="J61" s="330">
        <v>310</v>
      </c>
      <c r="K61" s="331" t="s">
        <v>661</v>
      </c>
      <c r="L61" s="105" t="s">
        <v>182</v>
      </c>
      <c r="M61" s="1353">
        <v>730</v>
      </c>
      <c r="N61" s="123" t="s">
        <v>182</v>
      </c>
      <c r="O61" s="123">
        <v>7</v>
      </c>
      <c r="P61" s="124" t="s">
        <v>184</v>
      </c>
      <c r="Q61" s="105" t="s">
        <v>182</v>
      </c>
      <c r="R61" s="1353">
        <v>3150</v>
      </c>
      <c r="S61" s="123" t="s">
        <v>182</v>
      </c>
      <c r="T61" s="123">
        <v>30</v>
      </c>
      <c r="U61" s="124" t="s">
        <v>184</v>
      </c>
      <c r="V61" s="105" t="s">
        <v>182</v>
      </c>
      <c r="W61" s="342">
        <v>7870</v>
      </c>
      <c r="X61" s="126">
        <v>70</v>
      </c>
      <c r="Y61" s="122" t="s">
        <v>183</v>
      </c>
      <c r="AA61" s="344"/>
      <c r="AF61" s="344" t="s">
        <v>185</v>
      </c>
      <c r="AJ61" s="105" t="s">
        <v>182</v>
      </c>
      <c r="AK61" s="1356">
        <v>570</v>
      </c>
      <c r="AL61" s="123" t="s">
        <v>182</v>
      </c>
      <c r="AM61" s="123">
        <v>5</v>
      </c>
      <c r="AN61" s="124" t="s">
        <v>184</v>
      </c>
      <c r="AP61" s="349" t="s">
        <v>213</v>
      </c>
      <c r="AQ61" s="106" t="s">
        <v>182</v>
      </c>
      <c r="AR61" s="106">
        <v>30</v>
      </c>
      <c r="AS61" s="131" t="s">
        <v>187</v>
      </c>
      <c r="AT61" s="105" t="s">
        <v>182</v>
      </c>
      <c r="AU61" s="1353">
        <v>520</v>
      </c>
      <c r="AV61" s="123" t="s">
        <v>182</v>
      </c>
      <c r="AW61" s="123">
        <v>5</v>
      </c>
      <c r="AX61" s="124" t="s">
        <v>184</v>
      </c>
      <c r="AY61" s="105" t="s">
        <v>182</v>
      </c>
      <c r="AZ61" s="352">
        <v>350</v>
      </c>
      <c r="BA61" s="1355" t="s">
        <v>664</v>
      </c>
      <c r="BB61" s="127">
        <v>3</v>
      </c>
      <c r="BC61" s="1355" t="s">
        <v>664</v>
      </c>
      <c r="BD61" s="352">
        <v>60</v>
      </c>
      <c r="BE61" s="1355" t="s">
        <v>664</v>
      </c>
      <c r="BF61" s="352">
        <v>1</v>
      </c>
      <c r="BH61" s="139" t="s">
        <v>778</v>
      </c>
      <c r="BI61" s="2" t="s">
        <v>182</v>
      </c>
      <c r="BJ61" s="121">
        <v>235</v>
      </c>
      <c r="BK61" s="105" t="s">
        <v>188</v>
      </c>
      <c r="BL61" s="125">
        <v>750</v>
      </c>
      <c r="BM61" s="150" t="s">
        <v>189</v>
      </c>
      <c r="BN61" s="150">
        <v>8</v>
      </c>
      <c r="BO61" s="151" t="s">
        <v>184</v>
      </c>
      <c r="BP61" s="105" t="s">
        <v>188</v>
      </c>
      <c r="BQ61" s="125">
        <v>3150</v>
      </c>
      <c r="BR61" s="150" t="s">
        <v>189</v>
      </c>
      <c r="BS61" s="150">
        <v>30</v>
      </c>
      <c r="BT61" s="150" t="s">
        <v>184</v>
      </c>
      <c r="BU61" s="151" t="s">
        <v>190</v>
      </c>
      <c r="BV61" s="105" t="s">
        <v>188</v>
      </c>
      <c r="BW61" s="125">
        <v>2350</v>
      </c>
      <c r="BX61" s="150" t="s">
        <v>189</v>
      </c>
      <c r="BY61" s="150">
        <v>20</v>
      </c>
      <c r="BZ61" s="150" t="s">
        <v>184</v>
      </c>
      <c r="CA61" s="151" t="s">
        <v>190</v>
      </c>
      <c r="CC61" s="152" t="s">
        <v>191</v>
      </c>
    </row>
    <row r="62" spans="1:81" ht="37.5">
      <c r="A62" s="1403"/>
      <c r="B62" s="129"/>
      <c r="C62" s="130"/>
      <c r="D62" s="122" t="s">
        <v>192</v>
      </c>
      <c r="F62" s="332">
        <v>33440</v>
      </c>
      <c r="G62" s="333"/>
      <c r="H62" s="105" t="s">
        <v>182</v>
      </c>
      <c r="I62" s="334">
        <v>310</v>
      </c>
      <c r="J62" s="335"/>
      <c r="K62" s="336" t="s">
        <v>661</v>
      </c>
      <c r="M62" s="1354"/>
      <c r="N62" s="310"/>
      <c r="O62" s="310"/>
      <c r="P62" s="311"/>
      <c r="R62" s="1354"/>
      <c r="S62" s="310"/>
      <c r="T62" s="310"/>
      <c r="U62" s="311"/>
      <c r="V62" s="105" t="s">
        <v>182</v>
      </c>
      <c r="W62" s="334">
        <v>7870</v>
      </c>
      <c r="X62" s="133">
        <v>70</v>
      </c>
      <c r="Y62" s="122" t="s">
        <v>183</v>
      </c>
      <c r="Z62" s="105" t="s">
        <v>182</v>
      </c>
      <c r="AA62" s="345">
        <v>55150</v>
      </c>
      <c r="AB62" s="134" t="s">
        <v>182</v>
      </c>
      <c r="AC62" s="134">
        <v>550</v>
      </c>
      <c r="AD62" s="135" t="s">
        <v>184</v>
      </c>
      <c r="AE62" s="105" t="s">
        <v>182</v>
      </c>
      <c r="AF62" s="345">
        <v>47280</v>
      </c>
      <c r="AG62" s="134" t="s">
        <v>182</v>
      </c>
      <c r="AH62" s="134">
        <v>470</v>
      </c>
      <c r="AI62" s="135" t="s">
        <v>184</v>
      </c>
      <c r="AK62" s="1357"/>
      <c r="AL62" s="110"/>
      <c r="AM62" s="110"/>
      <c r="AN62" s="108"/>
      <c r="AP62" s="348">
        <v>3150</v>
      </c>
      <c r="AQ62" s="106"/>
      <c r="AR62" s="106"/>
      <c r="AS62" s="131"/>
      <c r="AU62" s="1354"/>
      <c r="AV62" s="110"/>
      <c r="AW62" s="110"/>
      <c r="AX62" s="108"/>
      <c r="AZ62" s="353" t="s">
        <v>766</v>
      </c>
      <c r="BA62" s="1355"/>
      <c r="BB62" s="136" t="s">
        <v>767</v>
      </c>
      <c r="BC62" s="1355"/>
      <c r="BD62" s="353" t="s">
        <v>766</v>
      </c>
      <c r="BE62" s="1355"/>
      <c r="BF62" s="353" t="s">
        <v>663</v>
      </c>
      <c r="BH62" s="140">
        <v>3660</v>
      </c>
      <c r="BJ62" s="104" t="s">
        <v>785</v>
      </c>
      <c r="BL62" s="109"/>
      <c r="BM62" s="146"/>
      <c r="BN62" s="146"/>
      <c r="BO62" s="147"/>
      <c r="BQ62" s="109"/>
      <c r="BR62" s="146"/>
      <c r="BS62" s="146"/>
      <c r="BT62" s="146"/>
      <c r="BU62" s="147"/>
      <c r="BW62" s="109"/>
      <c r="BX62" s="146"/>
      <c r="BY62" s="146"/>
      <c r="BZ62" s="146"/>
      <c r="CA62" s="147"/>
      <c r="CC62" s="152">
        <v>0.99</v>
      </c>
    </row>
    <row r="63" spans="1:81" ht="75">
      <c r="A63" s="1403"/>
      <c r="B63" s="120" t="s">
        <v>214</v>
      </c>
      <c r="C63" s="121" t="s">
        <v>180</v>
      </c>
      <c r="D63" s="122" t="s">
        <v>181</v>
      </c>
      <c r="F63" s="327">
        <v>24660</v>
      </c>
      <c r="G63" s="328">
        <v>32530</v>
      </c>
      <c r="H63" s="105" t="s">
        <v>182</v>
      </c>
      <c r="I63" s="329">
        <v>220</v>
      </c>
      <c r="J63" s="330">
        <v>300</v>
      </c>
      <c r="K63" s="331" t="s">
        <v>661</v>
      </c>
      <c r="L63" s="105" t="s">
        <v>182</v>
      </c>
      <c r="M63" s="1353">
        <v>610</v>
      </c>
      <c r="N63" s="106" t="s">
        <v>182</v>
      </c>
      <c r="O63" s="106">
        <v>6</v>
      </c>
      <c r="P63" s="131" t="s">
        <v>184</v>
      </c>
      <c r="Q63" s="105" t="s">
        <v>182</v>
      </c>
      <c r="R63" s="1353">
        <v>2620</v>
      </c>
      <c r="S63" s="106" t="s">
        <v>182</v>
      </c>
      <c r="T63" s="106">
        <v>20</v>
      </c>
      <c r="U63" s="131" t="s">
        <v>184</v>
      </c>
      <c r="V63" s="105" t="s">
        <v>182</v>
      </c>
      <c r="W63" s="342">
        <v>7870</v>
      </c>
      <c r="X63" s="126">
        <v>70</v>
      </c>
      <c r="Y63" s="122" t="s">
        <v>183</v>
      </c>
      <c r="AA63" s="344"/>
      <c r="AF63" s="344" t="s">
        <v>185</v>
      </c>
      <c r="AJ63" s="105" t="s">
        <v>182</v>
      </c>
      <c r="AK63" s="1356">
        <v>480</v>
      </c>
      <c r="AL63" s="106" t="s">
        <v>182</v>
      </c>
      <c r="AM63" s="106">
        <v>4</v>
      </c>
      <c r="AN63" s="131" t="s">
        <v>184</v>
      </c>
      <c r="AP63" s="349" t="s">
        <v>215</v>
      </c>
      <c r="AQ63" s="106" t="s">
        <v>182</v>
      </c>
      <c r="AR63" s="106">
        <v>20</v>
      </c>
      <c r="AS63" s="131" t="s">
        <v>187</v>
      </c>
      <c r="AT63" s="105" t="s">
        <v>182</v>
      </c>
      <c r="AU63" s="1353">
        <v>500</v>
      </c>
      <c r="AV63" s="106" t="s">
        <v>182</v>
      </c>
      <c r="AW63" s="106">
        <v>5</v>
      </c>
      <c r="AX63" s="131" t="s">
        <v>184</v>
      </c>
      <c r="AY63" s="105" t="s">
        <v>182</v>
      </c>
      <c r="AZ63" s="352">
        <v>300</v>
      </c>
      <c r="BA63" s="1355" t="s">
        <v>664</v>
      </c>
      <c r="BB63" s="127">
        <v>3</v>
      </c>
      <c r="BC63" s="1355" t="s">
        <v>664</v>
      </c>
      <c r="BD63" s="352">
        <v>50</v>
      </c>
      <c r="BE63" s="1355" t="s">
        <v>664</v>
      </c>
      <c r="BF63" s="352">
        <v>1</v>
      </c>
      <c r="BH63" s="139" t="s">
        <v>779</v>
      </c>
      <c r="BI63" s="2" t="s">
        <v>182</v>
      </c>
      <c r="BJ63" s="130">
        <v>235</v>
      </c>
      <c r="BK63" s="105" t="s">
        <v>188</v>
      </c>
      <c r="BL63" s="132">
        <v>620</v>
      </c>
      <c r="BM63" s="153" t="s">
        <v>189</v>
      </c>
      <c r="BN63" s="153">
        <v>6</v>
      </c>
      <c r="BO63" s="154" t="s">
        <v>184</v>
      </c>
      <c r="BP63" s="105" t="s">
        <v>188</v>
      </c>
      <c r="BQ63" s="132">
        <v>2620</v>
      </c>
      <c r="BR63" s="153" t="s">
        <v>189</v>
      </c>
      <c r="BS63" s="153">
        <v>20</v>
      </c>
      <c r="BT63" s="153" t="s">
        <v>184</v>
      </c>
      <c r="BU63" s="154" t="s">
        <v>190</v>
      </c>
      <c r="BV63" s="105" t="s">
        <v>188</v>
      </c>
      <c r="BW63" s="132">
        <v>1960</v>
      </c>
      <c r="BX63" s="153" t="s">
        <v>189</v>
      </c>
      <c r="BY63" s="153">
        <v>20</v>
      </c>
      <c r="BZ63" s="153" t="s">
        <v>184</v>
      </c>
      <c r="CA63" s="154" t="s">
        <v>190</v>
      </c>
      <c r="CC63" s="152" t="s">
        <v>191</v>
      </c>
    </row>
    <row r="64" spans="1:81" ht="37.5">
      <c r="A64" s="1403"/>
      <c r="B64" s="103"/>
      <c r="C64" s="104"/>
      <c r="D64" s="122" t="s">
        <v>192</v>
      </c>
      <c r="F64" s="332">
        <v>32530</v>
      </c>
      <c r="G64" s="333"/>
      <c r="H64" s="105" t="s">
        <v>182</v>
      </c>
      <c r="I64" s="334">
        <v>300</v>
      </c>
      <c r="J64" s="335"/>
      <c r="K64" s="336" t="s">
        <v>661</v>
      </c>
      <c r="M64" s="1354"/>
      <c r="N64" s="106"/>
      <c r="O64" s="106"/>
      <c r="P64" s="131"/>
      <c r="R64" s="1354"/>
      <c r="S64" s="106"/>
      <c r="T64" s="106"/>
      <c r="U64" s="131"/>
      <c r="V64" s="105" t="s">
        <v>182</v>
      </c>
      <c r="W64" s="334">
        <v>7870</v>
      </c>
      <c r="X64" s="133">
        <v>70</v>
      </c>
      <c r="Y64" s="122" t="s">
        <v>183</v>
      </c>
      <c r="Z64" s="105" t="s">
        <v>182</v>
      </c>
      <c r="AA64" s="345">
        <v>55150</v>
      </c>
      <c r="AB64" s="134" t="s">
        <v>182</v>
      </c>
      <c r="AC64" s="134">
        <v>550</v>
      </c>
      <c r="AD64" s="135" t="s">
        <v>184</v>
      </c>
      <c r="AE64" s="105" t="s">
        <v>182</v>
      </c>
      <c r="AF64" s="345">
        <v>47280</v>
      </c>
      <c r="AG64" s="134" t="s">
        <v>182</v>
      </c>
      <c r="AH64" s="134">
        <v>470</v>
      </c>
      <c r="AI64" s="135" t="s">
        <v>184</v>
      </c>
      <c r="AK64" s="1357"/>
      <c r="AL64" s="106"/>
      <c r="AM64" s="106"/>
      <c r="AN64" s="131"/>
      <c r="AP64" s="348">
        <v>2620</v>
      </c>
      <c r="AQ64" s="106"/>
      <c r="AR64" s="106"/>
      <c r="AS64" s="131"/>
      <c r="AU64" s="1354"/>
      <c r="AV64" s="106"/>
      <c r="AW64" s="106"/>
      <c r="AX64" s="131"/>
      <c r="AZ64" s="353" t="s">
        <v>766</v>
      </c>
      <c r="BA64" s="1355"/>
      <c r="BB64" s="136" t="s">
        <v>767</v>
      </c>
      <c r="BC64" s="1355"/>
      <c r="BD64" s="353" t="s">
        <v>766</v>
      </c>
      <c r="BE64" s="1355"/>
      <c r="BF64" s="353" t="s">
        <v>663</v>
      </c>
      <c r="BH64" s="140">
        <v>3160</v>
      </c>
      <c r="BJ64" s="130" t="s">
        <v>785</v>
      </c>
      <c r="BL64" s="132"/>
      <c r="BM64" s="153"/>
      <c r="BN64" s="153"/>
      <c r="BO64" s="154"/>
      <c r="BQ64" s="132"/>
      <c r="BR64" s="153"/>
      <c r="BS64" s="153"/>
      <c r="BT64" s="153"/>
      <c r="BU64" s="154"/>
      <c r="BW64" s="132"/>
      <c r="BX64" s="153"/>
      <c r="BY64" s="153"/>
      <c r="BZ64" s="153"/>
      <c r="CA64" s="154"/>
      <c r="CC64" s="152">
        <v>0.92</v>
      </c>
    </row>
    <row r="65" spans="1:81" ht="75">
      <c r="A65" s="1403"/>
      <c r="B65" s="129" t="s">
        <v>216</v>
      </c>
      <c r="C65" s="130" t="s">
        <v>180</v>
      </c>
      <c r="D65" s="122" t="s">
        <v>181</v>
      </c>
      <c r="F65" s="327">
        <v>24000</v>
      </c>
      <c r="G65" s="328">
        <v>31870</v>
      </c>
      <c r="H65" s="105" t="s">
        <v>182</v>
      </c>
      <c r="I65" s="329">
        <v>220</v>
      </c>
      <c r="J65" s="330">
        <v>300</v>
      </c>
      <c r="K65" s="331" t="s">
        <v>661</v>
      </c>
      <c r="L65" s="105" t="s">
        <v>182</v>
      </c>
      <c r="M65" s="1353">
        <v>520</v>
      </c>
      <c r="N65" s="123" t="s">
        <v>182</v>
      </c>
      <c r="O65" s="123">
        <v>5</v>
      </c>
      <c r="P65" s="124" t="s">
        <v>184</v>
      </c>
      <c r="Q65" s="105" t="s">
        <v>182</v>
      </c>
      <c r="R65" s="1353">
        <v>2250</v>
      </c>
      <c r="S65" s="123" t="s">
        <v>182</v>
      </c>
      <c r="T65" s="123">
        <v>20</v>
      </c>
      <c r="U65" s="124" t="s">
        <v>184</v>
      </c>
      <c r="V65" s="105" t="s">
        <v>182</v>
      </c>
      <c r="W65" s="342">
        <v>7870</v>
      </c>
      <c r="X65" s="126">
        <v>70</v>
      </c>
      <c r="Y65" s="122" t="s">
        <v>183</v>
      </c>
      <c r="AA65" s="344"/>
      <c r="AF65" s="344" t="s">
        <v>185</v>
      </c>
      <c r="AJ65" s="105" t="s">
        <v>182</v>
      </c>
      <c r="AK65" s="1356">
        <v>410</v>
      </c>
      <c r="AL65" s="123" t="s">
        <v>182</v>
      </c>
      <c r="AM65" s="123">
        <v>4</v>
      </c>
      <c r="AN65" s="124" t="s">
        <v>184</v>
      </c>
      <c r="AP65" s="349" t="s">
        <v>217</v>
      </c>
      <c r="AQ65" s="106" t="s">
        <v>182</v>
      </c>
      <c r="AR65" s="106">
        <v>20</v>
      </c>
      <c r="AS65" s="131" t="s">
        <v>187</v>
      </c>
      <c r="AT65" s="105" t="s">
        <v>182</v>
      </c>
      <c r="AU65" s="1353">
        <v>500</v>
      </c>
      <c r="AV65" s="123" t="s">
        <v>182</v>
      </c>
      <c r="AW65" s="123">
        <v>5</v>
      </c>
      <c r="AX65" s="124" t="s">
        <v>184</v>
      </c>
      <c r="AY65" s="105" t="s">
        <v>182</v>
      </c>
      <c r="AZ65" s="352">
        <v>270</v>
      </c>
      <c r="BA65" s="1355" t="s">
        <v>664</v>
      </c>
      <c r="BB65" s="127">
        <v>2</v>
      </c>
      <c r="BC65" s="1355" t="s">
        <v>664</v>
      </c>
      <c r="BD65" s="352">
        <v>40</v>
      </c>
      <c r="BE65" s="1355" t="s">
        <v>664</v>
      </c>
      <c r="BF65" s="352">
        <v>1</v>
      </c>
      <c r="BH65" s="139" t="s">
        <v>780</v>
      </c>
      <c r="BI65" s="2" t="s">
        <v>182</v>
      </c>
      <c r="BJ65" s="121">
        <v>235</v>
      </c>
      <c r="BK65" s="105" t="s">
        <v>188</v>
      </c>
      <c r="BL65" s="125">
        <v>530</v>
      </c>
      <c r="BM65" s="150" t="s">
        <v>189</v>
      </c>
      <c r="BN65" s="150">
        <v>5</v>
      </c>
      <c r="BO65" s="151" t="s">
        <v>184</v>
      </c>
      <c r="BP65" s="105" t="s">
        <v>188</v>
      </c>
      <c r="BQ65" s="125">
        <v>2250</v>
      </c>
      <c r="BR65" s="150" t="s">
        <v>189</v>
      </c>
      <c r="BS65" s="150">
        <v>20</v>
      </c>
      <c r="BT65" s="150" t="s">
        <v>184</v>
      </c>
      <c r="BU65" s="151" t="s">
        <v>190</v>
      </c>
      <c r="BV65" s="105" t="s">
        <v>188</v>
      </c>
      <c r="BW65" s="125">
        <v>1680</v>
      </c>
      <c r="BX65" s="150" t="s">
        <v>189</v>
      </c>
      <c r="BY65" s="150">
        <v>10</v>
      </c>
      <c r="BZ65" s="150" t="s">
        <v>184</v>
      </c>
      <c r="CA65" s="151" t="s">
        <v>190</v>
      </c>
      <c r="CC65" s="152" t="s">
        <v>191</v>
      </c>
    </row>
    <row r="66" spans="1:81" ht="37.5">
      <c r="A66" s="1403"/>
      <c r="B66" s="129"/>
      <c r="C66" s="130"/>
      <c r="D66" s="122" t="s">
        <v>192</v>
      </c>
      <c r="F66" s="332">
        <v>31870</v>
      </c>
      <c r="G66" s="333"/>
      <c r="H66" s="105" t="s">
        <v>182</v>
      </c>
      <c r="I66" s="334">
        <v>300</v>
      </c>
      <c r="J66" s="335"/>
      <c r="K66" s="336" t="s">
        <v>661</v>
      </c>
      <c r="M66" s="1354"/>
      <c r="N66" s="310"/>
      <c r="O66" s="310"/>
      <c r="P66" s="311"/>
      <c r="R66" s="1354"/>
      <c r="S66" s="310"/>
      <c r="T66" s="310"/>
      <c r="U66" s="311"/>
      <c r="V66" s="105" t="s">
        <v>182</v>
      </c>
      <c r="W66" s="334">
        <v>7870</v>
      </c>
      <c r="X66" s="133">
        <v>70</v>
      </c>
      <c r="Y66" s="122" t="s">
        <v>183</v>
      </c>
      <c r="Z66" s="105" t="s">
        <v>182</v>
      </c>
      <c r="AA66" s="345">
        <v>55150</v>
      </c>
      <c r="AB66" s="134" t="s">
        <v>182</v>
      </c>
      <c r="AC66" s="134">
        <v>550</v>
      </c>
      <c r="AD66" s="135" t="s">
        <v>184</v>
      </c>
      <c r="AE66" s="105" t="s">
        <v>182</v>
      </c>
      <c r="AF66" s="345">
        <v>47280</v>
      </c>
      <c r="AG66" s="134" t="s">
        <v>182</v>
      </c>
      <c r="AH66" s="134">
        <v>470</v>
      </c>
      <c r="AI66" s="135" t="s">
        <v>184</v>
      </c>
      <c r="AK66" s="1357"/>
      <c r="AL66" s="110"/>
      <c r="AM66" s="110"/>
      <c r="AN66" s="108"/>
      <c r="AP66" s="348">
        <v>2250</v>
      </c>
      <c r="AQ66" s="106"/>
      <c r="AR66" s="106"/>
      <c r="AS66" s="131"/>
      <c r="AU66" s="1354"/>
      <c r="AV66" s="110"/>
      <c r="AW66" s="110"/>
      <c r="AX66" s="108"/>
      <c r="AZ66" s="353" t="s">
        <v>766</v>
      </c>
      <c r="BA66" s="1355"/>
      <c r="BB66" s="136" t="s">
        <v>767</v>
      </c>
      <c r="BC66" s="1355"/>
      <c r="BD66" s="353" t="s">
        <v>766</v>
      </c>
      <c r="BE66" s="1355"/>
      <c r="BF66" s="353" t="s">
        <v>663</v>
      </c>
      <c r="BH66" s="140">
        <v>2810</v>
      </c>
      <c r="BJ66" s="104" t="s">
        <v>785</v>
      </c>
      <c r="BL66" s="109"/>
      <c r="BM66" s="146"/>
      <c r="BN66" s="146"/>
      <c r="BO66" s="147"/>
      <c r="BQ66" s="109"/>
      <c r="BR66" s="146"/>
      <c r="BS66" s="146"/>
      <c r="BT66" s="146"/>
      <c r="BU66" s="147"/>
      <c r="BW66" s="109"/>
      <c r="BX66" s="146"/>
      <c r="BY66" s="146"/>
      <c r="BZ66" s="146"/>
      <c r="CA66" s="147"/>
      <c r="CC66" s="152">
        <v>0.95</v>
      </c>
    </row>
    <row r="67" spans="1:81" ht="75">
      <c r="A67" s="1403"/>
      <c r="B67" s="120" t="s">
        <v>218</v>
      </c>
      <c r="C67" s="121" t="s">
        <v>180</v>
      </c>
      <c r="D67" s="122" t="s">
        <v>181</v>
      </c>
      <c r="F67" s="327">
        <v>23520</v>
      </c>
      <c r="G67" s="328">
        <v>31390</v>
      </c>
      <c r="H67" s="105" t="s">
        <v>182</v>
      </c>
      <c r="I67" s="329">
        <v>210</v>
      </c>
      <c r="J67" s="330">
        <v>290</v>
      </c>
      <c r="K67" s="331" t="s">
        <v>661</v>
      </c>
      <c r="L67" s="105" t="s">
        <v>182</v>
      </c>
      <c r="M67" s="1353">
        <v>460</v>
      </c>
      <c r="N67" s="106" t="s">
        <v>182</v>
      </c>
      <c r="O67" s="106">
        <v>4</v>
      </c>
      <c r="P67" s="131" t="s">
        <v>184</v>
      </c>
      <c r="Q67" s="105" t="s">
        <v>182</v>
      </c>
      <c r="R67" s="1353">
        <v>1960</v>
      </c>
      <c r="S67" s="106" t="s">
        <v>182</v>
      </c>
      <c r="T67" s="106">
        <v>10</v>
      </c>
      <c r="U67" s="131" t="s">
        <v>184</v>
      </c>
      <c r="V67" s="105" t="s">
        <v>182</v>
      </c>
      <c r="W67" s="342">
        <v>7870</v>
      </c>
      <c r="X67" s="126">
        <v>70</v>
      </c>
      <c r="Y67" s="122" t="s">
        <v>183</v>
      </c>
      <c r="AA67" s="344"/>
      <c r="AF67" s="344" t="s">
        <v>185</v>
      </c>
      <c r="AJ67" s="105" t="s">
        <v>182</v>
      </c>
      <c r="AK67" s="1356">
        <v>360</v>
      </c>
      <c r="AL67" s="106" t="s">
        <v>182</v>
      </c>
      <c r="AM67" s="106">
        <v>3</v>
      </c>
      <c r="AN67" s="131" t="s">
        <v>184</v>
      </c>
      <c r="AP67" s="349" t="s">
        <v>219</v>
      </c>
      <c r="AQ67" s="106" t="s">
        <v>182</v>
      </c>
      <c r="AR67" s="106">
        <v>10</v>
      </c>
      <c r="AS67" s="131" t="s">
        <v>187</v>
      </c>
      <c r="AT67" s="105" t="s">
        <v>182</v>
      </c>
      <c r="AU67" s="1353">
        <v>500</v>
      </c>
      <c r="AV67" s="106" t="s">
        <v>182</v>
      </c>
      <c r="AW67" s="106">
        <v>5</v>
      </c>
      <c r="AX67" s="131" t="s">
        <v>184</v>
      </c>
      <c r="AY67" s="105" t="s">
        <v>182</v>
      </c>
      <c r="AZ67" s="352">
        <v>250</v>
      </c>
      <c r="BA67" s="1355" t="s">
        <v>664</v>
      </c>
      <c r="BB67" s="127">
        <v>2</v>
      </c>
      <c r="BC67" s="1355" t="s">
        <v>664</v>
      </c>
      <c r="BD67" s="352">
        <v>40</v>
      </c>
      <c r="BE67" s="1355" t="s">
        <v>664</v>
      </c>
      <c r="BF67" s="352">
        <v>1</v>
      </c>
      <c r="BH67" s="139" t="s">
        <v>781</v>
      </c>
      <c r="BI67" s="2" t="s">
        <v>182</v>
      </c>
      <c r="BJ67" s="130">
        <v>235</v>
      </c>
      <c r="BK67" s="105" t="s">
        <v>188</v>
      </c>
      <c r="BL67" s="132">
        <v>460</v>
      </c>
      <c r="BM67" s="153" t="s">
        <v>189</v>
      </c>
      <c r="BN67" s="153">
        <v>5</v>
      </c>
      <c r="BO67" s="154" t="s">
        <v>184</v>
      </c>
      <c r="BP67" s="105" t="s">
        <v>188</v>
      </c>
      <c r="BQ67" s="132">
        <v>1970</v>
      </c>
      <c r="BR67" s="153" t="s">
        <v>189</v>
      </c>
      <c r="BS67" s="153">
        <v>20</v>
      </c>
      <c r="BT67" s="153" t="s">
        <v>184</v>
      </c>
      <c r="BU67" s="154" t="s">
        <v>190</v>
      </c>
      <c r="BV67" s="105" t="s">
        <v>188</v>
      </c>
      <c r="BW67" s="132">
        <v>1470</v>
      </c>
      <c r="BX67" s="153" t="s">
        <v>189</v>
      </c>
      <c r="BY67" s="153">
        <v>10</v>
      </c>
      <c r="BZ67" s="153" t="s">
        <v>184</v>
      </c>
      <c r="CA67" s="154" t="s">
        <v>190</v>
      </c>
      <c r="CC67" s="152" t="s">
        <v>191</v>
      </c>
    </row>
    <row r="68" spans="1:81" ht="37.5">
      <c r="A68" s="1403"/>
      <c r="B68" s="103"/>
      <c r="C68" s="104"/>
      <c r="D68" s="122" t="s">
        <v>192</v>
      </c>
      <c r="F68" s="332">
        <v>31390</v>
      </c>
      <c r="G68" s="333"/>
      <c r="H68" s="105" t="s">
        <v>182</v>
      </c>
      <c r="I68" s="334">
        <v>290</v>
      </c>
      <c r="J68" s="335"/>
      <c r="K68" s="336" t="s">
        <v>661</v>
      </c>
      <c r="M68" s="1354"/>
      <c r="N68" s="106"/>
      <c r="O68" s="106"/>
      <c r="P68" s="131"/>
      <c r="R68" s="1354"/>
      <c r="S68" s="106"/>
      <c r="T68" s="106"/>
      <c r="U68" s="131"/>
      <c r="V68" s="105" t="s">
        <v>182</v>
      </c>
      <c r="W68" s="334">
        <v>7870</v>
      </c>
      <c r="X68" s="133">
        <v>70</v>
      </c>
      <c r="Y68" s="122" t="s">
        <v>183</v>
      </c>
      <c r="Z68" s="105" t="s">
        <v>182</v>
      </c>
      <c r="AA68" s="345">
        <v>55150</v>
      </c>
      <c r="AB68" s="134" t="s">
        <v>182</v>
      </c>
      <c r="AC68" s="134">
        <v>550</v>
      </c>
      <c r="AD68" s="135" t="s">
        <v>184</v>
      </c>
      <c r="AE68" s="105" t="s">
        <v>182</v>
      </c>
      <c r="AF68" s="345">
        <v>47280</v>
      </c>
      <c r="AG68" s="134" t="s">
        <v>182</v>
      </c>
      <c r="AH68" s="134">
        <v>470</v>
      </c>
      <c r="AI68" s="135" t="s">
        <v>184</v>
      </c>
      <c r="AK68" s="1357"/>
      <c r="AL68" s="106"/>
      <c r="AM68" s="106"/>
      <c r="AN68" s="131"/>
      <c r="AP68" s="348">
        <v>1960</v>
      </c>
      <c r="AQ68" s="106"/>
      <c r="AR68" s="106"/>
      <c r="AS68" s="131"/>
      <c r="AU68" s="1354"/>
      <c r="AV68" s="106"/>
      <c r="AW68" s="106"/>
      <c r="AX68" s="131"/>
      <c r="AZ68" s="353" t="s">
        <v>766</v>
      </c>
      <c r="BA68" s="1355"/>
      <c r="BB68" s="136" t="s">
        <v>767</v>
      </c>
      <c r="BC68" s="1355"/>
      <c r="BD68" s="353" t="s">
        <v>766</v>
      </c>
      <c r="BE68" s="1355"/>
      <c r="BF68" s="353" t="s">
        <v>663</v>
      </c>
      <c r="BH68" s="140">
        <v>2540</v>
      </c>
      <c r="BJ68" s="130" t="s">
        <v>785</v>
      </c>
      <c r="BL68" s="132"/>
      <c r="BM68" s="153"/>
      <c r="BN68" s="153"/>
      <c r="BO68" s="154"/>
      <c r="BQ68" s="132"/>
      <c r="BR68" s="153"/>
      <c r="BS68" s="153"/>
      <c r="BT68" s="153"/>
      <c r="BU68" s="154"/>
      <c r="BW68" s="132"/>
      <c r="BX68" s="153"/>
      <c r="BY68" s="153"/>
      <c r="BZ68" s="153"/>
      <c r="CA68" s="154"/>
      <c r="CC68" s="152">
        <v>0.99</v>
      </c>
    </row>
    <row r="69" spans="1:81" ht="75">
      <c r="A69" s="1403"/>
      <c r="B69" s="129" t="s">
        <v>220</v>
      </c>
      <c r="C69" s="130" t="s">
        <v>180</v>
      </c>
      <c r="D69" s="122" t="s">
        <v>181</v>
      </c>
      <c r="F69" s="327">
        <v>23140</v>
      </c>
      <c r="G69" s="328">
        <v>31010</v>
      </c>
      <c r="H69" s="105" t="s">
        <v>182</v>
      </c>
      <c r="I69" s="329">
        <v>210</v>
      </c>
      <c r="J69" s="330">
        <v>290</v>
      </c>
      <c r="K69" s="331" t="s">
        <v>661</v>
      </c>
      <c r="L69" s="105" t="s">
        <v>182</v>
      </c>
      <c r="M69" s="1353">
        <v>410</v>
      </c>
      <c r="N69" s="123" t="s">
        <v>182</v>
      </c>
      <c r="O69" s="123">
        <v>4</v>
      </c>
      <c r="P69" s="124" t="s">
        <v>184</v>
      </c>
      <c r="Q69" s="105" t="s">
        <v>182</v>
      </c>
      <c r="R69" s="1353">
        <v>1750</v>
      </c>
      <c r="S69" s="123" t="s">
        <v>182</v>
      </c>
      <c r="T69" s="123">
        <v>10</v>
      </c>
      <c r="U69" s="124" t="s">
        <v>184</v>
      </c>
      <c r="V69" s="105" t="s">
        <v>182</v>
      </c>
      <c r="W69" s="342">
        <v>7870</v>
      </c>
      <c r="X69" s="126">
        <v>70</v>
      </c>
      <c r="Y69" s="122" t="s">
        <v>183</v>
      </c>
      <c r="AA69" s="344"/>
      <c r="AF69" s="344" t="s">
        <v>185</v>
      </c>
      <c r="AJ69" s="105" t="s">
        <v>182</v>
      </c>
      <c r="AK69" s="1356">
        <v>320</v>
      </c>
      <c r="AL69" s="123" t="s">
        <v>182</v>
      </c>
      <c r="AM69" s="123">
        <v>3</v>
      </c>
      <c r="AN69" s="124" t="s">
        <v>184</v>
      </c>
      <c r="AP69" s="349" t="s">
        <v>221</v>
      </c>
      <c r="AQ69" s="106" t="s">
        <v>182</v>
      </c>
      <c r="AR69" s="106">
        <v>10</v>
      </c>
      <c r="AS69" s="131" t="s">
        <v>187</v>
      </c>
      <c r="AT69" s="105" t="s">
        <v>182</v>
      </c>
      <c r="AU69" s="1353">
        <v>500</v>
      </c>
      <c r="AV69" s="123" t="s">
        <v>182</v>
      </c>
      <c r="AW69" s="123">
        <v>5</v>
      </c>
      <c r="AX69" s="124" t="s">
        <v>184</v>
      </c>
      <c r="AY69" s="105" t="s">
        <v>182</v>
      </c>
      <c r="AZ69" s="352">
        <v>220</v>
      </c>
      <c r="BA69" s="1355" t="s">
        <v>664</v>
      </c>
      <c r="BB69" s="127">
        <v>2</v>
      </c>
      <c r="BC69" s="1355" t="s">
        <v>664</v>
      </c>
      <c r="BD69" s="352">
        <v>40</v>
      </c>
      <c r="BE69" s="1355" t="s">
        <v>664</v>
      </c>
      <c r="BF69" s="352">
        <v>1</v>
      </c>
      <c r="BH69" s="139" t="s">
        <v>782</v>
      </c>
      <c r="BI69" s="2" t="s">
        <v>182</v>
      </c>
      <c r="BJ69" s="121">
        <v>235</v>
      </c>
      <c r="BK69" s="105" t="s">
        <v>188</v>
      </c>
      <c r="BL69" s="125">
        <v>410</v>
      </c>
      <c r="BM69" s="150" t="s">
        <v>189</v>
      </c>
      <c r="BN69" s="150">
        <v>4</v>
      </c>
      <c r="BO69" s="151" t="s">
        <v>184</v>
      </c>
      <c r="BP69" s="105" t="s">
        <v>188</v>
      </c>
      <c r="BQ69" s="125">
        <v>1750</v>
      </c>
      <c r="BR69" s="150" t="s">
        <v>189</v>
      </c>
      <c r="BS69" s="150">
        <v>10</v>
      </c>
      <c r="BT69" s="150" t="s">
        <v>184</v>
      </c>
      <c r="BU69" s="151" t="s">
        <v>190</v>
      </c>
      <c r="BV69" s="105" t="s">
        <v>188</v>
      </c>
      <c r="BW69" s="125">
        <v>1300</v>
      </c>
      <c r="BX69" s="150" t="s">
        <v>189</v>
      </c>
      <c r="BY69" s="150">
        <v>10</v>
      </c>
      <c r="BZ69" s="150" t="s">
        <v>184</v>
      </c>
      <c r="CA69" s="151" t="s">
        <v>190</v>
      </c>
      <c r="CC69" s="152" t="s">
        <v>191</v>
      </c>
    </row>
    <row r="70" spans="1:81" ht="37.5">
      <c r="A70" s="1403"/>
      <c r="B70" s="129"/>
      <c r="C70" s="130"/>
      <c r="D70" s="122" t="s">
        <v>192</v>
      </c>
      <c r="F70" s="332">
        <v>31010</v>
      </c>
      <c r="G70" s="333"/>
      <c r="H70" s="105" t="s">
        <v>182</v>
      </c>
      <c r="I70" s="334">
        <v>290</v>
      </c>
      <c r="J70" s="335"/>
      <c r="K70" s="336" t="s">
        <v>661</v>
      </c>
      <c r="M70" s="1354"/>
      <c r="N70" s="310"/>
      <c r="O70" s="310"/>
      <c r="P70" s="311"/>
      <c r="R70" s="1354"/>
      <c r="S70" s="310"/>
      <c r="T70" s="310"/>
      <c r="U70" s="311"/>
      <c r="V70" s="105" t="s">
        <v>182</v>
      </c>
      <c r="W70" s="334">
        <v>7870</v>
      </c>
      <c r="X70" s="133">
        <v>70</v>
      </c>
      <c r="Y70" s="122" t="s">
        <v>183</v>
      </c>
      <c r="Z70" s="105" t="s">
        <v>182</v>
      </c>
      <c r="AA70" s="345">
        <v>55150</v>
      </c>
      <c r="AB70" s="134" t="s">
        <v>182</v>
      </c>
      <c r="AC70" s="134">
        <v>550</v>
      </c>
      <c r="AD70" s="135" t="s">
        <v>184</v>
      </c>
      <c r="AE70" s="105" t="s">
        <v>182</v>
      </c>
      <c r="AF70" s="345">
        <v>47280</v>
      </c>
      <c r="AG70" s="134" t="s">
        <v>182</v>
      </c>
      <c r="AH70" s="134">
        <v>470</v>
      </c>
      <c r="AI70" s="135" t="s">
        <v>184</v>
      </c>
      <c r="AK70" s="1357"/>
      <c r="AL70" s="110"/>
      <c r="AM70" s="110"/>
      <c r="AN70" s="108"/>
      <c r="AP70" s="348">
        <v>1750</v>
      </c>
      <c r="AQ70" s="106"/>
      <c r="AR70" s="106"/>
      <c r="AS70" s="131"/>
      <c r="AU70" s="1354"/>
      <c r="AV70" s="110"/>
      <c r="AW70" s="110"/>
      <c r="AX70" s="108"/>
      <c r="AZ70" s="353" t="s">
        <v>766</v>
      </c>
      <c r="BA70" s="1355"/>
      <c r="BB70" s="136" t="s">
        <v>767</v>
      </c>
      <c r="BC70" s="1355"/>
      <c r="BD70" s="353" t="s">
        <v>766</v>
      </c>
      <c r="BE70" s="1355"/>
      <c r="BF70" s="353" t="s">
        <v>663</v>
      </c>
      <c r="BH70" s="140">
        <v>2440</v>
      </c>
      <c r="BJ70" s="104" t="s">
        <v>785</v>
      </c>
      <c r="BL70" s="109"/>
      <c r="BM70" s="146"/>
      <c r="BN70" s="146"/>
      <c r="BO70" s="147"/>
      <c r="BQ70" s="109"/>
      <c r="BR70" s="146"/>
      <c r="BS70" s="146"/>
      <c r="BT70" s="146"/>
      <c r="BU70" s="147"/>
      <c r="BW70" s="109"/>
      <c r="BX70" s="146"/>
      <c r="BY70" s="146"/>
      <c r="BZ70" s="146"/>
      <c r="CA70" s="147"/>
      <c r="CC70" s="152">
        <v>0.99</v>
      </c>
    </row>
    <row r="71" spans="1:81" ht="75">
      <c r="A71" s="1403"/>
      <c r="B71" s="120" t="s">
        <v>222</v>
      </c>
      <c r="C71" s="121" t="s">
        <v>180</v>
      </c>
      <c r="D71" s="122" t="s">
        <v>181</v>
      </c>
      <c r="F71" s="327">
        <v>22840</v>
      </c>
      <c r="G71" s="328">
        <v>30710</v>
      </c>
      <c r="H71" s="105" t="s">
        <v>182</v>
      </c>
      <c r="I71" s="329">
        <v>210</v>
      </c>
      <c r="J71" s="330">
        <v>280</v>
      </c>
      <c r="K71" s="331" t="s">
        <v>661</v>
      </c>
      <c r="L71" s="105" t="s">
        <v>182</v>
      </c>
      <c r="M71" s="1353">
        <v>360</v>
      </c>
      <c r="N71" s="106" t="s">
        <v>182</v>
      </c>
      <c r="O71" s="106">
        <v>3</v>
      </c>
      <c r="P71" s="131" t="s">
        <v>184</v>
      </c>
      <c r="Q71" s="105" t="s">
        <v>182</v>
      </c>
      <c r="R71" s="1353">
        <v>1570</v>
      </c>
      <c r="S71" s="106" t="s">
        <v>182</v>
      </c>
      <c r="T71" s="106">
        <v>10</v>
      </c>
      <c r="U71" s="131" t="s">
        <v>184</v>
      </c>
      <c r="V71" s="105" t="s">
        <v>182</v>
      </c>
      <c r="W71" s="342">
        <v>7870</v>
      </c>
      <c r="X71" s="126">
        <v>70</v>
      </c>
      <c r="Y71" s="122" t="s">
        <v>183</v>
      </c>
      <c r="AA71" s="344"/>
      <c r="AF71" s="344" t="s">
        <v>185</v>
      </c>
      <c r="AJ71" s="105" t="s">
        <v>182</v>
      </c>
      <c r="AK71" s="1356">
        <v>280</v>
      </c>
      <c r="AL71" s="106" t="s">
        <v>182</v>
      </c>
      <c r="AM71" s="106">
        <v>2</v>
      </c>
      <c r="AN71" s="131" t="s">
        <v>184</v>
      </c>
      <c r="AP71" s="349" t="s">
        <v>223</v>
      </c>
      <c r="AQ71" s="106" t="s">
        <v>182</v>
      </c>
      <c r="AR71" s="106">
        <v>10</v>
      </c>
      <c r="AS71" s="131" t="s">
        <v>187</v>
      </c>
      <c r="AT71" s="105" t="s">
        <v>182</v>
      </c>
      <c r="AU71" s="1353">
        <v>500</v>
      </c>
      <c r="AV71" s="106" t="s">
        <v>182</v>
      </c>
      <c r="AW71" s="106">
        <v>5</v>
      </c>
      <c r="AX71" s="131" t="s">
        <v>184</v>
      </c>
      <c r="AY71" s="105" t="s">
        <v>182</v>
      </c>
      <c r="AZ71" s="352">
        <v>200</v>
      </c>
      <c r="BA71" s="1355" t="s">
        <v>664</v>
      </c>
      <c r="BB71" s="127">
        <v>2</v>
      </c>
      <c r="BC71" s="1355" t="s">
        <v>664</v>
      </c>
      <c r="BD71" s="352">
        <v>30</v>
      </c>
      <c r="BE71" s="1355" t="s">
        <v>664</v>
      </c>
      <c r="BF71" s="352">
        <v>1</v>
      </c>
      <c r="BH71" s="139" t="s">
        <v>783</v>
      </c>
      <c r="BI71" s="2" t="s">
        <v>182</v>
      </c>
      <c r="BJ71" s="130">
        <v>235</v>
      </c>
      <c r="BK71" s="105" t="s">
        <v>188</v>
      </c>
      <c r="BL71" s="132">
        <v>370</v>
      </c>
      <c r="BM71" s="153" t="s">
        <v>189</v>
      </c>
      <c r="BN71" s="153">
        <v>4</v>
      </c>
      <c r="BO71" s="154" t="s">
        <v>184</v>
      </c>
      <c r="BP71" s="105" t="s">
        <v>188</v>
      </c>
      <c r="BQ71" s="132">
        <v>1570</v>
      </c>
      <c r="BR71" s="153" t="s">
        <v>189</v>
      </c>
      <c r="BS71" s="153">
        <v>10</v>
      </c>
      <c r="BT71" s="153" t="s">
        <v>184</v>
      </c>
      <c r="BU71" s="154" t="s">
        <v>190</v>
      </c>
      <c r="BV71" s="105" t="s">
        <v>188</v>
      </c>
      <c r="BW71" s="132">
        <v>1170</v>
      </c>
      <c r="BX71" s="153" t="s">
        <v>189</v>
      </c>
      <c r="BY71" s="153">
        <v>10</v>
      </c>
      <c r="BZ71" s="153" t="s">
        <v>184</v>
      </c>
      <c r="CA71" s="154" t="s">
        <v>190</v>
      </c>
      <c r="CC71" s="152" t="s">
        <v>191</v>
      </c>
    </row>
    <row r="72" spans="1:81" ht="37.5">
      <c r="A72" s="1403"/>
      <c r="B72" s="103"/>
      <c r="C72" s="104"/>
      <c r="D72" s="122" t="s">
        <v>192</v>
      </c>
      <c r="F72" s="332">
        <v>30710</v>
      </c>
      <c r="G72" s="333"/>
      <c r="H72" s="105" t="s">
        <v>182</v>
      </c>
      <c r="I72" s="334">
        <v>280</v>
      </c>
      <c r="J72" s="335"/>
      <c r="K72" s="336" t="s">
        <v>661</v>
      </c>
      <c r="M72" s="1354"/>
      <c r="N72" s="106"/>
      <c r="O72" s="106"/>
      <c r="P72" s="131"/>
      <c r="R72" s="1354"/>
      <c r="S72" s="106"/>
      <c r="T72" s="106"/>
      <c r="U72" s="131"/>
      <c r="V72" s="105" t="s">
        <v>182</v>
      </c>
      <c r="W72" s="334">
        <v>7870</v>
      </c>
      <c r="X72" s="133">
        <v>70</v>
      </c>
      <c r="Y72" s="122" t="s">
        <v>183</v>
      </c>
      <c r="Z72" s="105" t="s">
        <v>182</v>
      </c>
      <c r="AA72" s="345">
        <v>55150</v>
      </c>
      <c r="AB72" s="134" t="s">
        <v>182</v>
      </c>
      <c r="AC72" s="134">
        <v>550</v>
      </c>
      <c r="AD72" s="135" t="s">
        <v>184</v>
      </c>
      <c r="AE72" s="105" t="s">
        <v>182</v>
      </c>
      <c r="AF72" s="345">
        <v>47280</v>
      </c>
      <c r="AG72" s="134" t="s">
        <v>182</v>
      </c>
      <c r="AH72" s="134">
        <v>470</v>
      </c>
      <c r="AI72" s="135" t="s">
        <v>184</v>
      </c>
      <c r="AK72" s="1357"/>
      <c r="AL72" s="106"/>
      <c r="AM72" s="106"/>
      <c r="AN72" s="131"/>
      <c r="AP72" s="348">
        <v>1570</v>
      </c>
      <c r="AQ72" s="106"/>
      <c r="AR72" s="106"/>
      <c r="AS72" s="131"/>
      <c r="AU72" s="1354"/>
      <c r="AV72" s="106"/>
      <c r="AW72" s="106"/>
      <c r="AX72" s="131"/>
      <c r="AZ72" s="353" t="s">
        <v>766</v>
      </c>
      <c r="BA72" s="1355"/>
      <c r="BB72" s="136" t="s">
        <v>767</v>
      </c>
      <c r="BC72" s="1355"/>
      <c r="BD72" s="353" t="s">
        <v>766</v>
      </c>
      <c r="BE72" s="1355"/>
      <c r="BF72" s="353" t="s">
        <v>663</v>
      </c>
      <c r="BH72" s="140">
        <v>2360</v>
      </c>
      <c r="BJ72" s="130" t="s">
        <v>785</v>
      </c>
      <c r="BL72" s="132"/>
      <c r="BM72" s="153"/>
      <c r="BN72" s="153"/>
      <c r="BO72" s="154"/>
      <c r="BQ72" s="132"/>
      <c r="BR72" s="153"/>
      <c r="BS72" s="153"/>
      <c r="BT72" s="153"/>
      <c r="BU72" s="154"/>
      <c r="BW72" s="132"/>
      <c r="BX72" s="153"/>
      <c r="BY72" s="153"/>
      <c r="BZ72" s="153"/>
      <c r="CA72" s="154"/>
      <c r="CC72" s="152">
        <v>0.99</v>
      </c>
    </row>
    <row r="73" spans="1:81" ht="37.5">
      <c r="A73" s="1403"/>
      <c r="B73" s="120" t="s">
        <v>224</v>
      </c>
      <c r="C73" s="121" t="s">
        <v>180</v>
      </c>
      <c r="D73" s="122" t="s">
        <v>181</v>
      </c>
      <c r="F73" s="327">
        <v>22590</v>
      </c>
      <c r="G73" s="328">
        <v>30460</v>
      </c>
      <c r="H73" s="105" t="s">
        <v>182</v>
      </c>
      <c r="I73" s="329">
        <v>200</v>
      </c>
      <c r="J73" s="330">
        <v>280</v>
      </c>
      <c r="K73" s="331" t="s">
        <v>661</v>
      </c>
      <c r="L73" s="105" t="s">
        <v>182</v>
      </c>
      <c r="M73" s="1353">
        <v>330</v>
      </c>
      <c r="N73" s="123" t="s">
        <v>182</v>
      </c>
      <c r="O73" s="123">
        <v>3</v>
      </c>
      <c r="P73" s="124" t="s">
        <v>184</v>
      </c>
      <c r="R73" s="1358"/>
      <c r="S73" s="123"/>
      <c r="T73" s="123"/>
      <c r="U73" s="124"/>
      <c r="V73" s="105" t="s">
        <v>182</v>
      </c>
      <c r="W73" s="342">
        <v>7870</v>
      </c>
      <c r="X73" s="126">
        <v>70</v>
      </c>
      <c r="Y73" s="122" t="s">
        <v>183</v>
      </c>
      <c r="AA73" s="344"/>
      <c r="AF73" s="344" t="s">
        <v>185</v>
      </c>
      <c r="AJ73" s="105" t="s">
        <v>182</v>
      </c>
      <c r="AK73" s="1356">
        <v>260</v>
      </c>
      <c r="AL73" s="123" t="s">
        <v>182</v>
      </c>
      <c r="AM73" s="123">
        <v>2</v>
      </c>
      <c r="AN73" s="124" t="s">
        <v>184</v>
      </c>
      <c r="AP73" s="349" t="s">
        <v>225</v>
      </c>
      <c r="AQ73" s="106" t="s">
        <v>182</v>
      </c>
      <c r="AR73" s="106">
        <v>10</v>
      </c>
      <c r="AS73" s="131" t="s">
        <v>187</v>
      </c>
      <c r="AT73" s="105" t="s">
        <v>182</v>
      </c>
      <c r="AU73" s="1353">
        <v>500</v>
      </c>
      <c r="AV73" s="123" t="s">
        <v>182</v>
      </c>
      <c r="AW73" s="123">
        <v>5</v>
      </c>
      <c r="AX73" s="124" t="s">
        <v>184</v>
      </c>
      <c r="AY73" s="105" t="s">
        <v>182</v>
      </c>
      <c r="AZ73" s="352">
        <v>180</v>
      </c>
      <c r="BA73" s="1355" t="s">
        <v>664</v>
      </c>
      <c r="BB73" s="127">
        <v>1</v>
      </c>
      <c r="BC73" s="1355" t="s">
        <v>664</v>
      </c>
      <c r="BD73" s="352">
        <v>30</v>
      </c>
      <c r="BE73" s="1355" t="s">
        <v>664</v>
      </c>
      <c r="BF73" s="352">
        <v>1</v>
      </c>
      <c r="BH73" s="139" t="s">
        <v>784</v>
      </c>
      <c r="BI73" s="2" t="s">
        <v>182</v>
      </c>
      <c r="BJ73" s="121">
        <v>235</v>
      </c>
      <c r="BK73" s="105" t="s">
        <v>188</v>
      </c>
      <c r="BL73" s="125">
        <v>340</v>
      </c>
      <c r="BM73" s="150" t="s">
        <v>189</v>
      </c>
      <c r="BN73" s="150">
        <v>3</v>
      </c>
      <c r="BO73" s="151" t="s">
        <v>184</v>
      </c>
      <c r="BP73" s="105" t="s">
        <v>188</v>
      </c>
      <c r="BQ73" s="125">
        <v>1430</v>
      </c>
      <c r="BR73" s="150" t="s">
        <v>189</v>
      </c>
      <c r="BS73" s="150">
        <v>10</v>
      </c>
      <c r="BT73" s="150" t="s">
        <v>184</v>
      </c>
      <c r="BU73" s="151" t="s">
        <v>190</v>
      </c>
      <c r="BV73" s="105" t="s">
        <v>188</v>
      </c>
      <c r="BW73" s="125">
        <v>1070</v>
      </c>
      <c r="BX73" s="150" t="s">
        <v>189</v>
      </c>
      <c r="BY73" s="150">
        <v>10</v>
      </c>
      <c r="BZ73" s="150" t="s">
        <v>184</v>
      </c>
      <c r="CA73" s="151" t="s">
        <v>190</v>
      </c>
      <c r="CC73" s="152" t="s">
        <v>191</v>
      </c>
    </row>
    <row r="74" spans="1:81" ht="37.5">
      <c r="A74" s="1403"/>
      <c r="B74" s="103"/>
      <c r="C74" s="104"/>
      <c r="D74" s="122" t="s">
        <v>192</v>
      </c>
      <c r="F74" s="332">
        <v>30460</v>
      </c>
      <c r="G74" s="333"/>
      <c r="H74" s="105" t="s">
        <v>182</v>
      </c>
      <c r="I74" s="334">
        <v>280</v>
      </c>
      <c r="J74" s="335"/>
      <c r="K74" s="336" t="s">
        <v>661</v>
      </c>
      <c r="M74" s="1354"/>
      <c r="N74" s="310"/>
      <c r="O74" s="310"/>
      <c r="P74" s="311"/>
      <c r="R74" s="1358"/>
      <c r="S74" s="310"/>
      <c r="T74" s="310"/>
      <c r="U74" s="311"/>
      <c r="V74" s="105" t="s">
        <v>182</v>
      </c>
      <c r="W74" s="334">
        <v>7870</v>
      </c>
      <c r="X74" s="133">
        <v>70</v>
      </c>
      <c r="Y74" s="122" t="s">
        <v>183</v>
      </c>
      <c r="Z74" s="105" t="s">
        <v>182</v>
      </c>
      <c r="AA74" s="345">
        <v>55150</v>
      </c>
      <c r="AB74" s="134" t="s">
        <v>182</v>
      </c>
      <c r="AC74" s="134">
        <v>550</v>
      </c>
      <c r="AD74" s="135" t="s">
        <v>184</v>
      </c>
      <c r="AE74" s="105" t="s">
        <v>182</v>
      </c>
      <c r="AF74" s="345">
        <v>47280</v>
      </c>
      <c r="AG74" s="134" t="s">
        <v>182</v>
      </c>
      <c r="AH74" s="134">
        <v>470</v>
      </c>
      <c r="AI74" s="135" t="s">
        <v>184</v>
      </c>
      <c r="AK74" s="1357"/>
      <c r="AL74" s="110"/>
      <c r="AM74" s="110"/>
      <c r="AN74" s="108"/>
      <c r="AP74" s="350">
        <v>1430</v>
      </c>
      <c r="AQ74" s="110"/>
      <c r="AR74" s="110"/>
      <c r="AS74" s="108"/>
      <c r="AU74" s="1354"/>
      <c r="AV74" s="110"/>
      <c r="AW74" s="110"/>
      <c r="AX74" s="108"/>
      <c r="AZ74" s="353" t="s">
        <v>766</v>
      </c>
      <c r="BA74" s="1355"/>
      <c r="BB74" s="136" t="s">
        <v>767</v>
      </c>
      <c r="BC74" s="1355"/>
      <c r="BD74" s="353" t="s">
        <v>766</v>
      </c>
      <c r="BE74" s="1355"/>
      <c r="BF74" s="353" t="s">
        <v>663</v>
      </c>
      <c r="BH74" s="141">
        <v>2150</v>
      </c>
      <c r="BJ74" s="104" t="s">
        <v>785</v>
      </c>
      <c r="BL74" s="109"/>
      <c r="BM74" s="146"/>
      <c r="BN74" s="146"/>
      <c r="BO74" s="147"/>
      <c r="BQ74" s="109"/>
      <c r="BR74" s="146"/>
      <c r="BS74" s="146"/>
      <c r="BT74" s="146"/>
      <c r="BU74" s="147"/>
      <c r="BW74" s="109"/>
      <c r="BX74" s="146"/>
      <c r="BY74" s="146"/>
      <c r="BZ74" s="146"/>
      <c r="CA74" s="147"/>
      <c r="CC74" s="152">
        <v>0.99</v>
      </c>
    </row>
    <row r="75" spans="1:81" ht="37.5">
      <c r="A75" s="1403" t="s">
        <v>227</v>
      </c>
      <c r="B75" s="129" t="s">
        <v>179</v>
      </c>
      <c r="C75" s="130" t="s">
        <v>180</v>
      </c>
      <c r="D75" s="122" t="s">
        <v>181</v>
      </c>
      <c r="F75" s="327">
        <v>85010</v>
      </c>
      <c r="G75" s="328">
        <v>92820</v>
      </c>
      <c r="H75" s="105" t="s">
        <v>182</v>
      </c>
      <c r="I75" s="329">
        <v>830</v>
      </c>
      <c r="J75" s="330">
        <v>910</v>
      </c>
      <c r="K75" s="331" t="s">
        <v>661</v>
      </c>
      <c r="L75" s="105" t="s">
        <v>182</v>
      </c>
      <c r="M75" s="1353">
        <v>7310</v>
      </c>
      <c r="N75" s="106" t="s">
        <v>182</v>
      </c>
      <c r="O75" s="106">
        <v>70</v>
      </c>
      <c r="P75" s="131" t="s">
        <v>184</v>
      </c>
      <c r="Q75" s="105" t="s">
        <v>182</v>
      </c>
      <c r="R75" s="1353">
        <v>31260</v>
      </c>
      <c r="S75" s="106" t="s">
        <v>182</v>
      </c>
      <c r="T75" s="106">
        <v>310</v>
      </c>
      <c r="U75" s="131" t="s">
        <v>184</v>
      </c>
      <c r="V75" s="105" t="s">
        <v>182</v>
      </c>
      <c r="W75" s="342">
        <v>7810</v>
      </c>
      <c r="X75" s="126">
        <v>70</v>
      </c>
      <c r="Y75" s="122" t="s">
        <v>183</v>
      </c>
      <c r="AA75" s="344"/>
      <c r="AF75" s="344" t="s">
        <v>185</v>
      </c>
      <c r="AJ75" s="105" t="s">
        <v>182</v>
      </c>
      <c r="AK75" s="1356">
        <v>5780</v>
      </c>
      <c r="AL75" s="106" t="s">
        <v>182</v>
      </c>
      <c r="AM75" s="106">
        <v>50</v>
      </c>
      <c r="AN75" s="131" t="s">
        <v>184</v>
      </c>
      <c r="AO75" s="105" t="s">
        <v>182</v>
      </c>
      <c r="AP75" s="347" t="s">
        <v>186</v>
      </c>
      <c r="AQ75" s="123" t="s">
        <v>182</v>
      </c>
      <c r="AR75" s="123">
        <v>310</v>
      </c>
      <c r="AS75" s="124" t="s">
        <v>187</v>
      </c>
      <c r="AT75" s="105" t="s">
        <v>182</v>
      </c>
      <c r="AU75" s="1353">
        <v>3640</v>
      </c>
      <c r="AV75" s="106" t="s">
        <v>182</v>
      </c>
      <c r="AW75" s="106">
        <v>30</v>
      </c>
      <c r="AX75" s="131" t="s">
        <v>184</v>
      </c>
      <c r="AY75" s="105" t="s">
        <v>182</v>
      </c>
      <c r="AZ75" s="352">
        <v>2730</v>
      </c>
      <c r="BA75" s="1355" t="s">
        <v>664</v>
      </c>
      <c r="BB75" s="127">
        <v>20</v>
      </c>
      <c r="BC75" s="1355" t="s">
        <v>664</v>
      </c>
      <c r="BD75" s="352">
        <v>480</v>
      </c>
      <c r="BE75" s="1355" t="s">
        <v>664</v>
      </c>
      <c r="BF75" s="352">
        <v>4</v>
      </c>
      <c r="BG75" s="105" t="s">
        <v>182</v>
      </c>
      <c r="BH75" s="142" t="s">
        <v>768</v>
      </c>
      <c r="BI75" s="2" t="s">
        <v>182</v>
      </c>
      <c r="BJ75" s="130">
        <v>235</v>
      </c>
      <c r="BK75" s="105" t="s">
        <v>188</v>
      </c>
      <c r="BL75" s="132">
        <v>7500</v>
      </c>
      <c r="BM75" s="153" t="s">
        <v>189</v>
      </c>
      <c r="BN75" s="153">
        <v>70</v>
      </c>
      <c r="BO75" s="154" t="s">
        <v>184</v>
      </c>
      <c r="BP75" s="105" t="s">
        <v>188</v>
      </c>
      <c r="BQ75" s="132">
        <v>31260</v>
      </c>
      <c r="BR75" s="153" t="s">
        <v>189</v>
      </c>
      <c r="BS75" s="153">
        <v>310</v>
      </c>
      <c r="BT75" s="153" t="s">
        <v>184</v>
      </c>
      <c r="BU75" s="154" t="s">
        <v>190</v>
      </c>
      <c r="BV75" s="105" t="s">
        <v>188</v>
      </c>
      <c r="BW75" s="132">
        <v>23280</v>
      </c>
      <c r="BX75" s="153" t="s">
        <v>189</v>
      </c>
      <c r="BY75" s="153">
        <v>230</v>
      </c>
      <c r="BZ75" s="153" t="s">
        <v>184</v>
      </c>
      <c r="CA75" s="154" t="s">
        <v>190</v>
      </c>
      <c r="CC75" s="152" t="s">
        <v>191</v>
      </c>
    </row>
    <row r="76" spans="1:81" ht="37.5">
      <c r="A76" s="1403"/>
      <c r="B76" s="129"/>
      <c r="C76" s="130"/>
      <c r="D76" s="122" t="s">
        <v>192</v>
      </c>
      <c r="F76" s="332">
        <v>92820</v>
      </c>
      <c r="G76" s="333"/>
      <c r="H76" s="105" t="s">
        <v>182</v>
      </c>
      <c r="I76" s="334">
        <v>910</v>
      </c>
      <c r="J76" s="335"/>
      <c r="K76" s="336" t="s">
        <v>661</v>
      </c>
      <c r="M76" s="1354"/>
      <c r="N76" s="106"/>
      <c r="O76" s="106"/>
      <c r="P76" s="131"/>
      <c r="R76" s="1354"/>
      <c r="S76" s="106"/>
      <c r="T76" s="106"/>
      <c r="U76" s="131"/>
      <c r="V76" s="105" t="s">
        <v>182</v>
      </c>
      <c r="W76" s="334">
        <v>7810</v>
      </c>
      <c r="X76" s="133">
        <v>70</v>
      </c>
      <c r="Y76" s="122" t="s">
        <v>183</v>
      </c>
      <c r="Z76" s="105" t="s">
        <v>182</v>
      </c>
      <c r="AA76" s="345">
        <v>54720</v>
      </c>
      <c r="AB76" s="134" t="s">
        <v>182</v>
      </c>
      <c r="AC76" s="134">
        <v>540</v>
      </c>
      <c r="AD76" s="135" t="s">
        <v>184</v>
      </c>
      <c r="AE76" s="105" t="s">
        <v>182</v>
      </c>
      <c r="AF76" s="345">
        <v>46910</v>
      </c>
      <c r="AG76" s="134" t="s">
        <v>182</v>
      </c>
      <c r="AH76" s="134">
        <v>460</v>
      </c>
      <c r="AI76" s="135" t="s">
        <v>184</v>
      </c>
      <c r="AK76" s="1357"/>
      <c r="AL76" s="106"/>
      <c r="AM76" s="106"/>
      <c r="AN76" s="131"/>
      <c r="AP76" s="348">
        <v>31260</v>
      </c>
      <c r="AQ76" s="106"/>
      <c r="AR76" s="106"/>
      <c r="AS76" s="131"/>
      <c r="AU76" s="1354"/>
      <c r="AV76" s="106"/>
      <c r="AW76" s="106"/>
      <c r="AX76" s="131"/>
      <c r="AZ76" s="353" t="s">
        <v>766</v>
      </c>
      <c r="BA76" s="1355"/>
      <c r="BB76" s="136" t="s">
        <v>767</v>
      </c>
      <c r="BC76" s="1355"/>
      <c r="BD76" s="353" t="s">
        <v>766</v>
      </c>
      <c r="BE76" s="1355"/>
      <c r="BF76" s="353" t="s">
        <v>663</v>
      </c>
      <c r="BH76" s="140">
        <v>27330</v>
      </c>
      <c r="BJ76" s="130" t="s">
        <v>785</v>
      </c>
      <c r="BL76" s="132"/>
      <c r="BM76" s="153"/>
      <c r="BN76" s="153"/>
      <c r="BO76" s="154"/>
      <c r="BQ76" s="132"/>
      <c r="BR76" s="153"/>
      <c r="BS76" s="153"/>
      <c r="BT76" s="153"/>
      <c r="BU76" s="154"/>
      <c r="BW76" s="132"/>
      <c r="BX76" s="153"/>
      <c r="BY76" s="153"/>
      <c r="BZ76" s="153"/>
      <c r="CA76" s="154"/>
      <c r="CC76" s="152">
        <v>0.63</v>
      </c>
    </row>
    <row r="77" spans="1:81" ht="75">
      <c r="A77" s="1403"/>
      <c r="B77" s="120" t="s">
        <v>193</v>
      </c>
      <c r="C77" s="121" t="s">
        <v>180</v>
      </c>
      <c r="D77" s="122" t="s">
        <v>181</v>
      </c>
      <c r="F77" s="327">
        <v>52740</v>
      </c>
      <c r="G77" s="328">
        <v>60550</v>
      </c>
      <c r="H77" s="105" t="s">
        <v>182</v>
      </c>
      <c r="I77" s="329">
        <v>510</v>
      </c>
      <c r="J77" s="330">
        <v>580</v>
      </c>
      <c r="K77" s="331" t="s">
        <v>661</v>
      </c>
      <c r="L77" s="105" t="s">
        <v>182</v>
      </c>
      <c r="M77" s="1353">
        <v>4390</v>
      </c>
      <c r="N77" s="123" t="s">
        <v>182</v>
      </c>
      <c r="O77" s="123">
        <v>40</v>
      </c>
      <c r="P77" s="124" t="s">
        <v>184</v>
      </c>
      <c r="Q77" s="105" t="s">
        <v>182</v>
      </c>
      <c r="R77" s="1353">
        <v>18760</v>
      </c>
      <c r="S77" s="123" t="s">
        <v>182</v>
      </c>
      <c r="T77" s="123">
        <v>180</v>
      </c>
      <c r="U77" s="124" t="s">
        <v>184</v>
      </c>
      <c r="V77" s="105" t="s">
        <v>182</v>
      </c>
      <c r="W77" s="342">
        <v>7810</v>
      </c>
      <c r="X77" s="126">
        <v>70</v>
      </c>
      <c r="Y77" s="122" t="s">
        <v>183</v>
      </c>
      <c r="AA77" s="344"/>
      <c r="AF77" s="344" t="s">
        <v>185</v>
      </c>
      <c r="AJ77" s="105" t="s">
        <v>182</v>
      </c>
      <c r="AK77" s="1356">
        <v>3470</v>
      </c>
      <c r="AL77" s="123" t="s">
        <v>182</v>
      </c>
      <c r="AM77" s="123">
        <v>30</v>
      </c>
      <c r="AN77" s="124" t="s">
        <v>184</v>
      </c>
      <c r="AP77" s="349" t="s">
        <v>194</v>
      </c>
      <c r="AQ77" s="106" t="s">
        <v>182</v>
      </c>
      <c r="AR77" s="106">
        <v>180</v>
      </c>
      <c r="AS77" s="131" t="s">
        <v>187</v>
      </c>
      <c r="AT77" s="105" t="s">
        <v>182</v>
      </c>
      <c r="AU77" s="1353">
        <v>2490</v>
      </c>
      <c r="AV77" s="123" t="s">
        <v>182</v>
      </c>
      <c r="AW77" s="123">
        <v>20</v>
      </c>
      <c r="AX77" s="124" t="s">
        <v>184</v>
      </c>
      <c r="AY77" s="105" t="s">
        <v>182</v>
      </c>
      <c r="AZ77" s="352">
        <v>1630</v>
      </c>
      <c r="BA77" s="1355" t="s">
        <v>664</v>
      </c>
      <c r="BB77" s="127">
        <v>10</v>
      </c>
      <c r="BC77" s="1355" t="s">
        <v>664</v>
      </c>
      <c r="BD77" s="352">
        <v>290</v>
      </c>
      <c r="BE77" s="1355" t="s">
        <v>664</v>
      </c>
      <c r="BF77" s="352">
        <v>2</v>
      </c>
      <c r="BH77" s="139" t="s">
        <v>769</v>
      </c>
      <c r="BI77" s="2" t="s">
        <v>182</v>
      </c>
      <c r="BJ77" s="121">
        <v>235</v>
      </c>
      <c r="BK77" s="105" t="s">
        <v>188</v>
      </c>
      <c r="BL77" s="125">
        <v>4500</v>
      </c>
      <c r="BM77" s="150" t="s">
        <v>189</v>
      </c>
      <c r="BN77" s="150">
        <v>40</v>
      </c>
      <c r="BO77" s="151" t="s">
        <v>184</v>
      </c>
      <c r="BP77" s="105" t="s">
        <v>188</v>
      </c>
      <c r="BQ77" s="125">
        <v>18760</v>
      </c>
      <c r="BR77" s="150" t="s">
        <v>189</v>
      </c>
      <c r="BS77" s="150">
        <v>180</v>
      </c>
      <c r="BT77" s="150" t="s">
        <v>184</v>
      </c>
      <c r="BU77" s="151" t="s">
        <v>190</v>
      </c>
      <c r="BV77" s="105" t="s">
        <v>188</v>
      </c>
      <c r="BW77" s="132">
        <v>13970</v>
      </c>
      <c r="BX77" s="153" t="s">
        <v>189</v>
      </c>
      <c r="BY77" s="153">
        <v>140</v>
      </c>
      <c r="BZ77" s="153" t="s">
        <v>184</v>
      </c>
      <c r="CA77" s="154" t="s">
        <v>190</v>
      </c>
      <c r="CC77" s="152" t="s">
        <v>191</v>
      </c>
    </row>
    <row r="78" spans="1:81" ht="37.5">
      <c r="A78" s="1403"/>
      <c r="B78" s="103"/>
      <c r="C78" s="104"/>
      <c r="D78" s="122" t="s">
        <v>192</v>
      </c>
      <c r="F78" s="332">
        <v>60550</v>
      </c>
      <c r="G78" s="333"/>
      <c r="H78" s="105" t="s">
        <v>182</v>
      </c>
      <c r="I78" s="334">
        <v>580</v>
      </c>
      <c r="J78" s="335"/>
      <c r="K78" s="336" t="s">
        <v>661</v>
      </c>
      <c r="M78" s="1354"/>
      <c r="N78" s="310"/>
      <c r="O78" s="310"/>
      <c r="P78" s="311"/>
      <c r="R78" s="1354"/>
      <c r="S78" s="310"/>
      <c r="T78" s="310"/>
      <c r="U78" s="311"/>
      <c r="V78" s="105" t="s">
        <v>182</v>
      </c>
      <c r="W78" s="334">
        <v>7810</v>
      </c>
      <c r="X78" s="133">
        <v>70</v>
      </c>
      <c r="Y78" s="122" t="s">
        <v>183</v>
      </c>
      <c r="Z78" s="105" t="s">
        <v>182</v>
      </c>
      <c r="AA78" s="345">
        <v>54720</v>
      </c>
      <c r="AB78" s="134" t="s">
        <v>182</v>
      </c>
      <c r="AC78" s="134">
        <v>540</v>
      </c>
      <c r="AD78" s="135" t="s">
        <v>184</v>
      </c>
      <c r="AE78" s="105" t="s">
        <v>182</v>
      </c>
      <c r="AF78" s="345">
        <v>46910</v>
      </c>
      <c r="AG78" s="134" t="s">
        <v>182</v>
      </c>
      <c r="AH78" s="134">
        <v>460</v>
      </c>
      <c r="AI78" s="135" t="s">
        <v>184</v>
      </c>
      <c r="AK78" s="1357"/>
      <c r="AL78" s="110"/>
      <c r="AM78" s="110"/>
      <c r="AN78" s="108"/>
      <c r="AP78" s="348">
        <v>18760</v>
      </c>
      <c r="AQ78" s="106"/>
      <c r="AR78" s="106"/>
      <c r="AS78" s="131"/>
      <c r="AU78" s="1354"/>
      <c r="AV78" s="110"/>
      <c r="AW78" s="110"/>
      <c r="AX78" s="108"/>
      <c r="AZ78" s="353" t="s">
        <v>766</v>
      </c>
      <c r="BA78" s="1355"/>
      <c r="BB78" s="136" t="s">
        <v>767</v>
      </c>
      <c r="BC78" s="1355"/>
      <c r="BD78" s="353" t="s">
        <v>766</v>
      </c>
      <c r="BE78" s="1355"/>
      <c r="BF78" s="353" t="s">
        <v>663</v>
      </c>
      <c r="BH78" s="140">
        <v>16800</v>
      </c>
      <c r="BJ78" s="104" t="s">
        <v>785</v>
      </c>
      <c r="BL78" s="109"/>
      <c r="BM78" s="146"/>
      <c r="BN78" s="146"/>
      <c r="BO78" s="147"/>
      <c r="BQ78" s="109"/>
      <c r="BR78" s="146"/>
      <c r="BS78" s="146"/>
      <c r="BT78" s="146"/>
      <c r="BU78" s="147"/>
      <c r="BW78" s="132"/>
      <c r="BX78" s="153"/>
      <c r="BY78" s="153"/>
      <c r="BZ78" s="153"/>
      <c r="CA78" s="154"/>
      <c r="CC78" s="152">
        <v>0.78</v>
      </c>
    </row>
    <row r="79" spans="1:81" ht="75">
      <c r="A79" s="1403"/>
      <c r="B79" s="129" t="s">
        <v>195</v>
      </c>
      <c r="C79" s="130" t="s">
        <v>180</v>
      </c>
      <c r="D79" s="122" t="s">
        <v>181</v>
      </c>
      <c r="F79" s="327">
        <v>41170</v>
      </c>
      <c r="G79" s="328">
        <v>48980</v>
      </c>
      <c r="H79" s="105" t="s">
        <v>182</v>
      </c>
      <c r="I79" s="329">
        <v>390</v>
      </c>
      <c r="J79" s="330">
        <v>470</v>
      </c>
      <c r="K79" s="331" t="s">
        <v>661</v>
      </c>
      <c r="L79" s="105" t="s">
        <v>182</v>
      </c>
      <c r="M79" s="1353">
        <v>3130</v>
      </c>
      <c r="N79" s="106" t="s">
        <v>182</v>
      </c>
      <c r="O79" s="106">
        <v>30</v>
      </c>
      <c r="P79" s="131" t="s">
        <v>184</v>
      </c>
      <c r="Q79" s="105" t="s">
        <v>182</v>
      </c>
      <c r="R79" s="1353">
        <v>13400</v>
      </c>
      <c r="S79" s="106" t="s">
        <v>182</v>
      </c>
      <c r="T79" s="106">
        <v>130</v>
      </c>
      <c r="U79" s="131" t="s">
        <v>184</v>
      </c>
      <c r="V79" s="105" t="s">
        <v>182</v>
      </c>
      <c r="W79" s="342">
        <v>7810</v>
      </c>
      <c r="X79" s="126">
        <v>70</v>
      </c>
      <c r="Y79" s="122" t="s">
        <v>183</v>
      </c>
      <c r="AA79" s="344"/>
      <c r="AF79" s="344" t="s">
        <v>185</v>
      </c>
      <c r="AJ79" s="105" t="s">
        <v>182</v>
      </c>
      <c r="AK79" s="1356">
        <v>2480</v>
      </c>
      <c r="AL79" s="106" t="s">
        <v>182</v>
      </c>
      <c r="AM79" s="106">
        <v>20</v>
      </c>
      <c r="AN79" s="131" t="s">
        <v>184</v>
      </c>
      <c r="AP79" s="349" t="s">
        <v>196</v>
      </c>
      <c r="AQ79" s="106" t="s">
        <v>182</v>
      </c>
      <c r="AR79" s="106">
        <v>130</v>
      </c>
      <c r="AS79" s="131" t="s">
        <v>187</v>
      </c>
      <c r="AT79" s="105" t="s">
        <v>182</v>
      </c>
      <c r="AU79" s="1353">
        <v>2000</v>
      </c>
      <c r="AV79" s="106" t="s">
        <v>182</v>
      </c>
      <c r="AW79" s="106">
        <v>20</v>
      </c>
      <c r="AX79" s="131" t="s">
        <v>184</v>
      </c>
      <c r="AY79" s="105" t="s">
        <v>182</v>
      </c>
      <c r="AZ79" s="352">
        <v>1170</v>
      </c>
      <c r="BA79" s="1355" t="s">
        <v>664</v>
      </c>
      <c r="BB79" s="127">
        <v>10</v>
      </c>
      <c r="BC79" s="1355" t="s">
        <v>664</v>
      </c>
      <c r="BD79" s="352">
        <v>200</v>
      </c>
      <c r="BE79" s="1355" t="s">
        <v>664</v>
      </c>
      <c r="BF79" s="352">
        <v>2</v>
      </c>
      <c r="BH79" s="139" t="s">
        <v>770</v>
      </c>
      <c r="BI79" s="2" t="s">
        <v>182</v>
      </c>
      <c r="BJ79" s="130">
        <v>235</v>
      </c>
      <c r="BK79" s="105" t="s">
        <v>188</v>
      </c>
      <c r="BL79" s="132">
        <v>3210</v>
      </c>
      <c r="BM79" s="153" t="s">
        <v>189</v>
      </c>
      <c r="BN79" s="153">
        <v>30</v>
      </c>
      <c r="BO79" s="154" t="s">
        <v>184</v>
      </c>
      <c r="BP79" s="105" t="s">
        <v>188</v>
      </c>
      <c r="BQ79" s="132">
        <v>13400</v>
      </c>
      <c r="BR79" s="153" t="s">
        <v>189</v>
      </c>
      <c r="BS79" s="153">
        <v>130</v>
      </c>
      <c r="BT79" s="153" t="s">
        <v>184</v>
      </c>
      <c r="BU79" s="154" t="s">
        <v>190</v>
      </c>
      <c r="BV79" s="105" t="s">
        <v>188</v>
      </c>
      <c r="BW79" s="125">
        <v>9970</v>
      </c>
      <c r="BX79" s="150" t="s">
        <v>189</v>
      </c>
      <c r="BY79" s="150">
        <v>100</v>
      </c>
      <c r="BZ79" s="150" t="s">
        <v>184</v>
      </c>
      <c r="CA79" s="151" t="s">
        <v>190</v>
      </c>
      <c r="CC79" s="152" t="s">
        <v>191</v>
      </c>
    </row>
    <row r="80" spans="1:81" ht="37.5">
      <c r="A80" s="1403"/>
      <c r="B80" s="129"/>
      <c r="C80" s="130"/>
      <c r="D80" s="122" t="s">
        <v>192</v>
      </c>
      <c r="F80" s="332">
        <v>48980</v>
      </c>
      <c r="G80" s="333"/>
      <c r="H80" s="105" t="s">
        <v>182</v>
      </c>
      <c r="I80" s="334">
        <v>470</v>
      </c>
      <c r="J80" s="335"/>
      <c r="K80" s="336" t="s">
        <v>661</v>
      </c>
      <c r="M80" s="1354"/>
      <c r="N80" s="106"/>
      <c r="O80" s="106"/>
      <c r="P80" s="131"/>
      <c r="R80" s="1354"/>
      <c r="S80" s="106"/>
      <c r="T80" s="106"/>
      <c r="U80" s="131"/>
      <c r="V80" s="105" t="s">
        <v>182</v>
      </c>
      <c r="W80" s="334">
        <v>7810</v>
      </c>
      <c r="X80" s="133">
        <v>70</v>
      </c>
      <c r="Y80" s="122" t="s">
        <v>183</v>
      </c>
      <c r="Z80" s="105" t="s">
        <v>182</v>
      </c>
      <c r="AA80" s="345">
        <v>54720</v>
      </c>
      <c r="AB80" s="134" t="s">
        <v>182</v>
      </c>
      <c r="AC80" s="134">
        <v>540</v>
      </c>
      <c r="AD80" s="135" t="s">
        <v>184</v>
      </c>
      <c r="AE80" s="105" t="s">
        <v>182</v>
      </c>
      <c r="AF80" s="345">
        <v>46910</v>
      </c>
      <c r="AG80" s="134" t="s">
        <v>182</v>
      </c>
      <c r="AH80" s="134">
        <v>460</v>
      </c>
      <c r="AI80" s="135" t="s">
        <v>184</v>
      </c>
      <c r="AK80" s="1357"/>
      <c r="AL80" s="106"/>
      <c r="AM80" s="106"/>
      <c r="AN80" s="131"/>
      <c r="AP80" s="348">
        <v>13400</v>
      </c>
      <c r="AQ80" s="106"/>
      <c r="AR80" s="106"/>
      <c r="AS80" s="131"/>
      <c r="AU80" s="1354"/>
      <c r="AV80" s="106"/>
      <c r="AW80" s="106"/>
      <c r="AX80" s="131"/>
      <c r="AZ80" s="353" t="s">
        <v>766</v>
      </c>
      <c r="BA80" s="1355"/>
      <c r="BB80" s="136" t="s">
        <v>767</v>
      </c>
      <c r="BC80" s="1355"/>
      <c r="BD80" s="353" t="s">
        <v>766</v>
      </c>
      <c r="BE80" s="1355"/>
      <c r="BF80" s="353" t="s">
        <v>663</v>
      </c>
      <c r="BH80" s="140">
        <v>12280</v>
      </c>
      <c r="BJ80" s="130" t="s">
        <v>785</v>
      </c>
      <c r="BL80" s="132"/>
      <c r="BM80" s="153"/>
      <c r="BN80" s="153"/>
      <c r="BO80" s="154"/>
      <c r="BQ80" s="132"/>
      <c r="BR80" s="153"/>
      <c r="BS80" s="153"/>
      <c r="BT80" s="153"/>
      <c r="BU80" s="154"/>
      <c r="BW80" s="109"/>
      <c r="BX80" s="146"/>
      <c r="BY80" s="146"/>
      <c r="BZ80" s="146"/>
      <c r="CA80" s="147"/>
      <c r="CC80" s="152">
        <v>0.86</v>
      </c>
    </row>
    <row r="81" spans="1:81" ht="75">
      <c r="A81" s="1403"/>
      <c r="B81" s="120" t="s">
        <v>197</v>
      </c>
      <c r="C81" s="121" t="s">
        <v>180</v>
      </c>
      <c r="D81" s="122" t="s">
        <v>181</v>
      </c>
      <c r="F81" s="327">
        <v>36510</v>
      </c>
      <c r="G81" s="328">
        <v>44320</v>
      </c>
      <c r="H81" s="105" t="s">
        <v>182</v>
      </c>
      <c r="I81" s="329">
        <v>340</v>
      </c>
      <c r="J81" s="330">
        <v>420</v>
      </c>
      <c r="K81" s="331" t="s">
        <v>661</v>
      </c>
      <c r="L81" s="105" t="s">
        <v>182</v>
      </c>
      <c r="M81" s="1353">
        <v>2430</v>
      </c>
      <c r="N81" s="123" t="s">
        <v>182</v>
      </c>
      <c r="O81" s="123">
        <v>20</v>
      </c>
      <c r="P81" s="124" t="s">
        <v>184</v>
      </c>
      <c r="Q81" s="105" t="s">
        <v>182</v>
      </c>
      <c r="R81" s="1353">
        <v>10420</v>
      </c>
      <c r="S81" s="123" t="s">
        <v>182</v>
      </c>
      <c r="T81" s="123">
        <v>100</v>
      </c>
      <c r="U81" s="124" t="s">
        <v>184</v>
      </c>
      <c r="V81" s="105" t="s">
        <v>182</v>
      </c>
      <c r="W81" s="342">
        <v>7810</v>
      </c>
      <c r="X81" s="126">
        <v>70</v>
      </c>
      <c r="Y81" s="122" t="s">
        <v>183</v>
      </c>
      <c r="AA81" s="344"/>
      <c r="AF81" s="344" t="s">
        <v>185</v>
      </c>
      <c r="AJ81" s="105" t="s">
        <v>182</v>
      </c>
      <c r="AK81" s="1356" t="s">
        <v>188</v>
      </c>
      <c r="AL81" s="123" t="s">
        <v>182</v>
      </c>
      <c r="AM81" s="123" t="s">
        <v>188</v>
      </c>
      <c r="AN81" s="124"/>
      <c r="AP81" s="349" t="s">
        <v>198</v>
      </c>
      <c r="AQ81" s="106" t="s">
        <v>182</v>
      </c>
      <c r="AR81" s="106">
        <v>100</v>
      </c>
      <c r="AS81" s="131" t="s">
        <v>187</v>
      </c>
      <c r="AT81" s="105" t="s">
        <v>182</v>
      </c>
      <c r="AU81" s="1353">
        <v>1730</v>
      </c>
      <c r="AV81" s="123" t="s">
        <v>182</v>
      </c>
      <c r="AW81" s="123">
        <v>10</v>
      </c>
      <c r="AX81" s="124" t="s">
        <v>184</v>
      </c>
      <c r="AY81" s="105" t="s">
        <v>182</v>
      </c>
      <c r="AZ81" s="352">
        <v>910</v>
      </c>
      <c r="BA81" s="1355" t="s">
        <v>664</v>
      </c>
      <c r="BB81" s="127">
        <v>9</v>
      </c>
      <c r="BC81" s="1355" t="s">
        <v>664</v>
      </c>
      <c r="BD81" s="352">
        <v>160</v>
      </c>
      <c r="BE81" s="1355" t="s">
        <v>664</v>
      </c>
      <c r="BF81" s="352">
        <v>1</v>
      </c>
      <c r="BH81" s="139" t="s">
        <v>771</v>
      </c>
      <c r="BI81" s="2" t="s">
        <v>182</v>
      </c>
      <c r="BJ81" s="121">
        <v>235</v>
      </c>
      <c r="BK81" s="105" t="s">
        <v>188</v>
      </c>
      <c r="BL81" s="125">
        <v>2500</v>
      </c>
      <c r="BM81" s="150" t="s">
        <v>189</v>
      </c>
      <c r="BN81" s="150">
        <v>20</v>
      </c>
      <c r="BO81" s="151" t="s">
        <v>184</v>
      </c>
      <c r="BP81" s="105" t="s">
        <v>188</v>
      </c>
      <c r="BQ81" s="125">
        <v>10420</v>
      </c>
      <c r="BR81" s="150" t="s">
        <v>189</v>
      </c>
      <c r="BS81" s="150">
        <v>100</v>
      </c>
      <c r="BT81" s="150" t="s">
        <v>184</v>
      </c>
      <c r="BU81" s="151" t="s">
        <v>190</v>
      </c>
      <c r="BV81" s="105" t="s">
        <v>188</v>
      </c>
      <c r="BW81" s="132">
        <v>7760</v>
      </c>
      <c r="BX81" s="153" t="s">
        <v>189</v>
      </c>
      <c r="BY81" s="153">
        <v>70</v>
      </c>
      <c r="BZ81" s="153" t="s">
        <v>184</v>
      </c>
      <c r="CA81" s="154" t="s">
        <v>190</v>
      </c>
      <c r="CC81" s="152" t="s">
        <v>191</v>
      </c>
    </row>
    <row r="82" spans="1:81" ht="37.5">
      <c r="A82" s="1403"/>
      <c r="B82" s="103"/>
      <c r="C82" s="104"/>
      <c r="D82" s="122" t="s">
        <v>192</v>
      </c>
      <c r="F82" s="332">
        <v>44320</v>
      </c>
      <c r="G82" s="333"/>
      <c r="H82" s="105" t="s">
        <v>182</v>
      </c>
      <c r="I82" s="334">
        <v>420</v>
      </c>
      <c r="J82" s="335"/>
      <c r="K82" s="336" t="s">
        <v>661</v>
      </c>
      <c r="M82" s="1354"/>
      <c r="N82" s="310"/>
      <c r="O82" s="310"/>
      <c r="P82" s="311"/>
      <c r="R82" s="1354"/>
      <c r="S82" s="310"/>
      <c r="T82" s="310"/>
      <c r="U82" s="311"/>
      <c r="V82" s="105" t="s">
        <v>182</v>
      </c>
      <c r="W82" s="334">
        <v>7810</v>
      </c>
      <c r="X82" s="133">
        <v>70</v>
      </c>
      <c r="Y82" s="122" t="s">
        <v>183</v>
      </c>
      <c r="Z82" s="105" t="s">
        <v>182</v>
      </c>
      <c r="AA82" s="345">
        <v>54720</v>
      </c>
      <c r="AB82" s="134" t="s">
        <v>182</v>
      </c>
      <c r="AC82" s="134">
        <v>540</v>
      </c>
      <c r="AD82" s="135" t="s">
        <v>184</v>
      </c>
      <c r="AE82" s="105" t="s">
        <v>182</v>
      </c>
      <c r="AF82" s="345">
        <v>46910</v>
      </c>
      <c r="AG82" s="134" t="s">
        <v>182</v>
      </c>
      <c r="AH82" s="134">
        <v>460</v>
      </c>
      <c r="AI82" s="135" t="s">
        <v>184</v>
      </c>
      <c r="AK82" s="1357"/>
      <c r="AL82" s="106"/>
      <c r="AM82" s="106"/>
      <c r="AN82" s="131"/>
      <c r="AP82" s="348">
        <v>10420</v>
      </c>
      <c r="AQ82" s="106"/>
      <c r="AR82" s="106"/>
      <c r="AS82" s="131"/>
      <c r="AU82" s="1354"/>
      <c r="AV82" s="110"/>
      <c r="AW82" s="110"/>
      <c r="AX82" s="108"/>
      <c r="AZ82" s="353" t="s">
        <v>766</v>
      </c>
      <c r="BA82" s="1355"/>
      <c r="BB82" s="136" t="s">
        <v>767</v>
      </c>
      <c r="BC82" s="1355"/>
      <c r="BD82" s="353" t="s">
        <v>766</v>
      </c>
      <c r="BE82" s="1355"/>
      <c r="BF82" s="353" t="s">
        <v>663</v>
      </c>
      <c r="BH82" s="140">
        <v>9770</v>
      </c>
      <c r="BJ82" s="104" t="s">
        <v>785</v>
      </c>
      <c r="BL82" s="109"/>
      <c r="BM82" s="146"/>
      <c r="BN82" s="146"/>
      <c r="BO82" s="147"/>
      <c r="BQ82" s="109"/>
      <c r="BR82" s="146"/>
      <c r="BS82" s="146"/>
      <c r="BT82" s="146"/>
      <c r="BU82" s="147"/>
      <c r="BW82" s="132"/>
      <c r="BX82" s="153"/>
      <c r="BY82" s="153"/>
      <c r="BZ82" s="153"/>
      <c r="CA82" s="154"/>
      <c r="CC82" s="152">
        <v>0.95</v>
      </c>
    </row>
    <row r="83" spans="1:81" ht="75">
      <c r="A83" s="1403"/>
      <c r="B83" s="129" t="s">
        <v>200</v>
      </c>
      <c r="C83" s="130" t="s">
        <v>180</v>
      </c>
      <c r="D83" s="122" t="s">
        <v>181</v>
      </c>
      <c r="F83" s="327">
        <v>32360</v>
      </c>
      <c r="G83" s="328">
        <v>40170</v>
      </c>
      <c r="H83" s="105" t="s">
        <v>182</v>
      </c>
      <c r="I83" s="329">
        <v>300</v>
      </c>
      <c r="J83" s="330">
        <v>380</v>
      </c>
      <c r="K83" s="331" t="s">
        <v>661</v>
      </c>
      <c r="L83" s="105" t="s">
        <v>182</v>
      </c>
      <c r="M83" s="1353">
        <v>1820</v>
      </c>
      <c r="N83" s="106" t="s">
        <v>182</v>
      </c>
      <c r="O83" s="106">
        <v>10</v>
      </c>
      <c r="P83" s="131" t="s">
        <v>184</v>
      </c>
      <c r="Q83" s="105" t="s">
        <v>182</v>
      </c>
      <c r="R83" s="1353">
        <v>7810</v>
      </c>
      <c r="S83" s="106" t="s">
        <v>182</v>
      </c>
      <c r="T83" s="106">
        <v>70</v>
      </c>
      <c r="U83" s="131" t="s">
        <v>184</v>
      </c>
      <c r="V83" s="105" t="s">
        <v>182</v>
      </c>
      <c r="W83" s="342">
        <v>7810</v>
      </c>
      <c r="X83" s="126">
        <v>70</v>
      </c>
      <c r="Y83" s="122" t="s">
        <v>183</v>
      </c>
      <c r="AA83" s="344"/>
      <c r="AF83" s="344" t="s">
        <v>185</v>
      </c>
      <c r="AJ83" s="105" t="s">
        <v>182</v>
      </c>
      <c r="AK83" s="1356" t="s">
        <v>188</v>
      </c>
      <c r="AL83" s="106" t="s">
        <v>182</v>
      </c>
      <c r="AM83" s="106" t="s">
        <v>188</v>
      </c>
      <c r="AN83" s="131"/>
      <c r="AP83" s="349" t="s">
        <v>201</v>
      </c>
      <c r="AQ83" s="106" t="s">
        <v>182</v>
      </c>
      <c r="AR83" s="106">
        <v>70</v>
      </c>
      <c r="AS83" s="131" t="s">
        <v>187</v>
      </c>
      <c r="AT83" s="105" t="s">
        <v>182</v>
      </c>
      <c r="AU83" s="1353">
        <v>1300</v>
      </c>
      <c r="AV83" s="106" t="s">
        <v>182</v>
      </c>
      <c r="AW83" s="106">
        <v>10</v>
      </c>
      <c r="AX83" s="131" t="s">
        <v>184</v>
      </c>
      <c r="AY83" s="105" t="s">
        <v>182</v>
      </c>
      <c r="AZ83" s="352">
        <v>680</v>
      </c>
      <c r="BA83" s="1355" t="s">
        <v>664</v>
      </c>
      <c r="BB83" s="127">
        <v>6</v>
      </c>
      <c r="BC83" s="1355" t="s">
        <v>664</v>
      </c>
      <c r="BD83" s="352">
        <v>120</v>
      </c>
      <c r="BE83" s="1355" t="s">
        <v>664</v>
      </c>
      <c r="BF83" s="352">
        <v>1</v>
      </c>
      <c r="BH83" s="139" t="s">
        <v>772</v>
      </c>
      <c r="BI83" s="2" t="s">
        <v>182</v>
      </c>
      <c r="BJ83" s="130">
        <v>235</v>
      </c>
      <c r="BK83" s="105" t="s">
        <v>188</v>
      </c>
      <c r="BL83" s="132">
        <v>1870</v>
      </c>
      <c r="BM83" s="153" t="s">
        <v>189</v>
      </c>
      <c r="BN83" s="153">
        <v>10</v>
      </c>
      <c r="BO83" s="154" t="s">
        <v>184</v>
      </c>
      <c r="BP83" s="105" t="s">
        <v>188</v>
      </c>
      <c r="BQ83" s="132">
        <v>7810</v>
      </c>
      <c r="BR83" s="153" t="s">
        <v>189</v>
      </c>
      <c r="BS83" s="153">
        <v>70</v>
      </c>
      <c r="BT83" s="153" t="s">
        <v>184</v>
      </c>
      <c r="BU83" s="154" t="s">
        <v>190</v>
      </c>
      <c r="BV83" s="105" t="s">
        <v>188</v>
      </c>
      <c r="BW83" s="125">
        <v>5820</v>
      </c>
      <c r="BX83" s="150" t="s">
        <v>189</v>
      </c>
      <c r="BY83" s="150">
        <v>50</v>
      </c>
      <c r="BZ83" s="150" t="s">
        <v>184</v>
      </c>
      <c r="CA83" s="151" t="s">
        <v>190</v>
      </c>
      <c r="CC83" s="152" t="s">
        <v>191</v>
      </c>
    </row>
    <row r="84" spans="1:81" ht="37.5">
      <c r="A84" s="1403"/>
      <c r="B84" s="129"/>
      <c r="C84" s="130"/>
      <c r="D84" s="122" t="s">
        <v>192</v>
      </c>
      <c r="F84" s="332">
        <v>40170</v>
      </c>
      <c r="G84" s="333"/>
      <c r="H84" s="105" t="s">
        <v>182</v>
      </c>
      <c r="I84" s="334">
        <v>380</v>
      </c>
      <c r="J84" s="335"/>
      <c r="K84" s="336" t="s">
        <v>661</v>
      </c>
      <c r="M84" s="1354"/>
      <c r="N84" s="106"/>
      <c r="O84" s="106"/>
      <c r="P84" s="131"/>
      <c r="R84" s="1354"/>
      <c r="S84" s="106"/>
      <c r="T84" s="106"/>
      <c r="U84" s="131"/>
      <c r="V84" s="105" t="s">
        <v>182</v>
      </c>
      <c r="W84" s="334">
        <v>7810</v>
      </c>
      <c r="X84" s="133">
        <v>70</v>
      </c>
      <c r="Y84" s="122" t="s">
        <v>183</v>
      </c>
      <c r="Z84" s="105" t="s">
        <v>182</v>
      </c>
      <c r="AA84" s="345">
        <v>54720</v>
      </c>
      <c r="AB84" s="134" t="s">
        <v>182</v>
      </c>
      <c r="AC84" s="134">
        <v>540</v>
      </c>
      <c r="AD84" s="135" t="s">
        <v>184</v>
      </c>
      <c r="AE84" s="105" t="s">
        <v>182</v>
      </c>
      <c r="AF84" s="345">
        <v>46910</v>
      </c>
      <c r="AG84" s="134" t="s">
        <v>182</v>
      </c>
      <c r="AH84" s="134">
        <v>460</v>
      </c>
      <c r="AI84" s="135" t="s">
        <v>184</v>
      </c>
      <c r="AK84" s="1357"/>
      <c r="AL84" s="106"/>
      <c r="AM84" s="106"/>
      <c r="AN84" s="131"/>
      <c r="AP84" s="348">
        <v>7810</v>
      </c>
      <c r="AQ84" s="106"/>
      <c r="AR84" s="106"/>
      <c r="AS84" s="131"/>
      <c r="AU84" s="1354"/>
      <c r="AV84" s="106"/>
      <c r="AW84" s="106"/>
      <c r="AX84" s="131"/>
      <c r="AZ84" s="353" t="s">
        <v>766</v>
      </c>
      <c r="BA84" s="1355"/>
      <c r="BB84" s="136" t="s">
        <v>767</v>
      </c>
      <c r="BC84" s="1355"/>
      <c r="BD84" s="353" t="s">
        <v>766</v>
      </c>
      <c r="BE84" s="1355"/>
      <c r="BF84" s="353" t="s">
        <v>663</v>
      </c>
      <c r="BH84" s="140">
        <v>7500</v>
      </c>
      <c r="BJ84" s="130" t="s">
        <v>785</v>
      </c>
      <c r="BL84" s="132"/>
      <c r="BM84" s="153"/>
      <c r="BN84" s="153"/>
      <c r="BO84" s="154"/>
      <c r="BQ84" s="132"/>
      <c r="BR84" s="153"/>
      <c r="BS84" s="153"/>
      <c r="BT84" s="153"/>
      <c r="BU84" s="154"/>
      <c r="BW84" s="109"/>
      <c r="BX84" s="146"/>
      <c r="BY84" s="146"/>
      <c r="BZ84" s="146"/>
      <c r="CA84" s="147"/>
      <c r="CC84" s="152">
        <v>0.89</v>
      </c>
    </row>
    <row r="85" spans="1:81" ht="75">
      <c r="A85" s="1403"/>
      <c r="B85" s="120" t="s">
        <v>202</v>
      </c>
      <c r="C85" s="121" t="s">
        <v>180</v>
      </c>
      <c r="D85" s="122" t="s">
        <v>181</v>
      </c>
      <c r="F85" s="327">
        <v>29910</v>
      </c>
      <c r="G85" s="328">
        <v>37720</v>
      </c>
      <c r="H85" s="105" t="s">
        <v>182</v>
      </c>
      <c r="I85" s="329">
        <v>280</v>
      </c>
      <c r="J85" s="330">
        <v>360</v>
      </c>
      <c r="K85" s="331" t="s">
        <v>661</v>
      </c>
      <c r="L85" s="105" t="s">
        <v>182</v>
      </c>
      <c r="M85" s="1353">
        <v>1460</v>
      </c>
      <c r="N85" s="123" t="s">
        <v>182</v>
      </c>
      <c r="O85" s="123">
        <v>10</v>
      </c>
      <c r="P85" s="124" t="s">
        <v>184</v>
      </c>
      <c r="Q85" s="105" t="s">
        <v>182</v>
      </c>
      <c r="R85" s="1353">
        <v>6250</v>
      </c>
      <c r="S85" s="123" t="s">
        <v>182</v>
      </c>
      <c r="T85" s="123">
        <v>60</v>
      </c>
      <c r="U85" s="124" t="s">
        <v>184</v>
      </c>
      <c r="V85" s="105" t="s">
        <v>182</v>
      </c>
      <c r="W85" s="342">
        <v>7810</v>
      </c>
      <c r="X85" s="126">
        <v>70</v>
      </c>
      <c r="Y85" s="122" t="s">
        <v>183</v>
      </c>
      <c r="AA85" s="344"/>
      <c r="AF85" s="344" t="s">
        <v>185</v>
      </c>
      <c r="AJ85" s="105" t="s">
        <v>182</v>
      </c>
      <c r="AK85" s="1356" t="s">
        <v>188</v>
      </c>
      <c r="AL85" s="106" t="s">
        <v>182</v>
      </c>
      <c r="AM85" s="106" t="s">
        <v>188</v>
      </c>
      <c r="AN85" s="131"/>
      <c r="AP85" s="349" t="s">
        <v>203</v>
      </c>
      <c r="AQ85" s="106" t="s">
        <v>182</v>
      </c>
      <c r="AR85" s="106">
        <v>60</v>
      </c>
      <c r="AS85" s="131" t="s">
        <v>187</v>
      </c>
      <c r="AT85" s="105" t="s">
        <v>182</v>
      </c>
      <c r="AU85" s="1353">
        <v>1040</v>
      </c>
      <c r="AV85" s="123" t="s">
        <v>182</v>
      </c>
      <c r="AW85" s="123">
        <v>10</v>
      </c>
      <c r="AX85" s="124" t="s">
        <v>184</v>
      </c>
      <c r="AY85" s="105" t="s">
        <v>182</v>
      </c>
      <c r="AZ85" s="352">
        <v>570</v>
      </c>
      <c r="BA85" s="1355" t="s">
        <v>664</v>
      </c>
      <c r="BB85" s="127">
        <v>5</v>
      </c>
      <c r="BC85" s="1355" t="s">
        <v>664</v>
      </c>
      <c r="BD85" s="352">
        <v>100</v>
      </c>
      <c r="BE85" s="1355" t="s">
        <v>664</v>
      </c>
      <c r="BF85" s="352">
        <v>1</v>
      </c>
      <c r="BH85" s="139" t="s">
        <v>773</v>
      </c>
      <c r="BI85" s="2" t="s">
        <v>182</v>
      </c>
      <c r="BJ85" s="121">
        <v>235</v>
      </c>
      <c r="BK85" s="105" t="s">
        <v>188</v>
      </c>
      <c r="BL85" s="125">
        <v>1500</v>
      </c>
      <c r="BM85" s="150" t="s">
        <v>189</v>
      </c>
      <c r="BN85" s="150">
        <v>10</v>
      </c>
      <c r="BO85" s="151" t="s">
        <v>184</v>
      </c>
      <c r="BP85" s="105" t="s">
        <v>188</v>
      </c>
      <c r="BQ85" s="125">
        <v>6250</v>
      </c>
      <c r="BR85" s="150" t="s">
        <v>189</v>
      </c>
      <c r="BS85" s="150">
        <v>60</v>
      </c>
      <c r="BT85" s="150" t="s">
        <v>184</v>
      </c>
      <c r="BU85" s="151" t="s">
        <v>190</v>
      </c>
      <c r="BV85" s="105" t="s">
        <v>188</v>
      </c>
      <c r="BW85" s="132">
        <v>4650</v>
      </c>
      <c r="BX85" s="153" t="s">
        <v>189</v>
      </c>
      <c r="BY85" s="153">
        <v>40</v>
      </c>
      <c r="BZ85" s="153" t="s">
        <v>184</v>
      </c>
      <c r="CA85" s="154" t="s">
        <v>190</v>
      </c>
      <c r="CC85" s="152" t="s">
        <v>191</v>
      </c>
    </row>
    <row r="86" spans="1:81" ht="37.5">
      <c r="A86" s="1403"/>
      <c r="B86" s="103"/>
      <c r="C86" s="104"/>
      <c r="D86" s="122" t="s">
        <v>192</v>
      </c>
      <c r="F86" s="332">
        <v>37720</v>
      </c>
      <c r="G86" s="333"/>
      <c r="H86" s="105" t="s">
        <v>182</v>
      </c>
      <c r="I86" s="334">
        <v>360</v>
      </c>
      <c r="J86" s="335"/>
      <c r="K86" s="336" t="s">
        <v>661</v>
      </c>
      <c r="M86" s="1354"/>
      <c r="N86" s="310"/>
      <c r="O86" s="310"/>
      <c r="P86" s="311"/>
      <c r="R86" s="1354"/>
      <c r="S86" s="310"/>
      <c r="T86" s="310"/>
      <c r="U86" s="311"/>
      <c r="V86" s="105" t="s">
        <v>182</v>
      </c>
      <c r="W86" s="334">
        <v>7810</v>
      </c>
      <c r="X86" s="133">
        <v>70</v>
      </c>
      <c r="Y86" s="122" t="s">
        <v>183</v>
      </c>
      <c r="Z86" s="105" t="s">
        <v>182</v>
      </c>
      <c r="AA86" s="345">
        <v>54720</v>
      </c>
      <c r="AB86" s="134" t="s">
        <v>182</v>
      </c>
      <c r="AC86" s="134">
        <v>540</v>
      </c>
      <c r="AD86" s="135" t="s">
        <v>184</v>
      </c>
      <c r="AE86" s="105" t="s">
        <v>182</v>
      </c>
      <c r="AF86" s="345">
        <v>46910</v>
      </c>
      <c r="AG86" s="134" t="s">
        <v>182</v>
      </c>
      <c r="AH86" s="134">
        <v>460</v>
      </c>
      <c r="AI86" s="135" t="s">
        <v>184</v>
      </c>
      <c r="AK86" s="1357"/>
      <c r="AL86" s="106"/>
      <c r="AM86" s="106"/>
      <c r="AN86" s="131"/>
      <c r="AP86" s="348">
        <v>6250</v>
      </c>
      <c r="AQ86" s="106"/>
      <c r="AR86" s="106"/>
      <c r="AS86" s="131"/>
      <c r="AU86" s="1354"/>
      <c r="AV86" s="110"/>
      <c r="AW86" s="110"/>
      <c r="AX86" s="108"/>
      <c r="AZ86" s="353" t="s">
        <v>766</v>
      </c>
      <c r="BA86" s="1355"/>
      <c r="BB86" s="136" t="s">
        <v>767</v>
      </c>
      <c r="BC86" s="1355"/>
      <c r="BD86" s="353" t="s">
        <v>766</v>
      </c>
      <c r="BE86" s="1355"/>
      <c r="BF86" s="353" t="s">
        <v>663</v>
      </c>
      <c r="BH86" s="140">
        <v>6130</v>
      </c>
      <c r="BJ86" s="104" t="s">
        <v>785</v>
      </c>
      <c r="BL86" s="109"/>
      <c r="BM86" s="146"/>
      <c r="BN86" s="146"/>
      <c r="BO86" s="147"/>
      <c r="BQ86" s="109"/>
      <c r="BR86" s="146"/>
      <c r="BS86" s="146"/>
      <c r="BT86" s="146"/>
      <c r="BU86" s="147"/>
      <c r="BW86" s="132"/>
      <c r="BX86" s="153"/>
      <c r="BY86" s="153"/>
      <c r="BZ86" s="153"/>
      <c r="CA86" s="154"/>
      <c r="CC86" s="152">
        <v>0.92</v>
      </c>
    </row>
    <row r="87" spans="1:81" ht="75">
      <c r="A87" s="1403"/>
      <c r="B87" s="129" t="s">
        <v>204</v>
      </c>
      <c r="C87" s="130" t="s">
        <v>180</v>
      </c>
      <c r="D87" s="122" t="s">
        <v>181</v>
      </c>
      <c r="F87" s="327">
        <v>28240</v>
      </c>
      <c r="G87" s="328">
        <v>36050</v>
      </c>
      <c r="H87" s="105" t="s">
        <v>182</v>
      </c>
      <c r="I87" s="329">
        <v>260</v>
      </c>
      <c r="J87" s="330">
        <v>340</v>
      </c>
      <c r="K87" s="331" t="s">
        <v>661</v>
      </c>
      <c r="L87" s="105" t="s">
        <v>182</v>
      </c>
      <c r="M87" s="1353">
        <v>1210</v>
      </c>
      <c r="N87" s="106" t="s">
        <v>182</v>
      </c>
      <c r="O87" s="106">
        <v>10</v>
      </c>
      <c r="P87" s="131" t="s">
        <v>184</v>
      </c>
      <c r="Q87" s="105" t="s">
        <v>182</v>
      </c>
      <c r="R87" s="1353">
        <v>5210</v>
      </c>
      <c r="S87" s="106" t="s">
        <v>182</v>
      </c>
      <c r="T87" s="106">
        <v>50</v>
      </c>
      <c r="U87" s="131" t="s">
        <v>184</v>
      </c>
      <c r="V87" s="105" t="s">
        <v>182</v>
      </c>
      <c r="W87" s="342">
        <v>7810</v>
      </c>
      <c r="X87" s="126">
        <v>70</v>
      </c>
      <c r="Y87" s="122" t="s">
        <v>183</v>
      </c>
      <c r="AA87" s="344"/>
      <c r="AF87" s="344" t="s">
        <v>185</v>
      </c>
      <c r="AJ87" s="105" t="s">
        <v>182</v>
      </c>
      <c r="AK87" s="1356" t="s">
        <v>188</v>
      </c>
      <c r="AL87" s="106" t="s">
        <v>182</v>
      </c>
      <c r="AM87" s="106" t="s">
        <v>188</v>
      </c>
      <c r="AN87" s="131"/>
      <c r="AP87" s="349" t="s">
        <v>205</v>
      </c>
      <c r="AQ87" s="106" t="s">
        <v>182</v>
      </c>
      <c r="AR87" s="106">
        <v>50</v>
      </c>
      <c r="AS87" s="131" t="s">
        <v>187</v>
      </c>
      <c r="AT87" s="105" t="s">
        <v>182</v>
      </c>
      <c r="AU87" s="1353">
        <v>860</v>
      </c>
      <c r="AV87" s="106" t="s">
        <v>182</v>
      </c>
      <c r="AW87" s="106">
        <v>8</v>
      </c>
      <c r="AX87" s="131" t="s">
        <v>184</v>
      </c>
      <c r="AY87" s="105" t="s">
        <v>182</v>
      </c>
      <c r="AZ87" s="352">
        <v>500</v>
      </c>
      <c r="BA87" s="1355" t="s">
        <v>664</v>
      </c>
      <c r="BB87" s="127">
        <v>5</v>
      </c>
      <c r="BC87" s="1355" t="s">
        <v>664</v>
      </c>
      <c r="BD87" s="352">
        <v>80</v>
      </c>
      <c r="BE87" s="1355" t="s">
        <v>664</v>
      </c>
      <c r="BF87" s="352">
        <v>1</v>
      </c>
      <c r="BH87" s="139" t="s">
        <v>774</v>
      </c>
      <c r="BI87" s="2" t="s">
        <v>182</v>
      </c>
      <c r="BJ87" s="130">
        <v>235</v>
      </c>
      <c r="BK87" s="105" t="s">
        <v>188</v>
      </c>
      <c r="BL87" s="132">
        <v>1250</v>
      </c>
      <c r="BM87" s="153" t="s">
        <v>189</v>
      </c>
      <c r="BN87" s="153">
        <v>10</v>
      </c>
      <c r="BO87" s="154" t="s">
        <v>184</v>
      </c>
      <c r="BP87" s="105" t="s">
        <v>188</v>
      </c>
      <c r="BQ87" s="132">
        <v>5210</v>
      </c>
      <c r="BR87" s="153" t="s">
        <v>189</v>
      </c>
      <c r="BS87" s="153">
        <v>50</v>
      </c>
      <c r="BT87" s="153" t="s">
        <v>184</v>
      </c>
      <c r="BU87" s="154" t="s">
        <v>190</v>
      </c>
      <c r="BV87" s="105" t="s">
        <v>188</v>
      </c>
      <c r="BW87" s="125">
        <v>3880</v>
      </c>
      <c r="BX87" s="150" t="s">
        <v>189</v>
      </c>
      <c r="BY87" s="150">
        <v>30</v>
      </c>
      <c r="BZ87" s="150" t="s">
        <v>184</v>
      </c>
      <c r="CA87" s="151" t="s">
        <v>190</v>
      </c>
      <c r="CC87" s="152" t="s">
        <v>191</v>
      </c>
    </row>
    <row r="88" spans="1:81" ht="37.5">
      <c r="A88" s="1403"/>
      <c r="B88" s="129"/>
      <c r="C88" s="130"/>
      <c r="D88" s="122" t="s">
        <v>192</v>
      </c>
      <c r="F88" s="332">
        <v>36050</v>
      </c>
      <c r="G88" s="333"/>
      <c r="H88" s="105" t="s">
        <v>182</v>
      </c>
      <c r="I88" s="334">
        <v>340</v>
      </c>
      <c r="J88" s="335"/>
      <c r="K88" s="336" t="s">
        <v>661</v>
      </c>
      <c r="M88" s="1354"/>
      <c r="N88" s="106"/>
      <c r="O88" s="106"/>
      <c r="P88" s="131"/>
      <c r="R88" s="1354"/>
      <c r="S88" s="106"/>
      <c r="T88" s="106"/>
      <c r="U88" s="131"/>
      <c r="V88" s="105" t="s">
        <v>182</v>
      </c>
      <c r="W88" s="334">
        <v>7810</v>
      </c>
      <c r="X88" s="133">
        <v>70</v>
      </c>
      <c r="Y88" s="122" t="s">
        <v>183</v>
      </c>
      <c r="Z88" s="105" t="s">
        <v>182</v>
      </c>
      <c r="AA88" s="345">
        <v>54720</v>
      </c>
      <c r="AB88" s="134" t="s">
        <v>182</v>
      </c>
      <c r="AC88" s="134">
        <v>540</v>
      </c>
      <c r="AD88" s="135" t="s">
        <v>184</v>
      </c>
      <c r="AE88" s="105" t="s">
        <v>182</v>
      </c>
      <c r="AF88" s="345">
        <v>46910</v>
      </c>
      <c r="AG88" s="134" t="s">
        <v>182</v>
      </c>
      <c r="AH88" s="134">
        <v>460</v>
      </c>
      <c r="AI88" s="135" t="s">
        <v>184</v>
      </c>
      <c r="AK88" s="1357"/>
      <c r="AL88" s="106"/>
      <c r="AM88" s="106"/>
      <c r="AN88" s="131"/>
      <c r="AP88" s="348">
        <v>5210</v>
      </c>
      <c r="AQ88" s="106"/>
      <c r="AR88" s="106"/>
      <c r="AS88" s="131"/>
      <c r="AU88" s="1354"/>
      <c r="AV88" s="106"/>
      <c r="AW88" s="106"/>
      <c r="AX88" s="131"/>
      <c r="AZ88" s="353" t="s">
        <v>766</v>
      </c>
      <c r="BA88" s="1355"/>
      <c r="BB88" s="136" t="s">
        <v>767</v>
      </c>
      <c r="BC88" s="1355"/>
      <c r="BD88" s="353" t="s">
        <v>766</v>
      </c>
      <c r="BE88" s="1355"/>
      <c r="BF88" s="353" t="s">
        <v>663</v>
      </c>
      <c r="BH88" s="140">
        <v>5220</v>
      </c>
      <c r="BJ88" s="130" t="s">
        <v>785</v>
      </c>
      <c r="BL88" s="132"/>
      <c r="BM88" s="153"/>
      <c r="BN88" s="153"/>
      <c r="BO88" s="154"/>
      <c r="BQ88" s="132"/>
      <c r="BR88" s="153"/>
      <c r="BS88" s="153"/>
      <c r="BT88" s="153"/>
      <c r="BU88" s="154"/>
      <c r="BW88" s="109"/>
      <c r="BX88" s="146"/>
      <c r="BY88" s="146"/>
      <c r="BZ88" s="146"/>
      <c r="CA88" s="147"/>
      <c r="CC88" s="152">
        <v>0.9</v>
      </c>
    </row>
    <row r="89" spans="1:81" ht="75">
      <c r="A89" s="1403"/>
      <c r="B89" s="120" t="s">
        <v>206</v>
      </c>
      <c r="C89" s="121" t="s">
        <v>180</v>
      </c>
      <c r="D89" s="122" t="s">
        <v>181</v>
      </c>
      <c r="F89" s="327">
        <v>27720</v>
      </c>
      <c r="G89" s="328">
        <v>35530</v>
      </c>
      <c r="H89" s="105" t="s">
        <v>182</v>
      </c>
      <c r="I89" s="329">
        <v>260</v>
      </c>
      <c r="J89" s="330">
        <v>330</v>
      </c>
      <c r="K89" s="331" t="s">
        <v>661</v>
      </c>
      <c r="L89" s="105" t="s">
        <v>182</v>
      </c>
      <c r="M89" s="1353">
        <v>1040</v>
      </c>
      <c r="N89" s="123" t="s">
        <v>182</v>
      </c>
      <c r="O89" s="123">
        <v>10</v>
      </c>
      <c r="P89" s="124" t="s">
        <v>184</v>
      </c>
      <c r="Q89" s="105" t="s">
        <v>182</v>
      </c>
      <c r="R89" s="1353">
        <v>4460</v>
      </c>
      <c r="S89" s="123" t="s">
        <v>182</v>
      </c>
      <c r="T89" s="123">
        <v>40</v>
      </c>
      <c r="U89" s="124" t="s">
        <v>184</v>
      </c>
      <c r="V89" s="105" t="s">
        <v>182</v>
      </c>
      <c r="W89" s="342">
        <v>7810</v>
      </c>
      <c r="X89" s="126">
        <v>70</v>
      </c>
      <c r="Y89" s="122" t="s">
        <v>183</v>
      </c>
      <c r="AA89" s="344"/>
      <c r="AF89" s="344" t="s">
        <v>185</v>
      </c>
      <c r="AJ89" s="105" t="s">
        <v>182</v>
      </c>
      <c r="AK89" s="1356" t="s">
        <v>188</v>
      </c>
      <c r="AL89" s="106" t="s">
        <v>182</v>
      </c>
      <c r="AM89" s="106" t="s">
        <v>188</v>
      </c>
      <c r="AN89" s="131"/>
      <c r="AP89" s="349" t="s">
        <v>207</v>
      </c>
      <c r="AQ89" s="106" t="s">
        <v>182</v>
      </c>
      <c r="AR89" s="106">
        <v>40</v>
      </c>
      <c r="AS89" s="131" t="s">
        <v>187</v>
      </c>
      <c r="AT89" s="105" t="s">
        <v>182</v>
      </c>
      <c r="AU89" s="1353">
        <v>740</v>
      </c>
      <c r="AV89" s="123" t="s">
        <v>182</v>
      </c>
      <c r="AW89" s="123">
        <v>7</v>
      </c>
      <c r="AX89" s="124" t="s">
        <v>184</v>
      </c>
      <c r="AY89" s="105" t="s">
        <v>182</v>
      </c>
      <c r="AZ89" s="352">
        <v>440</v>
      </c>
      <c r="BA89" s="1355" t="s">
        <v>664</v>
      </c>
      <c r="BB89" s="127">
        <v>4</v>
      </c>
      <c r="BC89" s="1355" t="s">
        <v>664</v>
      </c>
      <c r="BD89" s="352">
        <v>80</v>
      </c>
      <c r="BE89" s="1355" t="s">
        <v>664</v>
      </c>
      <c r="BF89" s="352">
        <v>1</v>
      </c>
      <c r="BH89" s="139" t="s">
        <v>775</v>
      </c>
      <c r="BI89" s="2" t="s">
        <v>182</v>
      </c>
      <c r="BJ89" s="121">
        <v>235</v>
      </c>
      <c r="BK89" s="105" t="s">
        <v>188</v>
      </c>
      <c r="BL89" s="125">
        <v>1070</v>
      </c>
      <c r="BM89" s="150" t="s">
        <v>189</v>
      </c>
      <c r="BN89" s="150">
        <v>10</v>
      </c>
      <c r="BO89" s="151" t="s">
        <v>184</v>
      </c>
      <c r="BP89" s="105" t="s">
        <v>188</v>
      </c>
      <c r="BQ89" s="125">
        <v>4460</v>
      </c>
      <c r="BR89" s="150" t="s">
        <v>189</v>
      </c>
      <c r="BS89" s="150">
        <v>40</v>
      </c>
      <c r="BT89" s="150" t="s">
        <v>184</v>
      </c>
      <c r="BU89" s="151" t="s">
        <v>190</v>
      </c>
      <c r="BV89" s="105" t="s">
        <v>188</v>
      </c>
      <c r="BW89" s="132">
        <v>3320</v>
      </c>
      <c r="BX89" s="153" t="s">
        <v>189</v>
      </c>
      <c r="BY89" s="153">
        <v>30</v>
      </c>
      <c r="BZ89" s="153" t="s">
        <v>184</v>
      </c>
      <c r="CA89" s="154" t="s">
        <v>190</v>
      </c>
      <c r="CC89" s="152" t="s">
        <v>191</v>
      </c>
    </row>
    <row r="90" spans="1:81" ht="37.5">
      <c r="A90" s="1403"/>
      <c r="B90" s="103"/>
      <c r="C90" s="104"/>
      <c r="D90" s="122" t="s">
        <v>192</v>
      </c>
      <c r="F90" s="332">
        <v>35530</v>
      </c>
      <c r="G90" s="333"/>
      <c r="H90" s="105" t="s">
        <v>182</v>
      </c>
      <c r="I90" s="334">
        <v>330</v>
      </c>
      <c r="J90" s="335"/>
      <c r="K90" s="336" t="s">
        <v>661</v>
      </c>
      <c r="M90" s="1354"/>
      <c r="N90" s="310"/>
      <c r="O90" s="310"/>
      <c r="P90" s="311"/>
      <c r="R90" s="1354"/>
      <c r="S90" s="310"/>
      <c r="T90" s="310"/>
      <c r="U90" s="311"/>
      <c r="V90" s="105" t="s">
        <v>182</v>
      </c>
      <c r="W90" s="334">
        <v>7810</v>
      </c>
      <c r="X90" s="133">
        <v>70</v>
      </c>
      <c r="Y90" s="122" t="s">
        <v>183</v>
      </c>
      <c r="Z90" s="105" t="s">
        <v>182</v>
      </c>
      <c r="AA90" s="345">
        <v>54720</v>
      </c>
      <c r="AB90" s="134" t="s">
        <v>182</v>
      </c>
      <c r="AC90" s="134">
        <v>540</v>
      </c>
      <c r="AD90" s="135" t="s">
        <v>184</v>
      </c>
      <c r="AE90" s="105" t="s">
        <v>182</v>
      </c>
      <c r="AF90" s="345">
        <v>46910</v>
      </c>
      <c r="AG90" s="134" t="s">
        <v>182</v>
      </c>
      <c r="AH90" s="134">
        <v>460</v>
      </c>
      <c r="AI90" s="135" t="s">
        <v>184</v>
      </c>
      <c r="AK90" s="1357"/>
      <c r="AL90" s="106"/>
      <c r="AM90" s="106"/>
      <c r="AN90" s="131"/>
      <c r="AP90" s="348">
        <v>4460</v>
      </c>
      <c r="AQ90" s="106"/>
      <c r="AR90" s="106"/>
      <c r="AS90" s="131"/>
      <c r="AU90" s="1354"/>
      <c r="AV90" s="110"/>
      <c r="AW90" s="110"/>
      <c r="AX90" s="108"/>
      <c r="AZ90" s="353" t="s">
        <v>766</v>
      </c>
      <c r="BA90" s="1355"/>
      <c r="BB90" s="136" t="s">
        <v>767</v>
      </c>
      <c r="BC90" s="1355"/>
      <c r="BD90" s="353" t="s">
        <v>766</v>
      </c>
      <c r="BE90" s="1355"/>
      <c r="BF90" s="353" t="s">
        <v>663</v>
      </c>
      <c r="BH90" s="140">
        <v>4660</v>
      </c>
      <c r="BJ90" s="104" t="s">
        <v>785</v>
      </c>
      <c r="BL90" s="109"/>
      <c r="BM90" s="146"/>
      <c r="BN90" s="146"/>
      <c r="BO90" s="147"/>
      <c r="BQ90" s="109"/>
      <c r="BR90" s="146"/>
      <c r="BS90" s="146"/>
      <c r="BT90" s="146"/>
      <c r="BU90" s="147"/>
      <c r="BW90" s="132"/>
      <c r="BX90" s="153"/>
      <c r="BY90" s="153"/>
      <c r="BZ90" s="153"/>
      <c r="CA90" s="154"/>
      <c r="CC90" s="152">
        <v>0.91</v>
      </c>
    </row>
    <row r="91" spans="1:81" ht="75">
      <c r="A91" s="1403"/>
      <c r="B91" s="129" t="s">
        <v>208</v>
      </c>
      <c r="C91" s="130" t="s">
        <v>180</v>
      </c>
      <c r="D91" s="122" t="s">
        <v>181</v>
      </c>
      <c r="F91" s="327">
        <v>26770</v>
      </c>
      <c r="G91" s="328">
        <v>34580</v>
      </c>
      <c r="H91" s="105" t="s">
        <v>182</v>
      </c>
      <c r="I91" s="329">
        <v>250</v>
      </c>
      <c r="J91" s="330">
        <v>320</v>
      </c>
      <c r="K91" s="331" t="s">
        <v>661</v>
      </c>
      <c r="L91" s="105" t="s">
        <v>182</v>
      </c>
      <c r="M91" s="1353">
        <v>910</v>
      </c>
      <c r="N91" s="106" t="s">
        <v>182</v>
      </c>
      <c r="O91" s="106">
        <v>9</v>
      </c>
      <c r="P91" s="131" t="s">
        <v>184</v>
      </c>
      <c r="Q91" s="105" t="s">
        <v>182</v>
      </c>
      <c r="R91" s="1353">
        <v>3900</v>
      </c>
      <c r="S91" s="106" t="s">
        <v>182</v>
      </c>
      <c r="T91" s="106">
        <v>30</v>
      </c>
      <c r="U91" s="131" t="s">
        <v>184</v>
      </c>
      <c r="V91" s="105" t="s">
        <v>182</v>
      </c>
      <c r="W91" s="342">
        <v>7810</v>
      </c>
      <c r="X91" s="126">
        <v>70</v>
      </c>
      <c r="Y91" s="122" t="s">
        <v>183</v>
      </c>
      <c r="AA91" s="344"/>
      <c r="AF91" s="344" t="s">
        <v>185</v>
      </c>
      <c r="AJ91" s="105" t="s">
        <v>182</v>
      </c>
      <c r="AK91" s="1356" t="s">
        <v>188</v>
      </c>
      <c r="AL91" s="106" t="s">
        <v>182</v>
      </c>
      <c r="AM91" s="106" t="s">
        <v>188</v>
      </c>
      <c r="AN91" s="131"/>
      <c r="AP91" s="349" t="s">
        <v>209</v>
      </c>
      <c r="AQ91" s="106" t="s">
        <v>182</v>
      </c>
      <c r="AR91" s="106">
        <v>30</v>
      </c>
      <c r="AS91" s="131" t="s">
        <v>187</v>
      </c>
      <c r="AT91" s="105" t="s">
        <v>182</v>
      </c>
      <c r="AU91" s="1353">
        <v>650</v>
      </c>
      <c r="AV91" s="106" t="s">
        <v>182</v>
      </c>
      <c r="AW91" s="106">
        <v>6</v>
      </c>
      <c r="AX91" s="131" t="s">
        <v>184</v>
      </c>
      <c r="AY91" s="105" t="s">
        <v>182</v>
      </c>
      <c r="AZ91" s="352">
        <v>410</v>
      </c>
      <c r="BA91" s="1355" t="s">
        <v>664</v>
      </c>
      <c r="BB91" s="127">
        <v>4</v>
      </c>
      <c r="BC91" s="1355" t="s">
        <v>664</v>
      </c>
      <c r="BD91" s="352">
        <v>70</v>
      </c>
      <c r="BE91" s="1355" t="s">
        <v>664</v>
      </c>
      <c r="BF91" s="352">
        <v>1</v>
      </c>
      <c r="BH91" s="139" t="s">
        <v>776</v>
      </c>
      <c r="BI91" s="2" t="s">
        <v>182</v>
      </c>
      <c r="BJ91" s="130">
        <v>235</v>
      </c>
      <c r="BK91" s="105" t="s">
        <v>188</v>
      </c>
      <c r="BL91" s="132">
        <v>930</v>
      </c>
      <c r="BM91" s="153" t="s">
        <v>189</v>
      </c>
      <c r="BN91" s="153">
        <v>9</v>
      </c>
      <c r="BO91" s="154" t="s">
        <v>184</v>
      </c>
      <c r="BP91" s="105" t="s">
        <v>188</v>
      </c>
      <c r="BQ91" s="132">
        <v>3900</v>
      </c>
      <c r="BR91" s="153" t="s">
        <v>189</v>
      </c>
      <c r="BS91" s="153">
        <v>30</v>
      </c>
      <c r="BT91" s="153" t="s">
        <v>184</v>
      </c>
      <c r="BU91" s="154" t="s">
        <v>190</v>
      </c>
      <c r="BV91" s="105" t="s">
        <v>188</v>
      </c>
      <c r="BW91" s="125">
        <v>2910</v>
      </c>
      <c r="BX91" s="150" t="s">
        <v>189</v>
      </c>
      <c r="BY91" s="150">
        <v>20</v>
      </c>
      <c r="BZ91" s="150" t="s">
        <v>184</v>
      </c>
      <c r="CA91" s="151" t="s">
        <v>190</v>
      </c>
      <c r="CC91" s="152" t="s">
        <v>191</v>
      </c>
    </row>
    <row r="92" spans="1:81" ht="37.5">
      <c r="A92" s="1403"/>
      <c r="B92" s="129"/>
      <c r="C92" s="130"/>
      <c r="D92" s="122" t="s">
        <v>192</v>
      </c>
      <c r="F92" s="332">
        <v>34580</v>
      </c>
      <c r="G92" s="333"/>
      <c r="H92" s="105" t="s">
        <v>182</v>
      </c>
      <c r="I92" s="334">
        <v>320</v>
      </c>
      <c r="J92" s="335"/>
      <c r="K92" s="336" t="s">
        <v>661</v>
      </c>
      <c r="M92" s="1354"/>
      <c r="N92" s="106"/>
      <c r="O92" s="106"/>
      <c r="P92" s="131"/>
      <c r="R92" s="1354"/>
      <c r="S92" s="106"/>
      <c r="T92" s="106"/>
      <c r="U92" s="131"/>
      <c r="V92" s="105" t="s">
        <v>182</v>
      </c>
      <c r="W92" s="334">
        <v>7810</v>
      </c>
      <c r="X92" s="133">
        <v>70</v>
      </c>
      <c r="Y92" s="122" t="s">
        <v>183</v>
      </c>
      <c r="Z92" s="105" t="s">
        <v>182</v>
      </c>
      <c r="AA92" s="345">
        <v>54720</v>
      </c>
      <c r="AB92" s="134" t="s">
        <v>182</v>
      </c>
      <c r="AC92" s="134">
        <v>540</v>
      </c>
      <c r="AD92" s="135" t="s">
        <v>184</v>
      </c>
      <c r="AE92" s="105" t="s">
        <v>182</v>
      </c>
      <c r="AF92" s="345">
        <v>46910</v>
      </c>
      <c r="AG92" s="134" t="s">
        <v>182</v>
      </c>
      <c r="AH92" s="134">
        <v>460</v>
      </c>
      <c r="AI92" s="135" t="s">
        <v>184</v>
      </c>
      <c r="AK92" s="1357"/>
      <c r="AL92" s="110"/>
      <c r="AM92" s="110"/>
      <c r="AN92" s="108"/>
      <c r="AP92" s="348">
        <v>3900</v>
      </c>
      <c r="AQ92" s="106"/>
      <c r="AR92" s="106"/>
      <c r="AS92" s="131"/>
      <c r="AU92" s="1354"/>
      <c r="AV92" s="106"/>
      <c r="AW92" s="106"/>
      <c r="AX92" s="131"/>
      <c r="AZ92" s="353" t="s">
        <v>766</v>
      </c>
      <c r="BA92" s="1355"/>
      <c r="BB92" s="136" t="s">
        <v>767</v>
      </c>
      <c r="BC92" s="1355"/>
      <c r="BD92" s="353" t="s">
        <v>766</v>
      </c>
      <c r="BE92" s="1355"/>
      <c r="BF92" s="353" t="s">
        <v>663</v>
      </c>
      <c r="BH92" s="140">
        <v>4250</v>
      </c>
      <c r="BJ92" s="130" t="s">
        <v>785</v>
      </c>
      <c r="BL92" s="132"/>
      <c r="BM92" s="153"/>
      <c r="BN92" s="153"/>
      <c r="BO92" s="154"/>
      <c r="BQ92" s="132"/>
      <c r="BR92" s="153"/>
      <c r="BS92" s="153"/>
      <c r="BT92" s="153"/>
      <c r="BU92" s="154"/>
      <c r="BW92" s="109"/>
      <c r="BX92" s="146"/>
      <c r="BY92" s="146"/>
      <c r="BZ92" s="146"/>
      <c r="CA92" s="147"/>
      <c r="CC92" s="152">
        <v>0.93</v>
      </c>
    </row>
    <row r="93" spans="1:81" ht="75">
      <c r="A93" s="1403"/>
      <c r="B93" s="120" t="s">
        <v>210</v>
      </c>
      <c r="C93" s="121" t="s">
        <v>180</v>
      </c>
      <c r="D93" s="122" t="s">
        <v>181</v>
      </c>
      <c r="F93" s="327">
        <v>26000</v>
      </c>
      <c r="G93" s="328">
        <v>33810</v>
      </c>
      <c r="H93" s="105" t="s">
        <v>182</v>
      </c>
      <c r="I93" s="329">
        <v>240</v>
      </c>
      <c r="J93" s="330">
        <v>320</v>
      </c>
      <c r="K93" s="331" t="s">
        <v>661</v>
      </c>
      <c r="L93" s="105" t="s">
        <v>182</v>
      </c>
      <c r="M93" s="1353">
        <v>810</v>
      </c>
      <c r="N93" s="123" t="s">
        <v>182</v>
      </c>
      <c r="O93" s="123">
        <v>8</v>
      </c>
      <c r="P93" s="124" t="s">
        <v>184</v>
      </c>
      <c r="Q93" s="105" t="s">
        <v>182</v>
      </c>
      <c r="R93" s="1353">
        <v>3470</v>
      </c>
      <c r="S93" s="123" t="s">
        <v>182</v>
      </c>
      <c r="T93" s="123">
        <v>30</v>
      </c>
      <c r="U93" s="124" t="s">
        <v>184</v>
      </c>
      <c r="V93" s="105" t="s">
        <v>182</v>
      </c>
      <c r="W93" s="342">
        <v>7810</v>
      </c>
      <c r="X93" s="126">
        <v>70</v>
      </c>
      <c r="Y93" s="122" t="s">
        <v>183</v>
      </c>
      <c r="AA93" s="344"/>
      <c r="AF93" s="344" t="s">
        <v>185</v>
      </c>
      <c r="AJ93" s="105" t="s">
        <v>182</v>
      </c>
      <c r="AK93" s="1356">
        <v>640</v>
      </c>
      <c r="AL93" s="106" t="s">
        <v>182</v>
      </c>
      <c r="AM93" s="106">
        <v>6</v>
      </c>
      <c r="AN93" s="131" t="s">
        <v>184</v>
      </c>
      <c r="AP93" s="349" t="s">
        <v>211</v>
      </c>
      <c r="AQ93" s="106" t="s">
        <v>182</v>
      </c>
      <c r="AR93" s="106">
        <v>30</v>
      </c>
      <c r="AS93" s="131" t="s">
        <v>187</v>
      </c>
      <c r="AT93" s="105" t="s">
        <v>182</v>
      </c>
      <c r="AU93" s="1353">
        <v>570</v>
      </c>
      <c r="AV93" s="123" t="s">
        <v>182</v>
      </c>
      <c r="AW93" s="123">
        <v>5</v>
      </c>
      <c r="AX93" s="124" t="s">
        <v>184</v>
      </c>
      <c r="AY93" s="105" t="s">
        <v>182</v>
      </c>
      <c r="AZ93" s="352">
        <v>370</v>
      </c>
      <c r="BA93" s="1355" t="s">
        <v>664</v>
      </c>
      <c r="BB93" s="127">
        <v>3</v>
      </c>
      <c r="BC93" s="1355" t="s">
        <v>664</v>
      </c>
      <c r="BD93" s="352">
        <v>60</v>
      </c>
      <c r="BE93" s="1355" t="s">
        <v>664</v>
      </c>
      <c r="BF93" s="352">
        <v>1</v>
      </c>
      <c r="BH93" s="139" t="s">
        <v>777</v>
      </c>
      <c r="BI93" s="2" t="s">
        <v>182</v>
      </c>
      <c r="BJ93" s="121">
        <v>235</v>
      </c>
      <c r="BK93" s="105" t="s">
        <v>188</v>
      </c>
      <c r="BL93" s="125">
        <v>830</v>
      </c>
      <c r="BM93" s="150" t="s">
        <v>189</v>
      </c>
      <c r="BN93" s="150">
        <v>8</v>
      </c>
      <c r="BO93" s="151" t="s">
        <v>184</v>
      </c>
      <c r="BP93" s="105" t="s">
        <v>188</v>
      </c>
      <c r="BQ93" s="125">
        <v>3470</v>
      </c>
      <c r="BR93" s="150" t="s">
        <v>189</v>
      </c>
      <c r="BS93" s="150">
        <v>30</v>
      </c>
      <c r="BT93" s="150" t="s">
        <v>184</v>
      </c>
      <c r="BU93" s="151" t="s">
        <v>190</v>
      </c>
      <c r="BV93" s="105" t="s">
        <v>188</v>
      </c>
      <c r="BW93" s="132">
        <v>2580</v>
      </c>
      <c r="BX93" s="153" t="s">
        <v>189</v>
      </c>
      <c r="BY93" s="153">
        <v>20</v>
      </c>
      <c r="BZ93" s="153" t="s">
        <v>184</v>
      </c>
      <c r="CA93" s="154" t="s">
        <v>190</v>
      </c>
      <c r="CC93" s="152" t="s">
        <v>191</v>
      </c>
    </row>
    <row r="94" spans="1:81" ht="37.5">
      <c r="A94" s="1403"/>
      <c r="B94" s="103"/>
      <c r="C94" s="104"/>
      <c r="D94" s="122" t="s">
        <v>192</v>
      </c>
      <c r="F94" s="332">
        <v>33810</v>
      </c>
      <c r="G94" s="333"/>
      <c r="H94" s="105" t="s">
        <v>182</v>
      </c>
      <c r="I94" s="334">
        <v>320</v>
      </c>
      <c r="J94" s="335"/>
      <c r="K94" s="336" t="s">
        <v>661</v>
      </c>
      <c r="M94" s="1354"/>
      <c r="N94" s="310"/>
      <c r="O94" s="310"/>
      <c r="P94" s="311"/>
      <c r="R94" s="1354"/>
      <c r="S94" s="310"/>
      <c r="T94" s="310"/>
      <c r="U94" s="311"/>
      <c r="V94" s="105" t="s">
        <v>182</v>
      </c>
      <c r="W94" s="334">
        <v>7810</v>
      </c>
      <c r="X94" s="133">
        <v>70</v>
      </c>
      <c r="Y94" s="122" t="s">
        <v>183</v>
      </c>
      <c r="Z94" s="105" t="s">
        <v>182</v>
      </c>
      <c r="AA94" s="345">
        <v>54720</v>
      </c>
      <c r="AB94" s="134" t="s">
        <v>182</v>
      </c>
      <c r="AC94" s="134">
        <v>540</v>
      </c>
      <c r="AD94" s="135" t="s">
        <v>184</v>
      </c>
      <c r="AE94" s="105" t="s">
        <v>182</v>
      </c>
      <c r="AF94" s="345">
        <v>46910</v>
      </c>
      <c r="AG94" s="134" t="s">
        <v>182</v>
      </c>
      <c r="AH94" s="134">
        <v>460</v>
      </c>
      <c r="AI94" s="135" t="s">
        <v>184</v>
      </c>
      <c r="AK94" s="1357"/>
      <c r="AL94" s="106"/>
      <c r="AM94" s="106"/>
      <c r="AN94" s="131"/>
      <c r="AP94" s="348">
        <v>3470</v>
      </c>
      <c r="AQ94" s="106"/>
      <c r="AR94" s="106"/>
      <c r="AS94" s="131"/>
      <c r="AU94" s="1354"/>
      <c r="AV94" s="110"/>
      <c r="AW94" s="110"/>
      <c r="AX94" s="108"/>
      <c r="AZ94" s="353" t="s">
        <v>766</v>
      </c>
      <c r="BA94" s="1355"/>
      <c r="BB94" s="136" t="s">
        <v>767</v>
      </c>
      <c r="BC94" s="1355"/>
      <c r="BD94" s="353" t="s">
        <v>766</v>
      </c>
      <c r="BE94" s="1355"/>
      <c r="BF94" s="353" t="s">
        <v>663</v>
      </c>
      <c r="BH94" s="140">
        <v>3920</v>
      </c>
      <c r="BJ94" s="104" t="s">
        <v>785</v>
      </c>
      <c r="BL94" s="109"/>
      <c r="BM94" s="146"/>
      <c r="BN94" s="146"/>
      <c r="BO94" s="147"/>
      <c r="BQ94" s="109"/>
      <c r="BR94" s="146"/>
      <c r="BS94" s="146"/>
      <c r="BT94" s="146"/>
      <c r="BU94" s="147"/>
      <c r="BW94" s="132"/>
      <c r="BX94" s="153"/>
      <c r="BY94" s="153"/>
      <c r="BZ94" s="153"/>
      <c r="CA94" s="154"/>
      <c r="CC94" s="152">
        <v>0.96</v>
      </c>
    </row>
    <row r="95" spans="1:81" ht="75">
      <c r="A95" s="1403"/>
      <c r="B95" s="129" t="s">
        <v>212</v>
      </c>
      <c r="C95" s="130" t="s">
        <v>180</v>
      </c>
      <c r="D95" s="122" t="s">
        <v>181</v>
      </c>
      <c r="F95" s="327">
        <v>25420</v>
      </c>
      <c r="G95" s="328">
        <v>33230</v>
      </c>
      <c r="H95" s="105" t="s">
        <v>182</v>
      </c>
      <c r="I95" s="329">
        <v>230</v>
      </c>
      <c r="J95" s="330">
        <v>310</v>
      </c>
      <c r="K95" s="331" t="s">
        <v>661</v>
      </c>
      <c r="L95" s="105" t="s">
        <v>182</v>
      </c>
      <c r="M95" s="1353">
        <v>730</v>
      </c>
      <c r="N95" s="106" t="s">
        <v>182</v>
      </c>
      <c r="O95" s="106">
        <v>7</v>
      </c>
      <c r="P95" s="131" t="s">
        <v>184</v>
      </c>
      <c r="Q95" s="105" t="s">
        <v>182</v>
      </c>
      <c r="R95" s="1353">
        <v>3120</v>
      </c>
      <c r="S95" s="106" t="s">
        <v>182</v>
      </c>
      <c r="T95" s="106">
        <v>30</v>
      </c>
      <c r="U95" s="131" t="s">
        <v>184</v>
      </c>
      <c r="V95" s="105" t="s">
        <v>182</v>
      </c>
      <c r="W95" s="342">
        <v>7810</v>
      </c>
      <c r="X95" s="126">
        <v>70</v>
      </c>
      <c r="Y95" s="122" t="s">
        <v>183</v>
      </c>
      <c r="AA95" s="344"/>
      <c r="AF95" s="344" t="s">
        <v>185</v>
      </c>
      <c r="AJ95" s="105" t="s">
        <v>182</v>
      </c>
      <c r="AK95" s="1356">
        <v>570</v>
      </c>
      <c r="AL95" s="123" t="s">
        <v>182</v>
      </c>
      <c r="AM95" s="123">
        <v>5</v>
      </c>
      <c r="AN95" s="124" t="s">
        <v>184</v>
      </c>
      <c r="AP95" s="349" t="s">
        <v>213</v>
      </c>
      <c r="AQ95" s="106" t="s">
        <v>182</v>
      </c>
      <c r="AR95" s="106">
        <v>30</v>
      </c>
      <c r="AS95" s="131" t="s">
        <v>187</v>
      </c>
      <c r="AT95" s="105" t="s">
        <v>182</v>
      </c>
      <c r="AU95" s="1353">
        <v>520</v>
      </c>
      <c r="AV95" s="106" t="s">
        <v>182</v>
      </c>
      <c r="AW95" s="106">
        <v>5</v>
      </c>
      <c r="AX95" s="131" t="s">
        <v>184</v>
      </c>
      <c r="AY95" s="105" t="s">
        <v>182</v>
      </c>
      <c r="AZ95" s="352">
        <v>350</v>
      </c>
      <c r="BA95" s="1355" t="s">
        <v>664</v>
      </c>
      <c r="BB95" s="127">
        <v>3</v>
      </c>
      <c r="BC95" s="1355" t="s">
        <v>664</v>
      </c>
      <c r="BD95" s="352">
        <v>60</v>
      </c>
      <c r="BE95" s="1355" t="s">
        <v>664</v>
      </c>
      <c r="BF95" s="352">
        <v>1</v>
      </c>
      <c r="BH95" s="139" t="s">
        <v>778</v>
      </c>
      <c r="BI95" s="2" t="s">
        <v>182</v>
      </c>
      <c r="BJ95" s="130">
        <v>235</v>
      </c>
      <c r="BK95" s="105" t="s">
        <v>188</v>
      </c>
      <c r="BL95" s="132">
        <v>750</v>
      </c>
      <c r="BM95" s="153" t="s">
        <v>189</v>
      </c>
      <c r="BN95" s="153">
        <v>8</v>
      </c>
      <c r="BO95" s="154" t="s">
        <v>184</v>
      </c>
      <c r="BP95" s="105" t="s">
        <v>188</v>
      </c>
      <c r="BQ95" s="132">
        <v>3120</v>
      </c>
      <c r="BR95" s="153" t="s">
        <v>189</v>
      </c>
      <c r="BS95" s="153">
        <v>30</v>
      </c>
      <c r="BT95" s="153" t="s">
        <v>184</v>
      </c>
      <c r="BU95" s="154" t="s">
        <v>190</v>
      </c>
      <c r="BV95" s="105" t="s">
        <v>188</v>
      </c>
      <c r="BW95" s="125">
        <v>2320</v>
      </c>
      <c r="BX95" s="150" t="s">
        <v>189</v>
      </c>
      <c r="BY95" s="150">
        <v>20</v>
      </c>
      <c r="BZ95" s="150" t="s">
        <v>184</v>
      </c>
      <c r="CA95" s="151" t="s">
        <v>190</v>
      </c>
      <c r="CC95" s="152" t="s">
        <v>191</v>
      </c>
    </row>
    <row r="96" spans="1:81" ht="37.5">
      <c r="A96" s="1403"/>
      <c r="B96" s="129"/>
      <c r="C96" s="130"/>
      <c r="D96" s="122" t="s">
        <v>192</v>
      </c>
      <c r="F96" s="332">
        <v>33230</v>
      </c>
      <c r="G96" s="333"/>
      <c r="H96" s="105" t="s">
        <v>182</v>
      </c>
      <c r="I96" s="334">
        <v>310</v>
      </c>
      <c r="J96" s="335"/>
      <c r="K96" s="336" t="s">
        <v>661</v>
      </c>
      <c r="M96" s="1354"/>
      <c r="N96" s="106"/>
      <c r="O96" s="106"/>
      <c r="P96" s="131"/>
      <c r="R96" s="1354"/>
      <c r="S96" s="106"/>
      <c r="T96" s="106"/>
      <c r="U96" s="131"/>
      <c r="V96" s="105" t="s">
        <v>182</v>
      </c>
      <c r="W96" s="334">
        <v>7810</v>
      </c>
      <c r="X96" s="133">
        <v>70</v>
      </c>
      <c r="Y96" s="122" t="s">
        <v>183</v>
      </c>
      <c r="Z96" s="105" t="s">
        <v>182</v>
      </c>
      <c r="AA96" s="345">
        <v>54720</v>
      </c>
      <c r="AB96" s="134" t="s">
        <v>182</v>
      </c>
      <c r="AC96" s="134">
        <v>540</v>
      </c>
      <c r="AD96" s="135" t="s">
        <v>184</v>
      </c>
      <c r="AE96" s="105" t="s">
        <v>182</v>
      </c>
      <c r="AF96" s="345">
        <v>46910</v>
      </c>
      <c r="AG96" s="134" t="s">
        <v>182</v>
      </c>
      <c r="AH96" s="134">
        <v>460</v>
      </c>
      <c r="AI96" s="135" t="s">
        <v>184</v>
      </c>
      <c r="AK96" s="1357"/>
      <c r="AL96" s="110"/>
      <c r="AM96" s="110"/>
      <c r="AN96" s="108"/>
      <c r="AP96" s="348">
        <v>3120</v>
      </c>
      <c r="AQ96" s="106"/>
      <c r="AR96" s="106"/>
      <c r="AS96" s="131"/>
      <c r="AU96" s="1354"/>
      <c r="AV96" s="106"/>
      <c r="AW96" s="106"/>
      <c r="AX96" s="131"/>
      <c r="AZ96" s="353" t="s">
        <v>766</v>
      </c>
      <c r="BA96" s="1355"/>
      <c r="BB96" s="136" t="s">
        <v>767</v>
      </c>
      <c r="BC96" s="1355"/>
      <c r="BD96" s="353" t="s">
        <v>766</v>
      </c>
      <c r="BE96" s="1355"/>
      <c r="BF96" s="353" t="s">
        <v>663</v>
      </c>
      <c r="BH96" s="140">
        <v>3660</v>
      </c>
      <c r="BJ96" s="130" t="s">
        <v>785</v>
      </c>
      <c r="BL96" s="132"/>
      <c r="BM96" s="153"/>
      <c r="BN96" s="153"/>
      <c r="BO96" s="154"/>
      <c r="BQ96" s="132"/>
      <c r="BR96" s="153"/>
      <c r="BS96" s="153"/>
      <c r="BT96" s="153"/>
      <c r="BU96" s="154"/>
      <c r="BW96" s="109"/>
      <c r="BX96" s="146"/>
      <c r="BY96" s="146"/>
      <c r="BZ96" s="146"/>
      <c r="CA96" s="147"/>
      <c r="CC96" s="152">
        <v>0.99</v>
      </c>
    </row>
    <row r="97" spans="1:81" ht="75">
      <c r="A97" s="1403"/>
      <c r="B97" s="120" t="s">
        <v>214</v>
      </c>
      <c r="C97" s="121" t="s">
        <v>180</v>
      </c>
      <c r="D97" s="122" t="s">
        <v>181</v>
      </c>
      <c r="F97" s="327">
        <v>24510</v>
      </c>
      <c r="G97" s="328">
        <v>32320</v>
      </c>
      <c r="H97" s="105" t="s">
        <v>182</v>
      </c>
      <c r="I97" s="329">
        <v>220</v>
      </c>
      <c r="J97" s="330">
        <v>300</v>
      </c>
      <c r="K97" s="331" t="s">
        <v>661</v>
      </c>
      <c r="L97" s="105" t="s">
        <v>182</v>
      </c>
      <c r="M97" s="1353">
        <v>600</v>
      </c>
      <c r="N97" s="123" t="s">
        <v>182</v>
      </c>
      <c r="O97" s="123">
        <v>6</v>
      </c>
      <c r="P97" s="124" t="s">
        <v>184</v>
      </c>
      <c r="Q97" s="105" t="s">
        <v>182</v>
      </c>
      <c r="R97" s="1353">
        <v>2600</v>
      </c>
      <c r="S97" s="123" t="s">
        <v>182</v>
      </c>
      <c r="T97" s="123">
        <v>20</v>
      </c>
      <c r="U97" s="124" t="s">
        <v>184</v>
      </c>
      <c r="V97" s="105" t="s">
        <v>182</v>
      </c>
      <c r="W97" s="342">
        <v>7810</v>
      </c>
      <c r="X97" s="126">
        <v>70</v>
      </c>
      <c r="Y97" s="122" t="s">
        <v>183</v>
      </c>
      <c r="AA97" s="344"/>
      <c r="AF97" s="344" t="s">
        <v>185</v>
      </c>
      <c r="AJ97" s="105" t="s">
        <v>182</v>
      </c>
      <c r="AK97" s="1356">
        <v>480</v>
      </c>
      <c r="AL97" s="106" t="s">
        <v>182</v>
      </c>
      <c r="AM97" s="106">
        <v>4</v>
      </c>
      <c r="AN97" s="131" t="s">
        <v>184</v>
      </c>
      <c r="AP97" s="349" t="s">
        <v>215</v>
      </c>
      <c r="AQ97" s="106" t="s">
        <v>182</v>
      </c>
      <c r="AR97" s="106">
        <v>20</v>
      </c>
      <c r="AS97" s="131" t="s">
        <v>187</v>
      </c>
      <c r="AT97" s="105" t="s">
        <v>182</v>
      </c>
      <c r="AU97" s="1353">
        <v>500</v>
      </c>
      <c r="AV97" s="123" t="s">
        <v>182</v>
      </c>
      <c r="AW97" s="123">
        <v>5</v>
      </c>
      <c r="AX97" s="124" t="s">
        <v>184</v>
      </c>
      <c r="AY97" s="105" t="s">
        <v>182</v>
      </c>
      <c r="AZ97" s="352">
        <v>300</v>
      </c>
      <c r="BA97" s="1355" t="s">
        <v>664</v>
      </c>
      <c r="BB97" s="127">
        <v>3</v>
      </c>
      <c r="BC97" s="1355" t="s">
        <v>664</v>
      </c>
      <c r="BD97" s="352">
        <v>50</v>
      </c>
      <c r="BE97" s="1355" t="s">
        <v>664</v>
      </c>
      <c r="BF97" s="352">
        <v>1</v>
      </c>
      <c r="BH97" s="139" t="s">
        <v>779</v>
      </c>
      <c r="BI97" s="2" t="s">
        <v>182</v>
      </c>
      <c r="BJ97" s="121">
        <v>235</v>
      </c>
      <c r="BK97" s="105" t="s">
        <v>188</v>
      </c>
      <c r="BL97" s="125">
        <v>620</v>
      </c>
      <c r="BM97" s="150" t="s">
        <v>189</v>
      </c>
      <c r="BN97" s="150">
        <v>6</v>
      </c>
      <c r="BO97" s="151" t="s">
        <v>184</v>
      </c>
      <c r="BP97" s="105" t="s">
        <v>188</v>
      </c>
      <c r="BQ97" s="125">
        <v>2600</v>
      </c>
      <c r="BR97" s="150" t="s">
        <v>189</v>
      </c>
      <c r="BS97" s="150">
        <v>20</v>
      </c>
      <c r="BT97" s="150" t="s">
        <v>184</v>
      </c>
      <c r="BU97" s="151" t="s">
        <v>190</v>
      </c>
      <c r="BV97" s="105" t="s">
        <v>188</v>
      </c>
      <c r="BW97" s="132">
        <v>1940</v>
      </c>
      <c r="BX97" s="153" t="s">
        <v>189</v>
      </c>
      <c r="BY97" s="153">
        <v>10</v>
      </c>
      <c r="BZ97" s="153" t="s">
        <v>184</v>
      </c>
      <c r="CA97" s="154" t="s">
        <v>190</v>
      </c>
      <c r="CC97" s="152" t="s">
        <v>191</v>
      </c>
    </row>
    <row r="98" spans="1:81" ht="37.5">
      <c r="A98" s="1403"/>
      <c r="B98" s="103"/>
      <c r="C98" s="104"/>
      <c r="D98" s="122" t="s">
        <v>192</v>
      </c>
      <c r="F98" s="332">
        <v>32320</v>
      </c>
      <c r="G98" s="333"/>
      <c r="H98" s="105" t="s">
        <v>182</v>
      </c>
      <c r="I98" s="334">
        <v>300</v>
      </c>
      <c r="J98" s="335"/>
      <c r="K98" s="336" t="s">
        <v>661</v>
      </c>
      <c r="M98" s="1354"/>
      <c r="N98" s="310"/>
      <c r="O98" s="310"/>
      <c r="P98" s="311"/>
      <c r="R98" s="1354"/>
      <c r="S98" s="310"/>
      <c r="T98" s="310"/>
      <c r="U98" s="311"/>
      <c r="V98" s="105" t="s">
        <v>182</v>
      </c>
      <c r="W98" s="334">
        <v>7810</v>
      </c>
      <c r="X98" s="133">
        <v>70</v>
      </c>
      <c r="Y98" s="122" t="s">
        <v>183</v>
      </c>
      <c r="Z98" s="105" t="s">
        <v>182</v>
      </c>
      <c r="AA98" s="345">
        <v>54720</v>
      </c>
      <c r="AB98" s="134" t="s">
        <v>182</v>
      </c>
      <c r="AC98" s="134">
        <v>540</v>
      </c>
      <c r="AD98" s="135" t="s">
        <v>184</v>
      </c>
      <c r="AE98" s="105" t="s">
        <v>182</v>
      </c>
      <c r="AF98" s="345">
        <v>46910</v>
      </c>
      <c r="AG98" s="134" t="s">
        <v>182</v>
      </c>
      <c r="AH98" s="134">
        <v>460</v>
      </c>
      <c r="AI98" s="135" t="s">
        <v>184</v>
      </c>
      <c r="AK98" s="1357"/>
      <c r="AL98" s="106"/>
      <c r="AM98" s="106"/>
      <c r="AN98" s="131"/>
      <c r="AP98" s="348">
        <v>2600</v>
      </c>
      <c r="AQ98" s="106"/>
      <c r="AR98" s="106"/>
      <c r="AS98" s="131"/>
      <c r="AU98" s="1354"/>
      <c r="AV98" s="110"/>
      <c r="AW98" s="110"/>
      <c r="AX98" s="108"/>
      <c r="AZ98" s="353" t="s">
        <v>766</v>
      </c>
      <c r="BA98" s="1355"/>
      <c r="BB98" s="136" t="s">
        <v>767</v>
      </c>
      <c r="BC98" s="1355"/>
      <c r="BD98" s="353" t="s">
        <v>766</v>
      </c>
      <c r="BE98" s="1355"/>
      <c r="BF98" s="353" t="s">
        <v>663</v>
      </c>
      <c r="BH98" s="140">
        <v>3160</v>
      </c>
      <c r="BJ98" s="104" t="s">
        <v>785</v>
      </c>
      <c r="BL98" s="109"/>
      <c r="BM98" s="146"/>
      <c r="BN98" s="146"/>
      <c r="BO98" s="147"/>
      <c r="BQ98" s="109"/>
      <c r="BR98" s="146"/>
      <c r="BS98" s="146"/>
      <c r="BT98" s="146"/>
      <c r="BU98" s="147"/>
      <c r="BW98" s="132"/>
      <c r="BX98" s="153"/>
      <c r="BY98" s="153"/>
      <c r="BZ98" s="153"/>
      <c r="CA98" s="154"/>
      <c r="CC98" s="152">
        <v>0.92</v>
      </c>
    </row>
    <row r="99" spans="1:81" ht="75">
      <c r="A99" s="1403"/>
      <c r="B99" s="129" t="s">
        <v>216</v>
      </c>
      <c r="C99" s="130" t="s">
        <v>180</v>
      </c>
      <c r="D99" s="122" t="s">
        <v>181</v>
      </c>
      <c r="F99" s="327">
        <v>23850</v>
      </c>
      <c r="G99" s="328">
        <v>31660</v>
      </c>
      <c r="H99" s="105" t="s">
        <v>182</v>
      </c>
      <c r="I99" s="329">
        <v>220</v>
      </c>
      <c r="J99" s="330">
        <v>290</v>
      </c>
      <c r="K99" s="331" t="s">
        <v>661</v>
      </c>
      <c r="L99" s="105" t="s">
        <v>182</v>
      </c>
      <c r="M99" s="1353">
        <v>520</v>
      </c>
      <c r="N99" s="106" t="s">
        <v>182</v>
      </c>
      <c r="O99" s="106">
        <v>5</v>
      </c>
      <c r="P99" s="131" t="s">
        <v>184</v>
      </c>
      <c r="Q99" s="105" t="s">
        <v>182</v>
      </c>
      <c r="R99" s="1353">
        <v>2230</v>
      </c>
      <c r="S99" s="106" t="s">
        <v>182</v>
      </c>
      <c r="T99" s="106">
        <v>20</v>
      </c>
      <c r="U99" s="131" t="s">
        <v>184</v>
      </c>
      <c r="V99" s="105" t="s">
        <v>182</v>
      </c>
      <c r="W99" s="342">
        <v>7810</v>
      </c>
      <c r="X99" s="126">
        <v>70</v>
      </c>
      <c r="Y99" s="122" t="s">
        <v>183</v>
      </c>
      <c r="AA99" s="344"/>
      <c r="AF99" s="344" t="s">
        <v>185</v>
      </c>
      <c r="AJ99" s="105" t="s">
        <v>182</v>
      </c>
      <c r="AK99" s="1356">
        <v>410</v>
      </c>
      <c r="AL99" s="123" t="s">
        <v>182</v>
      </c>
      <c r="AM99" s="123">
        <v>4</v>
      </c>
      <c r="AN99" s="124" t="s">
        <v>184</v>
      </c>
      <c r="AP99" s="349" t="s">
        <v>217</v>
      </c>
      <c r="AQ99" s="106" t="s">
        <v>182</v>
      </c>
      <c r="AR99" s="106">
        <v>20</v>
      </c>
      <c r="AS99" s="131" t="s">
        <v>187</v>
      </c>
      <c r="AT99" s="105" t="s">
        <v>182</v>
      </c>
      <c r="AU99" s="1353">
        <v>500</v>
      </c>
      <c r="AV99" s="106" t="s">
        <v>182</v>
      </c>
      <c r="AW99" s="106">
        <v>5</v>
      </c>
      <c r="AX99" s="131" t="s">
        <v>184</v>
      </c>
      <c r="AY99" s="105" t="s">
        <v>182</v>
      </c>
      <c r="AZ99" s="352">
        <v>270</v>
      </c>
      <c r="BA99" s="1355" t="s">
        <v>664</v>
      </c>
      <c r="BB99" s="127">
        <v>2</v>
      </c>
      <c r="BC99" s="1355" t="s">
        <v>664</v>
      </c>
      <c r="BD99" s="352">
        <v>40</v>
      </c>
      <c r="BE99" s="1355" t="s">
        <v>664</v>
      </c>
      <c r="BF99" s="352">
        <v>1</v>
      </c>
      <c r="BH99" s="139" t="s">
        <v>780</v>
      </c>
      <c r="BI99" s="2" t="s">
        <v>182</v>
      </c>
      <c r="BJ99" s="130">
        <v>235</v>
      </c>
      <c r="BK99" s="105" t="s">
        <v>188</v>
      </c>
      <c r="BL99" s="132">
        <v>530</v>
      </c>
      <c r="BM99" s="153" t="s">
        <v>189</v>
      </c>
      <c r="BN99" s="153">
        <v>5</v>
      </c>
      <c r="BO99" s="154" t="s">
        <v>184</v>
      </c>
      <c r="BP99" s="105" t="s">
        <v>188</v>
      </c>
      <c r="BQ99" s="132">
        <v>2230</v>
      </c>
      <c r="BR99" s="153" t="s">
        <v>189</v>
      </c>
      <c r="BS99" s="153">
        <v>20</v>
      </c>
      <c r="BT99" s="153" t="s">
        <v>184</v>
      </c>
      <c r="BU99" s="154" t="s">
        <v>190</v>
      </c>
      <c r="BV99" s="105" t="s">
        <v>188</v>
      </c>
      <c r="BW99" s="125">
        <v>1660</v>
      </c>
      <c r="BX99" s="150" t="s">
        <v>189</v>
      </c>
      <c r="BY99" s="150">
        <v>10</v>
      </c>
      <c r="BZ99" s="150" t="s">
        <v>184</v>
      </c>
      <c r="CA99" s="151" t="s">
        <v>190</v>
      </c>
      <c r="CC99" s="152" t="s">
        <v>191</v>
      </c>
    </row>
    <row r="100" spans="1:81" ht="37.5">
      <c r="A100" s="1403"/>
      <c r="B100" s="129"/>
      <c r="C100" s="130"/>
      <c r="D100" s="122" t="s">
        <v>192</v>
      </c>
      <c r="F100" s="332">
        <v>31660</v>
      </c>
      <c r="G100" s="333"/>
      <c r="H100" s="105" t="s">
        <v>182</v>
      </c>
      <c r="I100" s="334">
        <v>290</v>
      </c>
      <c r="J100" s="335"/>
      <c r="K100" s="336" t="s">
        <v>661</v>
      </c>
      <c r="M100" s="1354"/>
      <c r="N100" s="106"/>
      <c r="O100" s="106"/>
      <c r="P100" s="131"/>
      <c r="R100" s="1354"/>
      <c r="S100" s="106"/>
      <c r="T100" s="106"/>
      <c r="U100" s="131"/>
      <c r="V100" s="105" t="s">
        <v>182</v>
      </c>
      <c r="W100" s="334">
        <v>7810</v>
      </c>
      <c r="X100" s="133">
        <v>70</v>
      </c>
      <c r="Y100" s="122" t="s">
        <v>183</v>
      </c>
      <c r="Z100" s="105" t="s">
        <v>182</v>
      </c>
      <c r="AA100" s="345">
        <v>54720</v>
      </c>
      <c r="AB100" s="134" t="s">
        <v>182</v>
      </c>
      <c r="AC100" s="134">
        <v>540</v>
      </c>
      <c r="AD100" s="135" t="s">
        <v>184</v>
      </c>
      <c r="AE100" s="105" t="s">
        <v>182</v>
      </c>
      <c r="AF100" s="345">
        <v>46910</v>
      </c>
      <c r="AG100" s="134" t="s">
        <v>182</v>
      </c>
      <c r="AH100" s="134">
        <v>460</v>
      </c>
      <c r="AI100" s="135" t="s">
        <v>184</v>
      </c>
      <c r="AK100" s="1357"/>
      <c r="AL100" s="110"/>
      <c r="AM100" s="110"/>
      <c r="AN100" s="108"/>
      <c r="AP100" s="348">
        <v>2230</v>
      </c>
      <c r="AQ100" s="106"/>
      <c r="AR100" s="106"/>
      <c r="AS100" s="131"/>
      <c r="AU100" s="1354"/>
      <c r="AV100" s="106"/>
      <c r="AW100" s="106"/>
      <c r="AX100" s="131"/>
      <c r="AZ100" s="353" t="s">
        <v>766</v>
      </c>
      <c r="BA100" s="1355"/>
      <c r="BB100" s="136" t="s">
        <v>767</v>
      </c>
      <c r="BC100" s="1355"/>
      <c r="BD100" s="353" t="s">
        <v>766</v>
      </c>
      <c r="BE100" s="1355"/>
      <c r="BF100" s="353" t="s">
        <v>663</v>
      </c>
      <c r="BH100" s="140">
        <v>2810</v>
      </c>
      <c r="BJ100" s="130" t="s">
        <v>785</v>
      </c>
      <c r="BL100" s="132"/>
      <c r="BM100" s="153"/>
      <c r="BN100" s="153"/>
      <c r="BO100" s="154"/>
      <c r="BQ100" s="132"/>
      <c r="BR100" s="153"/>
      <c r="BS100" s="153"/>
      <c r="BT100" s="153"/>
      <c r="BU100" s="154"/>
      <c r="BW100" s="109"/>
      <c r="BX100" s="146"/>
      <c r="BY100" s="146"/>
      <c r="BZ100" s="146"/>
      <c r="CA100" s="147"/>
      <c r="CC100" s="152">
        <v>0.95</v>
      </c>
    </row>
    <row r="101" spans="1:81" ht="75">
      <c r="A101" s="1403"/>
      <c r="B101" s="120" t="s">
        <v>218</v>
      </c>
      <c r="C101" s="121" t="s">
        <v>180</v>
      </c>
      <c r="D101" s="122" t="s">
        <v>181</v>
      </c>
      <c r="F101" s="327">
        <v>23370</v>
      </c>
      <c r="G101" s="328">
        <v>31180</v>
      </c>
      <c r="H101" s="105" t="s">
        <v>182</v>
      </c>
      <c r="I101" s="329">
        <v>210</v>
      </c>
      <c r="J101" s="330">
        <v>290</v>
      </c>
      <c r="K101" s="331" t="s">
        <v>661</v>
      </c>
      <c r="L101" s="105" t="s">
        <v>182</v>
      </c>
      <c r="M101" s="1353">
        <v>450</v>
      </c>
      <c r="N101" s="123" t="s">
        <v>182</v>
      </c>
      <c r="O101" s="123">
        <v>4</v>
      </c>
      <c r="P101" s="124" t="s">
        <v>184</v>
      </c>
      <c r="Q101" s="105" t="s">
        <v>182</v>
      </c>
      <c r="R101" s="1353">
        <v>1950</v>
      </c>
      <c r="S101" s="123" t="s">
        <v>182</v>
      </c>
      <c r="T101" s="123">
        <v>10</v>
      </c>
      <c r="U101" s="124" t="s">
        <v>184</v>
      </c>
      <c r="V101" s="105" t="s">
        <v>182</v>
      </c>
      <c r="W101" s="342">
        <v>7810</v>
      </c>
      <c r="X101" s="126">
        <v>70</v>
      </c>
      <c r="Y101" s="122" t="s">
        <v>183</v>
      </c>
      <c r="AA101" s="344"/>
      <c r="AF101" s="344" t="s">
        <v>185</v>
      </c>
      <c r="AJ101" s="105" t="s">
        <v>182</v>
      </c>
      <c r="AK101" s="1356">
        <v>360</v>
      </c>
      <c r="AL101" s="106" t="s">
        <v>182</v>
      </c>
      <c r="AM101" s="106">
        <v>3</v>
      </c>
      <c r="AN101" s="131" t="s">
        <v>184</v>
      </c>
      <c r="AP101" s="349" t="s">
        <v>219</v>
      </c>
      <c r="AQ101" s="106" t="s">
        <v>182</v>
      </c>
      <c r="AR101" s="106">
        <v>10</v>
      </c>
      <c r="AS101" s="131" t="s">
        <v>187</v>
      </c>
      <c r="AT101" s="105" t="s">
        <v>182</v>
      </c>
      <c r="AU101" s="1353">
        <v>500</v>
      </c>
      <c r="AV101" s="123" t="s">
        <v>182</v>
      </c>
      <c r="AW101" s="123">
        <v>5</v>
      </c>
      <c r="AX101" s="124" t="s">
        <v>184</v>
      </c>
      <c r="AY101" s="105" t="s">
        <v>182</v>
      </c>
      <c r="AZ101" s="352">
        <v>250</v>
      </c>
      <c r="BA101" s="1355" t="s">
        <v>664</v>
      </c>
      <c r="BB101" s="127">
        <v>2</v>
      </c>
      <c r="BC101" s="1355" t="s">
        <v>664</v>
      </c>
      <c r="BD101" s="352">
        <v>40</v>
      </c>
      <c r="BE101" s="1355" t="s">
        <v>664</v>
      </c>
      <c r="BF101" s="352">
        <v>1</v>
      </c>
      <c r="BH101" s="139" t="s">
        <v>781</v>
      </c>
      <c r="BI101" s="2" t="s">
        <v>182</v>
      </c>
      <c r="BJ101" s="121">
        <v>235</v>
      </c>
      <c r="BK101" s="105" t="s">
        <v>188</v>
      </c>
      <c r="BL101" s="125">
        <v>460</v>
      </c>
      <c r="BM101" s="150" t="s">
        <v>189</v>
      </c>
      <c r="BN101" s="150">
        <v>5</v>
      </c>
      <c r="BO101" s="151" t="s">
        <v>184</v>
      </c>
      <c r="BP101" s="105" t="s">
        <v>188</v>
      </c>
      <c r="BQ101" s="125">
        <v>1950</v>
      </c>
      <c r="BR101" s="150" t="s">
        <v>189</v>
      </c>
      <c r="BS101" s="150">
        <v>20</v>
      </c>
      <c r="BT101" s="150" t="s">
        <v>184</v>
      </c>
      <c r="BU101" s="151" t="s">
        <v>190</v>
      </c>
      <c r="BV101" s="105" t="s">
        <v>188</v>
      </c>
      <c r="BW101" s="132">
        <v>1450</v>
      </c>
      <c r="BX101" s="153" t="s">
        <v>189</v>
      </c>
      <c r="BY101" s="153">
        <v>10</v>
      </c>
      <c r="BZ101" s="153" t="s">
        <v>184</v>
      </c>
      <c r="CA101" s="154" t="s">
        <v>190</v>
      </c>
      <c r="CC101" s="152" t="s">
        <v>191</v>
      </c>
    </row>
    <row r="102" spans="1:81" ht="37.5">
      <c r="A102" s="1403"/>
      <c r="B102" s="103"/>
      <c r="C102" s="104"/>
      <c r="D102" s="122" t="s">
        <v>192</v>
      </c>
      <c r="F102" s="332">
        <v>31180</v>
      </c>
      <c r="G102" s="333"/>
      <c r="H102" s="105" t="s">
        <v>182</v>
      </c>
      <c r="I102" s="334">
        <v>290</v>
      </c>
      <c r="J102" s="335"/>
      <c r="K102" s="336" t="s">
        <v>661</v>
      </c>
      <c r="M102" s="1354"/>
      <c r="N102" s="310"/>
      <c r="O102" s="310"/>
      <c r="P102" s="311"/>
      <c r="R102" s="1354"/>
      <c r="S102" s="310"/>
      <c r="T102" s="310"/>
      <c r="U102" s="311"/>
      <c r="V102" s="105" t="s">
        <v>182</v>
      </c>
      <c r="W102" s="334">
        <v>7810</v>
      </c>
      <c r="X102" s="133">
        <v>70</v>
      </c>
      <c r="Y102" s="122" t="s">
        <v>183</v>
      </c>
      <c r="Z102" s="105" t="s">
        <v>182</v>
      </c>
      <c r="AA102" s="345">
        <v>54720</v>
      </c>
      <c r="AB102" s="134" t="s">
        <v>182</v>
      </c>
      <c r="AC102" s="134">
        <v>540</v>
      </c>
      <c r="AD102" s="135" t="s">
        <v>184</v>
      </c>
      <c r="AE102" s="105" t="s">
        <v>182</v>
      </c>
      <c r="AF102" s="345">
        <v>46910</v>
      </c>
      <c r="AG102" s="134" t="s">
        <v>182</v>
      </c>
      <c r="AH102" s="134">
        <v>460</v>
      </c>
      <c r="AI102" s="135" t="s">
        <v>184</v>
      </c>
      <c r="AK102" s="1357"/>
      <c r="AL102" s="106"/>
      <c r="AM102" s="106"/>
      <c r="AN102" s="131"/>
      <c r="AP102" s="348">
        <v>1950</v>
      </c>
      <c r="AQ102" s="106"/>
      <c r="AR102" s="106"/>
      <c r="AS102" s="131"/>
      <c r="AU102" s="1354"/>
      <c r="AV102" s="110"/>
      <c r="AW102" s="110"/>
      <c r="AX102" s="108"/>
      <c r="AZ102" s="353" t="s">
        <v>766</v>
      </c>
      <c r="BA102" s="1355"/>
      <c r="BB102" s="136" t="s">
        <v>767</v>
      </c>
      <c r="BC102" s="1355"/>
      <c r="BD102" s="353" t="s">
        <v>766</v>
      </c>
      <c r="BE102" s="1355"/>
      <c r="BF102" s="353" t="s">
        <v>663</v>
      </c>
      <c r="BH102" s="140">
        <v>2540</v>
      </c>
      <c r="BJ102" s="104" t="s">
        <v>785</v>
      </c>
      <c r="BL102" s="109"/>
      <c r="BM102" s="146"/>
      <c r="BN102" s="146"/>
      <c r="BO102" s="147"/>
      <c r="BQ102" s="109"/>
      <c r="BR102" s="146"/>
      <c r="BS102" s="146"/>
      <c r="BT102" s="146"/>
      <c r="BU102" s="147"/>
      <c r="BW102" s="132"/>
      <c r="BX102" s="153"/>
      <c r="BY102" s="153"/>
      <c r="BZ102" s="153"/>
      <c r="CA102" s="154"/>
      <c r="CC102" s="152">
        <v>0.99</v>
      </c>
    </row>
    <row r="103" spans="1:81" ht="75">
      <c r="A103" s="1403"/>
      <c r="B103" s="129" t="s">
        <v>220</v>
      </c>
      <c r="C103" s="130" t="s">
        <v>180</v>
      </c>
      <c r="D103" s="122" t="s">
        <v>181</v>
      </c>
      <c r="F103" s="327">
        <v>23000</v>
      </c>
      <c r="G103" s="328">
        <v>30810</v>
      </c>
      <c r="H103" s="105" t="s">
        <v>182</v>
      </c>
      <c r="I103" s="329">
        <v>210</v>
      </c>
      <c r="J103" s="330">
        <v>290</v>
      </c>
      <c r="K103" s="331" t="s">
        <v>661</v>
      </c>
      <c r="L103" s="105" t="s">
        <v>182</v>
      </c>
      <c r="M103" s="1353">
        <v>400</v>
      </c>
      <c r="N103" s="106" t="s">
        <v>182</v>
      </c>
      <c r="O103" s="106">
        <v>4</v>
      </c>
      <c r="P103" s="131" t="s">
        <v>184</v>
      </c>
      <c r="Q103" s="105" t="s">
        <v>182</v>
      </c>
      <c r="R103" s="1353">
        <v>1730</v>
      </c>
      <c r="S103" s="106" t="s">
        <v>182</v>
      </c>
      <c r="T103" s="106">
        <v>10</v>
      </c>
      <c r="U103" s="131" t="s">
        <v>184</v>
      </c>
      <c r="V103" s="105" t="s">
        <v>182</v>
      </c>
      <c r="W103" s="342">
        <v>7810</v>
      </c>
      <c r="X103" s="126">
        <v>70</v>
      </c>
      <c r="Y103" s="122" t="s">
        <v>183</v>
      </c>
      <c r="AA103" s="344"/>
      <c r="AF103" s="344" t="s">
        <v>185</v>
      </c>
      <c r="AJ103" s="105" t="s">
        <v>182</v>
      </c>
      <c r="AK103" s="1356">
        <v>320</v>
      </c>
      <c r="AL103" s="123" t="s">
        <v>182</v>
      </c>
      <c r="AM103" s="123">
        <v>3</v>
      </c>
      <c r="AN103" s="124" t="s">
        <v>184</v>
      </c>
      <c r="AP103" s="349" t="s">
        <v>221</v>
      </c>
      <c r="AQ103" s="106" t="s">
        <v>182</v>
      </c>
      <c r="AR103" s="106">
        <v>10</v>
      </c>
      <c r="AS103" s="131" t="s">
        <v>187</v>
      </c>
      <c r="AT103" s="105" t="s">
        <v>182</v>
      </c>
      <c r="AU103" s="1353">
        <v>500</v>
      </c>
      <c r="AV103" s="106" t="s">
        <v>182</v>
      </c>
      <c r="AW103" s="106">
        <v>5</v>
      </c>
      <c r="AX103" s="131" t="s">
        <v>184</v>
      </c>
      <c r="AY103" s="105" t="s">
        <v>182</v>
      </c>
      <c r="AZ103" s="352">
        <v>220</v>
      </c>
      <c r="BA103" s="1355" t="s">
        <v>664</v>
      </c>
      <c r="BB103" s="127">
        <v>2</v>
      </c>
      <c r="BC103" s="1355" t="s">
        <v>664</v>
      </c>
      <c r="BD103" s="352">
        <v>40</v>
      </c>
      <c r="BE103" s="1355" t="s">
        <v>664</v>
      </c>
      <c r="BF103" s="352">
        <v>1</v>
      </c>
      <c r="BH103" s="139" t="s">
        <v>782</v>
      </c>
      <c r="BI103" s="2" t="s">
        <v>182</v>
      </c>
      <c r="BJ103" s="130">
        <v>235</v>
      </c>
      <c r="BK103" s="105" t="s">
        <v>188</v>
      </c>
      <c r="BL103" s="132">
        <v>410</v>
      </c>
      <c r="BM103" s="153" t="s">
        <v>189</v>
      </c>
      <c r="BN103" s="153">
        <v>4</v>
      </c>
      <c r="BO103" s="154" t="s">
        <v>184</v>
      </c>
      <c r="BP103" s="105" t="s">
        <v>188</v>
      </c>
      <c r="BQ103" s="132">
        <v>1730</v>
      </c>
      <c r="BR103" s="153" t="s">
        <v>189</v>
      </c>
      <c r="BS103" s="153">
        <v>10</v>
      </c>
      <c r="BT103" s="153" t="s">
        <v>184</v>
      </c>
      <c r="BU103" s="154" t="s">
        <v>190</v>
      </c>
      <c r="BV103" s="105" t="s">
        <v>188</v>
      </c>
      <c r="BW103" s="125">
        <v>1290</v>
      </c>
      <c r="BX103" s="150" t="s">
        <v>189</v>
      </c>
      <c r="BY103" s="150">
        <v>10</v>
      </c>
      <c r="BZ103" s="150" t="s">
        <v>184</v>
      </c>
      <c r="CA103" s="151" t="s">
        <v>190</v>
      </c>
      <c r="CC103" s="152" t="s">
        <v>191</v>
      </c>
    </row>
    <row r="104" spans="1:81" ht="37.5">
      <c r="A104" s="1403"/>
      <c r="B104" s="129"/>
      <c r="C104" s="130"/>
      <c r="D104" s="122" t="s">
        <v>192</v>
      </c>
      <c r="F104" s="332">
        <v>30810</v>
      </c>
      <c r="G104" s="333"/>
      <c r="H104" s="105" t="s">
        <v>182</v>
      </c>
      <c r="I104" s="334">
        <v>290</v>
      </c>
      <c r="J104" s="335"/>
      <c r="K104" s="336" t="s">
        <v>661</v>
      </c>
      <c r="M104" s="1354"/>
      <c r="N104" s="106"/>
      <c r="O104" s="106"/>
      <c r="P104" s="131"/>
      <c r="R104" s="1354"/>
      <c r="S104" s="106"/>
      <c r="T104" s="106"/>
      <c r="U104" s="131"/>
      <c r="V104" s="105" t="s">
        <v>182</v>
      </c>
      <c r="W104" s="334">
        <v>7810</v>
      </c>
      <c r="X104" s="133">
        <v>70</v>
      </c>
      <c r="Y104" s="122" t="s">
        <v>183</v>
      </c>
      <c r="Z104" s="105" t="s">
        <v>182</v>
      </c>
      <c r="AA104" s="345">
        <v>54720</v>
      </c>
      <c r="AB104" s="134" t="s">
        <v>182</v>
      </c>
      <c r="AC104" s="134">
        <v>540</v>
      </c>
      <c r="AD104" s="135" t="s">
        <v>184</v>
      </c>
      <c r="AE104" s="105" t="s">
        <v>182</v>
      </c>
      <c r="AF104" s="345">
        <v>46910</v>
      </c>
      <c r="AG104" s="134" t="s">
        <v>182</v>
      </c>
      <c r="AH104" s="134">
        <v>460</v>
      </c>
      <c r="AI104" s="135" t="s">
        <v>184</v>
      </c>
      <c r="AK104" s="1357"/>
      <c r="AL104" s="110"/>
      <c r="AM104" s="110"/>
      <c r="AN104" s="108"/>
      <c r="AP104" s="348">
        <v>1730</v>
      </c>
      <c r="AQ104" s="106"/>
      <c r="AR104" s="106"/>
      <c r="AS104" s="131"/>
      <c r="AU104" s="1354"/>
      <c r="AV104" s="106"/>
      <c r="AW104" s="106"/>
      <c r="AX104" s="131"/>
      <c r="AZ104" s="353" t="s">
        <v>766</v>
      </c>
      <c r="BA104" s="1355"/>
      <c r="BB104" s="136" t="s">
        <v>767</v>
      </c>
      <c r="BC104" s="1355"/>
      <c r="BD104" s="353" t="s">
        <v>766</v>
      </c>
      <c r="BE104" s="1355"/>
      <c r="BF104" s="353" t="s">
        <v>663</v>
      </c>
      <c r="BH104" s="140">
        <v>2440</v>
      </c>
      <c r="BJ104" s="130" t="s">
        <v>785</v>
      </c>
      <c r="BL104" s="132"/>
      <c r="BM104" s="153"/>
      <c r="BN104" s="153"/>
      <c r="BO104" s="154"/>
      <c r="BQ104" s="132"/>
      <c r="BR104" s="153"/>
      <c r="BS104" s="153"/>
      <c r="BT104" s="153"/>
      <c r="BU104" s="154"/>
      <c r="BW104" s="109"/>
      <c r="BX104" s="146"/>
      <c r="BY104" s="146"/>
      <c r="BZ104" s="146"/>
      <c r="CA104" s="147"/>
      <c r="CC104" s="152">
        <v>0.99</v>
      </c>
    </row>
    <row r="105" spans="1:81" ht="75">
      <c r="A105" s="1403"/>
      <c r="B105" s="120" t="s">
        <v>222</v>
      </c>
      <c r="C105" s="121" t="s">
        <v>180</v>
      </c>
      <c r="D105" s="122" t="s">
        <v>181</v>
      </c>
      <c r="F105" s="327">
        <v>22700</v>
      </c>
      <c r="G105" s="328">
        <v>30510</v>
      </c>
      <c r="H105" s="105" t="s">
        <v>182</v>
      </c>
      <c r="I105" s="329">
        <v>200</v>
      </c>
      <c r="J105" s="330">
        <v>280</v>
      </c>
      <c r="K105" s="331" t="s">
        <v>661</v>
      </c>
      <c r="L105" s="105" t="s">
        <v>182</v>
      </c>
      <c r="M105" s="1353">
        <v>360</v>
      </c>
      <c r="N105" s="123" t="s">
        <v>182</v>
      </c>
      <c r="O105" s="123">
        <v>3</v>
      </c>
      <c r="P105" s="124" t="s">
        <v>184</v>
      </c>
      <c r="Q105" s="105" t="s">
        <v>182</v>
      </c>
      <c r="R105" s="1353">
        <v>1560</v>
      </c>
      <c r="S105" s="123" t="s">
        <v>182</v>
      </c>
      <c r="T105" s="123">
        <v>10</v>
      </c>
      <c r="U105" s="124" t="s">
        <v>184</v>
      </c>
      <c r="V105" s="105" t="s">
        <v>182</v>
      </c>
      <c r="W105" s="342">
        <v>7810</v>
      </c>
      <c r="X105" s="126">
        <v>70</v>
      </c>
      <c r="Y105" s="122" t="s">
        <v>183</v>
      </c>
      <c r="AA105" s="344"/>
      <c r="AF105" s="344" t="s">
        <v>185</v>
      </c>
      <c r="AJ105" s="105" t="s">
        <v>182</v>
      </c>
      <c r="AK105" s="1356">
        <v>280</v>
      </c>
      <c r="AL105" s="106" t="s">
        <v>182</v>
      </c>
      <c r="AM105" s="106">
        <v>2</v>
      </c>
      <c r="AN105" s="131" t="s">
        <v>184</v>
      </c>
      <c r="AP105" s="349" t="s">
        <v>223</v>
      </c>
      <c r="AQ105" s="106" t="s">
        <v>182</v>
      </c>
      <c r="AR105" s="106">
        <v>10</v>
      </c>
      <c r="AS105" s="131" t="s">
        <v>187</v>
      </c>
      <c r="AT105" s="105" t="s">
        <v>182</v>
      </c>
      <c r="AU105" s="1353">
        <v>500</v>
      </c>
      <c r="AV105" s="123" t="s">
        <v>182</v>
      </c>
      <c r="AW105" s="123">
        <v>5</v>
      </c>
      <c r="AX105" s="124" t="s">
        <v>184</v>
      </c>
      <c r="AY105" s="105" t="s">
        <v>182</v>
      </c>
      <c r="AZ105" s="352">
        <v>200</v>
      </c>
      <c r="BA105" s="1355" t="s">
        <v>664</v>
      </c>
      <c r="BB105" s="127">
        <v>2</v>
      </c>
      <c r="BC105" s="1355" t="s">
        <v>664</v>
      </c>
      <c r="BD105" s="352">
        <v>30</v>
      </c>
      <c r="BE105" s="1355" t="s">
        <v>664</v>
      </c>
      <c r="BF105" s="352">
        <v>1</v>
      </c>
      <c r="BH105" s="139" t="s">
        <v>783</v>
      </c>
      <c r="BI105" s="2" t="s">
        <v>182</v>
      </c>
      <c r="BJ105" s="121">
        <v>235</v>
      </c>
      <c r="BK105" s="105" t="s">
        <v>188</v>
      </c>
      <c r="BL105" s="125">
        <v>370</v>
      </c>
      <c r="BM105" s="150" t="s">
        <v>189</v>
      </c>
      <c r="BN105" s="150">
        <v>4</v>
      </c>
      <c r="BO105" s="151" t="s">
        <v>184</v>
      </c>
      <c r="BP105" s="105" t="s">
        <v>188</v>
      </c>
      <c r="BQ105" s="125">
        <v>1560</v>
      </c>
      <c r="BR105" s="150" t="s">
        <v>189</v>
      </c>
      <c r="BS105" s="150">
        <v>10</v>
      </c>
      <c r="BT105" s="150" t="s">
        <v>184</v>
      </c>
      <c r="BU105" s="151" t="s">
        <v>190</v>
      </c>
      <c r="BV105" s="105" t="s">
        <v>188</v>
      </c>
      <c r="BW105" s="132">
        <v>1160</v>
      </c>
      <c r="BX105" s="153" t="s">
        <v>189</v>
      </c>
      <c r="BY105" s="153">
        <v>10</v>
      </c>
      <c r="BZ105" s="153" t="s">
        <v>184</v>
      </c>
      <c r="CA105" s="154" t="s">
        <v>190</v>
      </c>
      <c r="CC105" s="152" t="s">
        <v>191</v>
      </c>
    </row>
    <row r="106" spans="1:81" ht="37.5">
      <c r="A106" s="1403"/>
      <c r="B106" s="103"/>
      <c r="C106" s="104"/>
      <c r="D106" s="122" t="s">
        <v>192</v>
      </c>
      <c r="F106" s="332">
        <v>30510</v>
      </c>
      <c r="G106" s="333"/>
      <c r="H106" s="105" t="s">
        <v>182</v>
      </c>
      <c r="I106" s="334">
        <v>280</v>
      </c>
      <c r="J106" s="335"/>
      <c r="K106" s="336" t="s">
        <v>661</v>
      </c>
      <c r="M106" s="1354"/>
      <c r="N106" s="310"/>
      <c r="O106" s="310"/>
      <c r="P106" s="311"/>
      <c r="R106" s="1354"/>
      <c r="S106" s="310"/>
      <c r="T106" s="310"/>
      <c r="U106" s="311"/>
      <c r="V106" s="105" t="s">
        <v>182</v>
      </c>
      <c r="W106" s="334">
        <v>7810</v>
      </c>
      <c r="X106" s="133">
        <v>70</v>
      </c>
      <c r="Y106" s="122" t="s">
        <v>183</v>
      </c>
      <c r="Z106" s="105" t="s">
        <v>182</v>
      </c>
      <c r="AA106" s="345">
        <v>54720</v>
      </c>
      <c r="AB106" s="134" t="s">
        <v>182</v>
      </c>
      <c r="AC106" s="134">
        <v>540</v>
      </c>
      <c r="AD106" s="135" t="s">
        <v>184</v>
      </c>
      <c r="AE106" s="105" t="s">
        <v>182</v>
      </c>
      <c r="AF106" s="345">
        <v>46910</v>
      </c>
      <c r="AG106" s="134" t="s">
        <v>182</v>
      </c>
      <c r="AH106" s="134">
        <v>460</v>
      </c>
      <c r="AI106" s="135" t="s">
        <v>184</v>
      </c>
      <c r="AK106" s="1357"/>
      <c r="AL106" s="106"/>
      <c r="AM106" s="106"/>
      <c r="AN106" s="131"/>
      <c r="AP106" s="348">
        <v>1560</v>
      </c>
      <c r="AQ106" s="106"/>
      <c r="AR106" s="106"/>
      <c r="AS106" s="131"/>
      <c r="AU106" s="1354"/>
      <c r="AV106" s="110"/>
      <c r="AW106" s="110"/>
      <c r="AX106" s="108"/>
      <c r="AZ106" s="353" t="s">
        <v>766</v>
      </c>
      <c r="BA106" s="1355"/>
      <c r="BB106" s="136" t="s">
        <v>767</v>
      </c>
      <c r="BC106" s="1355"/>
      <c r="BD106" s="353" t="s">
        <v>766</v>
      </c>
      <c r="BE106" s="1355"/>
      <c r="BF106" s="353" t="s">
        <v>663</v>
      </c>
      <c r="BH106" s="140">
        <v>2360</v>
      </c>
      <c r="BJ106" s="104" t="s">
        <v>785</v>
      </c>
      <c r="BL106" s="109"/>
      <c r="BM106" s="146"/>
      <c r="BN106" s="146"/>
      <c r="BO106" s="147"/>
      <c r="BQ106" s="109"/>
      <c r="BR106" s="146"/>
      <c r="BS106" s="146"/>
      <c r="BT106" s="146"/>
      <c r="BU106" s="147"/>
      <c r="BW106" s="132"/>
      <c r="BX106" s="153"/>
      <c r="BY106" s="153"/>
      <c r="BZ106" s="153"/>
      <c r="CA106" s="154"/>
      <c r="CC106" s="152">
        <v>0.99</v>
      </c>
    </row>
    <row r="107" spans="1:81" ht="37.5">
      <c r="A107" s="1403"/>
      <c r="B107" s="120" t="s">
        <v>224</v>
      </c>
      <c r="C107" s="121" t="s">
        <v>180</v>
      </c>
      <c r="D107" s="122" t="s">
        <v>181</v>
      </c>
      <c r="F107" s="327">
        <v>22450</v>
      </c>
      <c r="G107" s="328">
        <v>30260</v>
      </c>
      <c r="H107" s="105" t="s">
        <v>182</v>
      </c>
      <c r="I107" s="329">
        <v>200</v>
      </c>
      <c r="J107" s="330">
        <v>280</v>
      </c>
      <c r="K107" s="331" t="s">
        <v>661</v>
      </c>
      <c r="L107" s="105" t="s">
        <v>182</v>
      </c>
      <c r="M107" s="1353">
        <v>330</v>
      </c>
      <c r="N107" s="106" t="s">
        <v>182</v>
      </c>
      <c r="O107" s="106">
        <v>3</v>
      </c>
      <c r="P107" s="131" t="s">
        <v>184</v>
      </c>
      <c r="R107" s="1358"/>
      <c r="S107" s="106"/>
      <c r="T107" s="106"/>
      <c r="U107" s="131"/>
      <c r="V107" s="105" t="s">
        <v>182</v>
      </c>
      <c r="W107" s="342">
        <v>7810</v>
      </c>
      <c r="X107" s="126">
        <v>70</v>
      </c>
      <c r="Y107" s="122" t="s">
        <v>183</v>
      </c>
      <c r="AA107" s="344"/>
      <c r="AF107" s="344" t="s">
        <v>185</v>
      </c>
      <c r="AJ107" s="105" t="s">
        <v>182</v>
      </c>
      <c r="AK107" s="1356">
        <v>260</v>
      </c>
      <c r="AL107" s="123" t="s">
        <v>182</v>
      </c>
      <c r="AM107" s="123">
        <v>2</v>
      </c>
      <c r="AN107" s="124" t="s">
        <v>184</v>
      </c>
      <c r="AP107" s="349" t="s">
        <v>225</v>
      </c>
      <c r="AQ107" s="106" t="s">
        <v>182</v>
      </c>
      <c r="AR107" s="106">
        <v>10</v>
      </c>
      <c r="AS107" s="131" t="s">
        <v>187</v>
      </c>
      <c r="AT107" s="105" t="s">
        <v>182</v>
      </c>
      <c r="AU107" s="1353">
        <v>500</v>
      </c>
      <c r="AV107" s="106" t="s">
        <v>182</v>
      </c>
      <c r="AW107" s="106">
        <v>5</v>
      </c>
      <c r="AX107" s="131" t="s">
        <v>184</v>
      </c>
      <c r="AY107" s="105" t="s">
        <v>182</v>
      </c>
      <c r="AZ107" s="352">
        <v>180</v>
      </c>
      <c r="BA107" s="1355" t="s">
        <v>664</v>
      </c>
      <c r="BB107" s="127">
        <v>1</v>
      </c>
      <c r="BC107" s="1355" t="s">
        <v>664</v>
      </c>
      <c r="BD107" s="352">
        <v>30</v>
      </c>
      <c r="BE107" s="1355" t="s">
        <v>664</v>
      </c>
      <c r="BF107" s="352">
        <v>1</v>
      </c>
      <c r="BH107" s="139" t="s">
        <v>784</v>
      </c>
      <c r="BI107" s="2" t="s">
        <v>182</v>
      </c>
      <c r="BJ107" s="130">
        <v>235</v>
      </c>
      <c r="BK107" s="105" t="s">
        <v>188</v>
      </c>
      <c r="BL107" s="132">
        <v>340</v>
      </c>
      <c r="BM107" s="153" t="s">
        <v>189</v>
      </c>
      <c r="BN107" s="153">
        <v>3</v>
      </c>
      <c r="BO107" s="154" t="s">
        <v>184</v>
      </c>
      <c r="BP107" s="105" t="s">
        <v>188</v>
      </c>
      <c r="BQ107" s="132">
        <v>1420</v>
      </c>
      <c r="BR107" s="153" t="s">
        <v>189</v>
      </c>
      <c r="BS107" s="153">
        <v>10</v>
      </c>
      <c r="BT107" s="153" t="s">
        <v>184</v>
      </c>
      <c r="BU107" s="154" t="s">
        <v>190</v>
      </c>
      <c r="BV107" s="105" t="s">
        <v>188</v>
      </c>
      <c r="BW107" s="125">
        <v>1050</v>
      </c>
      <c r="BX107" s="150" t="s">
        <v>189</v>
      </c>
      <c r="BY107" s="150">
        <v>10</v>
      </c>
      <c r="BZ107" s="150" t="s">
        <v>184</v>
      </c>
      <c r="CA107" s="151" t="s">
        <v>190</v>
      </c>
      <c r="CC107" s="152" t="s">
        <v>191</v>
      </c>
    </row>
    <row r="108" spans="1:81" ht="37.5">
      <c r="A108" s="1403"/>
      <c r="B108" s="103"/>
      <c r="C108" s="104"/>
      <c r="D108" s="122" t="s">
        <v>192</v>
      </c>
      <c r="F108" s="332">
        <v>30260</v>
      </c>
      <c r="G108" s="333"/>
      <c r="H108" s="105" t="s">
        <v>182</v>
      </c>
      <c r="I108" s="334">
        <v>280</v>
      </c>
      <c r="J108" s="335"/>
      <c r="K108" s="336" t="s">
        <v>661</v>
      </c>
      <c r="M108" s="1354"/>
      <c r="N108" s="106"/>
      <c r="O108" s="106"/>
      <c r="P108" s="131"/>
      <c r="R108" s="1358"/>
      <c r="S108" s="106"/>
      <c r="T108" s="106"/>
      <c r="U108" s="131"/>
      <c r="V108" s="105" t="s">
        <v>182</v>
      </c>
      <c r="W108" s="334">
        <v>7810</v>
      </c>
      <c r="X108" s="133">
        <v>70</v>
      </c>
      <c r="Y108" s="122" t="s">
        <v>183</v>
      </c>
      <c r="Z108" s="105" t="s">
        <v>182</v>
      </c>
      <c r="AA108" s="345">
        <v>54720</v>
      </c>
      <c r="AB108" s="134" t="s">
        <v>182</v>
      </c>
      <c r="AC108" s="134">
        <v>540</v>
      </c>
      <c r="AD108" s="135" t="s">
        <v>184</v>
      </c>
      <c r="AE108" s="105" t="s">
        <v>182</v>
      </c>
      <c r="AF108" s="345">
        <v>46910</v>
      </c>
      <c r="AG108" s="134" t="s">
        <v>182</v>
      </c>
      <c r="AH108" s="134">
        <v>460</v>
      </c>
      <c r="AI108" s="135" t="s">
        <v>184</v>
      </c>
      <c r="AK108" s="1357"/>
      <c r="AL108" s="110"/>
      <c r="AM108" s="110"/>
      <c r="AN108" s="108"/>
      <c r="AP108" s="350">
        <v>1420</v>
      </c>
      <c r="AQ108" s="110"/>
      <c r="AR108" s="110"/>
      <c r="AS108" s="108"/>
      <c r="AU108" s="1354"/>
      <c r="AV108" s="106"/>
      <c r="AW108" s="106"/>
      <c r="AX108" s="131"/>
      <c r="AZ108" s="353" t="s">
        <v>766</v>
      </c>
      <c r="BA108" s="1355"/>
      <c r="BB108" s="136" t="s">
        <v>767</v>
      </c>
      <c r="BC108" s="1355"/>
      <c r="BD108" s="353" t="s">
        <v>766</v>
      </c>
      <c r="BE108" s="1355"/>
      <c r="BF108" s="353" t="s">
        <v>663</v>
      </c>
      <c r="BH108" s="141">
        <v>2150</v>
      </c>
      <c r="BJ108" s="130" t="s">
        <v>785</v>
      </c>
      <c r="BL108" s="132"/>
      <c r="BM108" s="153"/>
      <c r="BN108" s="153"/>
      <c r="BO108" s="154"/>
      <c r="BQ108" s="132"/>
      <c r="BR108" s="153"/>
      <c r="BS108" s="153"/>
      <c r="BT108" s="153"/>
      <c r="BU108" s="154"/>
      <c r="BW108" s="109"/>
      <c r="BX108" s="146"/>
      <c r="BY108" s="146"/>
      <c r="BZ108" s="146"/>
      <c r="CA108" s="147"/>
      <c r="CC108" s="152">
        <v>0.99</v>
      </c>
    </row>
    <row r="109" spans="1:81" ht="37.5">
      <c r="A109" s="1403" t="s">
        <v>228</v>
      </c>
      <c r="B109" s="129" t="s">
        <v>179</v>
      </c>
      <c r="C109" s="130" t="s">
        <v>180</v>
      </c>
      <c r="D109" s="122" t="s">
        <v>181</v>
      </c>
      <c r="F109" s="327">
        <v>83290</v>
      </c>
      <c r="G109" s="328">
        <v>90920</v>
      </c>
      <c r="H109" s="105" t="s">
        <v>182</v>
      </c>
      <c r="I109" s="329">
        <v>810</v>
      </c>
      <c r="J109" s="330">
        <v>890</v>
      </c>
      <c r="K109" s="331" t="s">
        <v>661</v>
      </c>
      <c r="L109" s="105" t="s">
        <v>182</v>
      </c>
      <c r="M109" s="1353">
        <v>7110</v>
      </c>
      <c r="N109" s="123" t="s">
        <v>182</v>
      </c>
      <c r="O109" s="123">
        <v>70</v>
      </c>
      <c r="P109" s="124" t="s">
        <v>184</v>
      </c>
      <c r="Q109" s="105" t="s">
        <v>182</v>
      </c>
      <c r="R109" s="1353">
        <v>30520</v>
      </c>
      <c r="S109" s="123" t="s">
        <v>182</v>
      </c>
      <c r="T109" s="123">
        <v>300</v>
      </c>
      <c r="U109" s="124" t="s">
        <v>184</v>
      </c>
      <c r="V109" s="105" t="s">
        <v>182</v>
      </c>
      <c r="W109" s="342">
        <v>7630</v>
      </c>
      <c r="X109" s="126">
        <v>70</v>
      </c>
      <c r="Y109" s="122" t="s">
        <v>183</v>
      </c>
      <c r="AA109" s="344"/>
      <c r="AF109" s="344" t="s">
        <v>185</v>
      </c>
      <c r="AJ109" s="105" t="s">
        <v>182</v>
      </c>
      <c r="AK109" s="1356">
        <v>5780</v>
      </c>
      <c r="AL109" s="106" t="s">
        <v>182</v>
      </c>
      <c r="AM109" s="106">
        <v>50</v>
      </c>
      <c r="AN109" s="131" t="s">
        <v>184</v>
      </c>
      <c r="AO109" s="105" t="s">
        <v>182</v>
      </c>
      <c r="AP109" s="347" t="s">
        <v>186</v>
      </c>
      <c r="AQ109" s="123" t="s">
        <v>182</v>
      </c>
      <c r="AR109" s="123">
        <v>300</v>
      </c>
      <c r="AS109" s="124" t="s">
        <v>187</v>
      </c>
      <c r="AT109" s="105" t="s">
        <v>182</v>
      </c>
      <c r="AU109" s="1353">
        <v>3640</v>
      </c>
      <c r="AV109" s="123" t="s">
        <v>182</v>
      </c>
      <c r="AW109" s="123">
        <v>30</v>
      </c>
      <c r="AX109" s="124" t="s">
        <v>184</v>
      </c>
      <c r="AY109" s="105" t="s">
        <v>182</v>
      </c>
      <c r="AZ109" s="352">
        <v>2730</v>
      </c>
      <c r="BA109" s="1355" t="s">
        <v>664</v>
      </c>
      <c r="BB109" s="127">
        <v>20</v>
      </c>
      <c r="BC109" s="1355" t="s">
        <v>664</v>
      </c>
      <c r="BD109" s="352">
        <v>480</v>
      </c>
      <c r="BE109" s="1355" t="s">
        <v>664</v>
      </c>
      <c r="BF109" s="352">
        <v>4</v>
      </c>
      <c r="BG109" s="105" t="s">
        <v>182</v>
      </c>
      <c r="BH109" s="142" t="s">
        <v>768</v>
      </c>
      <c r="BI109" s="2" t="s">
        <v>182</v>
      </c>
      <c r="BJ109" s="121">
        <v>235</v>
      </c>
      <c r="BK109" s="105" t="s">
        <v>188</v>
      </c>
      <c r="BL109" s="125">
        <v>7500</v>
      </c>
      <c r="BM109" s="150" t="s">
        <v>189</v>
      </c>
      <c r="BN109" s="150">
        <v>70</v>
      </c>
      <c r="BO109" s="151" t="s">
        <v>184</v>
      </c>
      <c r="BP109" s="105" t="s">
        <v>188</v>
      </c>
      <c r="BQ109" s="125">
        <v>30520</v>
      </c>
      <c r="BR109" s="150" t="s">
        <v>189</v>
      </c>
      <c r="BS109" s="150">
        <v>300</v>
      </c>
      <c r="BT109" s="150" t="s">
        <v>184</v>
      </c>
      <c r="BU109" s="151" t="s">
        <v>190</v>
      </c>
      <c r="BV109" s="105" t="s">
        <v>188</v>
      </c>
      <c r="BW109" s="132">
        <v>22540</v>
      </c>
      <c r="BX109" s="153" t="s">
        <v>189</v>
      </c>
      <c r="BY109" s="153">
        <v>220</v>
      </c>
      <c r="BZ109" s="153" t="s">
        <v>184</v>
      </c>
      <c r="CA109" s="154" t="s">
        <v>190</v>
      </c>
      <c r="CC109" s="152" t="s">
        <v>191</v>
      </c>
    </row>
    <row r="110" spans="1:81" ht="37.5">
      <c r="A110" s="1403"/>
      <c r="B110" s="129"/>
      <c r="C110" s="130"/>
      <c r="D110" s="122" t="s">
        <v>192</v>
      </c>
      <c r="F110" s="332">
        <v>90920</v>
      </c>
      <c r="G110" s="333"/>
      <c r="H110" s="105" t="s">
        <v>182</v>
      </c>
      <c r="I110" s="334">
        <v>890</v>
      </c>
      <c r="J110" s="335"/>
      <c r="K110" s="336" t="s">
        <v>661</v>
      </c>
      <c r="M110" s="1354"/>
      <c r="N110" s="310"/>
      <c r="O110" s="310"/>
      <c r="P110" s="311"/>
      <c r="R110" s="1354"/>
      <c r="S110" s="310"/>
      <c r="T110" s="310"/>
      <c r="U110" s="311"/>
      <c r="V110" s="105" t="s">
        <v>182</v>
      </c>
      <c r="W110" s="334">
        <v>7630</v>
      </c>
      <c r="X110" s="133">
        <v>70</v>
      </c>
      <c r="Y110" s="122" t="s">
        <v>183</v>
      </c>
      <c r="Z110" s="105" t="s">
        <v>182</v>
      </c>
      <c r="AA110" s="345">
        <v>53420</v>
      </c>
      <c r="AB110" s="134" t="s">
        <v>182</v>
      </c>
      <c r="AC110" s="134">
        <v>530</v>
      </c>
      <c r="AD110" s="135" t="s">
        <v>184</v>
      </c>
      <c r="AE110" s="105" t="s">
        <v>182</v>
      </c>
      <c r="AF110" s="345">
        <v>45790</v>
      </c>
      <c r="AG110" s="134" t="s">
        <v>182</v>
      </c>
      <c r="AH110" s="134">
        <v>450</v>
      </c>
      <c r="AI110" s="135" t="s">
        <v>184</v>
      </c>
      <c r="AK110" s="1357"/>
      <c r="AL110" s="106"/>
      <c r="AM110" s="106"/>
      <c r="AN110" s="131"/>
      <c r="AP110" s="348">
        <v>30520</v>
      </c>
      <c r="AQ110" s="106"/>
      <c r="AR110" s="106"/>
      <c r="AS110" s="131"/>
      <c r="AU110" s="1354"/>
      <c r="AV110" s="110"/>
      <c r="AW110" s="110"/>
      <c r="AX110" s="108"/>
      <c r="AZ110" s="353" t="s">
        <v>766</v>
      </c>
      <c r="BA110" s="1355"/>
      <c r="BB110" s="136" t="s">
        <v>767</v>
      </c>
      <c r="BC110" s="1355"/>
      <c r="BD110" s="353" t="s">
        <v>766</v>
      </c>
      <c r="BE110" s="1355"/>
      <c r="BF110" s="353" t="s">
        <v>663</v>
      </c>
      <c r="BH110" s="140">
        <v>27330</v>
      </c>
      <c r="BJ110" s="104" t="s">
        <v>785</v>
      </c>
      <c r="BL110" s="109"/>
      <c r="BM110" s="146"/>
      <c r="BN110" s="146"/>
      <c r="BO110" s="147"/>
      <c r="BQ110" s="109"/>
      <c r="BR110" s="146"/>
      <c r="BS110" s="146"/>
      <c r="BT110" s="146"/>
      <c r="BU110" s="147"/>
      <c r="BW110" s="132"/>
      <c r="BX110" s="153"/>
      <c r="BY110" s="153"/>
      <c r="BZ110" s="153"/>
      <c r="CA110" s="154"/>
      <c r="CC110" s="152">
        <v>0.63</v>
      </c>
    </row>
    <row r="111" spans="1:81" ht="75">
      <c r="A111" s="1403"/>
      <c r="B111" s="120" t="s">
        <v>193</v>
      </c>
      <c r="C111" s="121" t="s">
        <v>180</v>
      </c>
      <c r="D111" s="122" t="s">
        <v>181</v>
      </c>
      <c r="F111" s="327">
        <v>51700</v>
      </c>
      <c r="G111" s="328">
        <v>59330</v>
      </c>
      <c r="H111" s="105" t="s">
        <v>182</v>
      </c>
      <c r="I111" s="329">
        <v>490</v>
      </c>
      <c r="J111" s="330">
        <v>570</v>
      </c>
      <c r="K111" s="331" t="s">
        <v>661</v>
      </c>
      <c r="L111" s="105" t="s">
        <v>182</v>
      </c>
      <c r="M111" s="1353">
        <v>4260</v>
      </c>
      <c r="N111" s="106" t="s">
        <v>182</v>
      </c>
      <c r="O111" s="106">
        <v>40</v>
      </c>
      <c r="P111" s="131" t="s">
        <v>184</v>
      </c>
      <c r="Q111" s="105" t="s">
        <v>182</v>
      </c>
      <c r="R111" s="1353">
        <v>18310</v>
      </c>
      <c r="S111" s="106" t="s">
        <v>182</v>
      </c>
      <c r="T111" s="106">
        <v>180</v>
      </c>
      <c r="U111" s="131" t="s">
        <v>184</v>
      </c>
      <c r="V111" s="105" t="s">
        <v>182</v>
      </c>
      <c r="W111" s="342">
        <v>7630</v>
      </c>
      <c r="X111" s="126">
        <v>70</v>
      </c>
      <c r="Y111" s="122" t="s">
        <v>183</v>
      </c>
      <c r="AA111" s="344"/>
      <c r="AF111" s="344" t="s">
        <v>185</v>
      </c>
      <c r="AJ111" s="105" t="s">
        <v>182</v>
      </c>
      <c r="AK111" s="1356">
        <v>3470</v>
      </c>
      <c r="AL111" s="123" t="s">
        <v>182</v>
      </c>
      <c r="AM111" s="123">
        <v>30</v>
      </c>
      <c r="AN111" s="124" t="s">
        <v>184</v>
      </c>
      <c r="AP111" s="349" t="s">
        <v>194</v>
      </c>
      <c r="AQ111" s="106" t="s">
        <v>182</v>
      </c>
      <c r="AR111" s="106">
        <v>180</v>
      </c>
      <c r="AS111" s="131" t="s">
        <v>187</v>
      </c>
      <c r="AT111" s="105" t="s">
        <v>182</v>
      </c>
      <c r="AU111" s="1353">
        <v>2490</v>
      </c>
      <c r="AV111" s="106" t="s">
        <v>182</v>
      </c>
      <c r="AW111" s="106">
        <v>20</v>
      </c>
      <c r="AX111" s="131" t="s">
        <v>184</v>
      </c>
      <c r="AY111" s="105" t="s">
        <v>182</v>
      </c>
      <c r="AZ111" s="352">
        <v>1630</v>
      </c>
      <c r="BA111" s="1355" t="s">
        <v>664</v>
      </c>
      <c r="BB111" s="127">
        <v>10</v>
      </c>
      <c r="BC111" s="1355" t="s">
        <v>664</v>
      </c>
      <c r="BD111" s="352">
        <v>290</v>
      </c>
      <c r="BE111" s="1355" t="s">
        <v>664</v>
      </c>
      <c r="BF111" s="352">
        <v>2</v>
      </c>
      <c r="BH111" s="139" t="s">
        <v>769</v>
      </c>
      <c r="BI111" s="2" t="s">
        <v>182</v>
      </c>
      <c r="BJ111" s="130">
        <v>235</v>
      </c>
      <c r="BK111" s="105" t="s">
        <v>188</v>
      </c>
      <c r="BL111" s="132">
        <v>4500</v>
      </c>
      <c r="BM111" s="153" t="s">
        <v>189</v>
      </c>
      <c r="BN111" s="153">
        <v>40</v>
      </c>
      <c r="BO111" s="154" t="s">
        <v>184</v>
      </c>
      <c r="BP111" s="105" t="s">
        <v>188</v>
      </c>
      <c r="BQ111" s="132">
        <v>18310</v>
      </c>
      <c r="BR111" s="153" t="s">
        <v>189</v>
      </c>
      <c r="BS111" s="153">
        <v>180</v>
      </c>
      <c r="BT111" s="153" t="s">
        <v>184</v>
      </c>
      <c r="BU111" s="154" t="s">
        <v>190</v>
      </c>
      <c r="BV111" s="105" t="s">
        <v>188</v>
      </c>
      <c r="BW111" s="125">
        <v>13520</v>
      </c>
      <c r="BX111" s="150" t="s">
        <v>189</v>
      </c>
      <c r="BY111" s="150">
        <v>130</v>
      </c>
      <c r="BZ111" s="150" t="s">
        <v>184</v>
      </c>
      <c r="CA111" s="151" t="s">
        <v>190</v>
      </c>
      <c r="CC111" s="152" t="s">
        <v>191</v>
      </c>
    </row>
    <row r="112" spans="1:81" ht="37.5">
      <c r="A112" s="1403"/>
      <c r="B112" s="103"/>
      <c r="C112" s="104"/>
      <c r="D112" s="122" t="s">
        <v>192</v>
      </c>
      <c r="F112" s="332">
        <v>59330</v>
      </c>
      <c r="G112" s="333"/>
      <c r="H112" s="105" t="s">
        <v>182</v>
      </c>
      <c r="I112" s="334">
        <v>570</v>
      </c>
      <c r="J112" s="335"/>
      <c r="K112" s="336" t="s">
        <v>661</v>
      </c>
      <c r="M112" s="1354"/>
      <c r="N112" s="106"/>
      <c r="O112" s="106"/>
      <c r="P112" s="131"/>
      <c r="R112" s="1354"/>
      <c r="S112" s="106"/>
      <c r="T112" s="106"/>
      <c r="U112" s="131"/>
      <c r="V112" s="105" t="s">
        <v>182</v>
      </c>
      <c r="W112" s="334">
        <v>7630</v>
      </c>
      <c r="X112" s="133">
        <v>70</v>
      </c>
      <c r="Y112" s="122" t="s">
        <v>183</v>
      </c>
      <c r="Z112" s="105" t="s">
        <v>182</v>
      </c>
      <c r="AA112" s="345">
        <v>53420</v>
      </c>
      <c r="AB112" s="134" t="s">
        <v>182</v>
      </c>
      <c r="AC112" s="134">
        <v>530</v>
      </c>
      <c r="AD112" s="135" t="s">
        <v>184</v>
      </c>
      <c r="AE112" s="105" t="s">
        <v>182</v>
      </c>
      <c r="AF112" s="345">
        <v>45790</v>
      </c>
      <c r="AG112" s="134" t="s">
        <v>182</v>
      </c>
      <c r="AH112" s="134">
        <v>450</v>
      </c>
      <c r="AI112" s="135" t="s">
        <v>184</v>
      </c>
      <c r="AK112" s="1357"/>
      <c r="AL112" s="110"/>
      <c r="AM112" s="110"/>
      <c r="AN112" s="108"/>
      <c r="AP112" s="348">
        <v>18310</v>
      </c>
      <c r="AQ112" s="106"/>
      <c r="AR112" s="106"/>
      <c r="AS112" s="131"/>
      <c r="AU112" s="1354"/>
      <c r="AV112" s="106"/>
      <c r="AW112" s="106"/>
      <c r="AX112" s="131"/>
      <c r="AZ112" s="353" t="s">
        <v>766</v>
      </c>
      <c r="BA112" s="1355"/>
      <c r="BB112" s="136" t="s">
        <v>767</v>
      </c>
      <c r="BC112" s="1355"/>
      <c r="BD112" s="353" t="s">
        <v>766</v>
      </c>
      <c r="BE112" s="1355"/>
      <c r="BF112" s="353" t="s">
        <v>663</v>
      </c>
      <c r="BH112" s="140">
        <v>16800</v>
      </c>
      <c r="BJ112" s="130" t="s">
        <v>785</v>
      </c>
      <c r="BL112" s="132"/>
      <c r="BM112" s="153"/>
      <c r="BN112" s="153"/>
      <c r="BO112" s="154"/>
      <c r="BQ112" s="132"/>
      <c r="BR112" s="153"/>
      <c r="BS112" s="153"/>
      <c r="BT112" s="153"/>
      <c r="BU112" s="154"/>
      <c r="BW112" s="109"/>
      <c r="BX112" s="146"/>
      <c r="BY112" s="146"/>
      <c r="BZ112" s="146"/>
      <c r="CA112" s="147"/>
      <c r="CC112" s="152">
        <v>0.78</v>
      </c>
    </row>
    <row r="113" spans="1:81" ht="75">
      <c r="A113" s="1403"/>
      <c r="B113" s="129" t="s">
        <v>195</v>
      </c>
      <c r="C113" s="130" t="s">
        <v>180</v>
      </c>
      <c r="D113" s="122" t="s">
        <v>181</v>
      </c>
      <c r="F113" s="327">
        <v>40380</v>
      </c>
      <c r="G113" s="328">
        <v>48010</v>
      </c>
      <c r="H113" s="105" t="s">
        <v>182</v>
      </c>
      <c r="I113" s="329">
        <v>380</v>
      </c>
      <c r="J113" s="330">
        <v>460</v>
      </c>
      <c r="K113" s="331" t="s">
        <v>661</v>
      </c>
      <c r="L113" s="105" t="s">
        <v>182</v>
      </c>
      <c r="M113" s="1353">
        <v>3040</v>
      </c>
      <c r="N113" s="123" t="s">
        <v>182</v>
      </c>
      <c r="O113" s="123">
        <v>30</v>
      </c>
      <c r="P113" s="124" t="s">
        <v>184</v>
      </c>
      <c r="Q113" s="105" t="s">
        <v>182</v>
      </c>
      <c r="R113" s="1353">
        <v>13080</v>
      </c>
      <c r="S113" s="123" t="s">
        <v>182</v>
      </c>
      <c r="T113" s="123">
        <v>130</v>
      </c>
      <c r="U113" s="124" t="s">
        <v>184</v>
      </c>
      <c r="V113" s="105" t="s">
        <v>182</v>
      </c>
      <c r="W113" s="342">
        <v>7630</v>
      </c>
      <c r="X113" s="126">
        <v>70</v>
      </c>
      <c r="Y113" s="122" t="s">
        <v>183</v>
      </c>
      <c r="AA113" s="344"/>
      <c r="AF113" s="344" t="s">
        <v>185</v>
      </c>
      <c r="AJ113" s="105" t="s">
        <v>182</v>
      </c>
      <c r="AK113" s="1356">
        <v>2480</v>
      </c>
      <c r="AL113" s="106" t="s">
        <v>182</v>
      </c>
      <c r="AM113" s="106">
        <v>20</v>
      </c>
      <c r="AN113" s="131" t="s">
        <v>184</v>
      </c>
      <c r="AP113" s="349" t="s">
        <v>196</v>
      </c>
      <c r="AQ113" s="106" t="s">
        <v>182</v>
      </c>
      <c r="AR113" s="106">
        <v>130</v>
      </c>
      <c r="AS113" s="131" t="s">
        <v>187</v>
      </c>
      <c r="AT113" s="105" t="s">
        <v>182</v>
      </c>
      <c r="AU113" s="1353">
        <v>2000</v>
      </c>
      <c r="AV113" s="123" t="s">
        <v>182</v>
      </c>
      <c r="AW113" s="123">
        <v>20</v>
      </c>
      <c r="AX113" s="124" t="s">
        <v>184</v>
      </c>
      <c r="AY113" s="105" t="s">
        <v>182</v>
      </c>
      <c r="AZ113" s="352">
        <v>1170</v>
      </c>
      <c r="BA113" s="1355" t="s">
        <v>664</v>
      </c>
      <c r="BB113" s="127">
        <v>10</v>
      </c>
      <c r="BC113" s="1355" t="s">
        <v>664</v>
      </c>
      <c r="BD113" s="352">
        <v>200</v>
      </c>
      <c r="BE113" s="1355" t="s">
        <v>664</v>
      </c>
      <c r="BF113" s="352">
        <v>2</v>
      </c>
      <c r="BH113" s="139" t="s">
        <v>770</v>
      </c>
      <c r="BI113" s="2" t="s">
        <v>182</v>
      </c>
      <c r="BJ113" s="121">
        <v>235</v>
      </c>
      <c r="BK113" s="105" t="s">
        <v>188</v>
      </c>
      <c r="BL113" s="125">
        <v>3210</v>
      </c>
      <c r="BM113" s="150" t="s">
        <v>189</v>
      </c>
      <c r="BN113" s="150">
        <v>30</v>
      </c>
      <c r="BO113" s="151" t="s">
        <v>184</v>
      </c>
      <c r="BP113" s="105" t="s">
        <v>188</v>
      </c>
      <c r="BQ113" s="125">
        <v>13080</v>
      </c>
      <c r="BR113" s="150" t="s">
        <v>189</v>
      </c>
      <c r="BS113" s="150">
        <v>130</v>
      </c>
      <c r="BT113" s="150" t="s">
        <v>184</v>
      </c>
      <c r="BU113" s="151" t="s">
        <v>190</v>
      </c>
      <c r="BV113" s="105" t="s">
        <v>188</v>
      </c>
      <c r="BW113" s="132">
        <v>9660</v>
      </c>
      <c r="BX113" s="153" t="s">
        <v>189</v>
      </c>
      <c r="BY113" s="153">
        <v>90</v>
      </c>
      <c r="BZ113" s="153" t="s">
        <v>184</v>
      </c>
      <c r="CA113" s="154" t="s">
        <v>190</v>
      </c>
      <c r="CC113" s="152" t="s">
        <v>191</v>
      </c>
    </row>
    <row r="114" spans="1:81" ht="37.5">
      <c r="A114" s="1403"/>
      <c r="B114" s="129"/>
      <c r="C114" s="130"/>
      <c r="D114" s="122" t="s">
        <v>192</v>
      </c>
      <c r="F114" s="332">
        <v>48010</v>
      </c>
      <c r="G114" s="333"/>
      <c r="H114" s="105" t="s">
        <v>182</v>
      </c>
      <c r="I114" s="334">
        <v>460</v>
      </c>
      <c r="J114" s="335"/>
      <c r="K114" s="336" t="s">
        <v>661</v>
      </c>
      <c r="M114" s="1354"/>
      <c r="N114" s="310"/>
      <c r="O114" s="310"/>
      <c r="P114" s="311"/>
      <c r="R114" s="1354"/>
      <c r="S114" s="310"/>
      <c r="T114" s="310"/>
      <c r="U114" s="311"/>
      <c r="V114" s="105" t="s">
        <v>182</v>
      </c>
      <c r="W114" s="334">
        <v>7630</v>
      </c>
      <c r="X114" s="133">
        <v>70</v>
      </c>
      <c r="Y114" s="122" t="s">
        <v>183</v>
      </c>
      <c r="Z114" s="105" t="s">
        <v>182</v>
      </c>
      <c r="AA114" s="345">
        <v>53420</v>
      </c>
      <c r="AB114" s="134" t="s">
        <v>182</v>
      </c>
      <c r="AC114" s="134">
        <v>530</v>
      </c>
      <c r="AD114" s="135" t="s">
        <v>184</v>
      </c>
      <c r="AE114" s="105" t="s">
        <v>182</v>
      </c>
      <c r="AF114" s="345">
        <v>45790</v>
      </c>
      <c r="AG114" s="134" t="s">
        <v>182</v>
      </c>
      <c r="AH114" s="134">
        <v>450</v>
      </c>
      <c r="AI114" s="135" t="s">
        <v>184</v>
      </c>
      <c r="AK114" s="1357"/>
      <c r="AL114" s="106"/>
      <c r="AM114" s="106"/>
      <c r="AN114" s="131"/>
      <c r="AP114" s="348">
        <v>13080</v>
      </c>
      <c r="AQ114" s="106"/>
      <c r="AR114" s="106"/>
      <c r="AS114" s="131"/>
      <c r="AU114" s="1354"/>
      <c r="AV114" s="110"/>
      <c r="AW114" s="110"/>
      <c r="AX114" s="108"/>
      <c r="AZ114" s="353" t="s">
        <v>766</v>
      </c>
      <c r="BA114" s="1355"/>
      <c r="BB114" s="136" t="s">
        <v>767</v>
      </c>
      <c r="BC114" s="1355"/>
      <c r="BD114" s="353" t="s">
        <v>766</v>
      </c>
      <c r="BE114" s="1355"/>
      <c r="BF114" s="353" t="s">
        <v>663</v>
      </c>
      <c r="BH114" s="140">
        <v>12280</v>
      </c>
      <c r="BJ114" s="104" t="s">
        <v>785</v>
      </c>
      <c r="BL114" s="109"/>
      <c r="BM114" s="146"/>
      <c r="BN114" s="146"/>
      <c r="BO114" s="147"/>
      <c r="BQ114" s="109"/>
      <c r="BR114" s="146"/>
      <c r="BS114" s="146"/>
      <c r="BT114" s="146"/>
      <c r="BU114" s="147"/>
      <c r="BW114" s="132"/>
      <c r="BX114" s="153"/>
      <c r="BY114" s="153"/>
      <c r="BZ114" s="153"/>
      <c r="CA114" s="154"/>
      <c r="CC114" s="152">
        <v>0.86</v>
      </c>
    </row>
    <row r="115" spans="1:81" ht="75">
      <c r="A115" s="1403"/>
      <c r="B115" s="120" t="s">
        <v>197</v>
      </c>
      <c r="C115" s="121" t="s">
        <v>180</v>
      </c>
      <c r="D115" s="122" t="s">
        <v>181</v>
      </c>
      <c r="F115" s="327">
        <v>35810</v>
      </c>
      <c r="G115" s="328">
        <v>43440</v>
      </c>
      <c r="H115" s="105" t="s">
        <v>182</v>
      </c>
      <c r="I115" s="329">
        <v>340</v>
      </c>
      <c r="J115" s="330">
        <v>410</v>
      </c>
      <c r="K115" s="331" t="s">
        <v>661</v>
      </c>
      <c r="L115" s="105" t="s">
        <v>182</v>
      </c>
      <c r="M115" s="1353">
        <v>2370</v>
      </c>
      <c r="N115" s="106" t="s">
        <v>182</v>
      </c>
      <c r="O115" s="106">
        <v>20</v>
      </c>
      <c r="P115" s="131" t="s">
        <v>184</v>
      </c>
      <c r="Q115" s="105" t="s">
        <v>182</v>
      </c>
      <c r="R115" s="1353">
        <v>10170</v>
      </c>
      <c r="S115" s="106" t="s">
        <v>182</v>
      </c>
      <c r="T115" s="106">
        <v>100</v>
      </c>
      <c r="U115" s="131" t="s">
        <v>184</v>
      </c>
      <c r="V115" s="105" t="s">
        <v>182</v>
      </c>
      <c r="W115" s="342">
        <v>7630</v>
      </c>
      <c r="X115" s="126">
        <v>70</v>
      </c>
      <c r="Y115" s="122" t="s">
        <v>183</v>
      </c>
      <c r="AA115" s="344"/>
      <c r="AF115" s="344" t="s">
        <v>185</v>
      </c>
      <c r="AJ115" s="105" t="s">
        <v>182</v>
      </c>
      <c r="AK115" s="1356" t="s">
        <v>188</v>
      </c>
      <c r="AL115" s="123" t="s">
        <v>182</v>
      </c>
      <c r="AM115" s="123" t="s">
        <v>188</v>
      </c>
      <c r="AN115" s="124"/>
      <c r="AP115" s="349" t="s">
        <v>198</v>
      </c>
      <c r="AQ115" s="106" t="s">
        <v>182</v>
      </c>
      <c r="AR115" s="106">
        <v>100</v>
      </c>
      <c r="AS115" s="131" t="s">
        <v>187</v>
      </c>
      <c r="AT115" s="105" t="s">
        <v>182</v>
      </c>
      <c r="AU115" s="1353">
        <v>1730</v>
      </c>
      <c r="AV115" s="106" t="s">
        <v>182</v>
      </c>
      <c r="AW115" s="106">
        <v>10</v>
      </c>
      <c r="AX115" s="131" t="s">
        <v>184</v>
      </c>
      <c r="AY115" s="105" t="s">
        <v>182</v>
      </c>
      <c r="AZ115" s="352">
        <v>910</v>
      </c>
      <c r="BA115" s="1355" t="s">
        <v>664</v>
      </c>
      <c r="BB115" s="127">
        <v>9</v>
      </c>
      <c r="BC115" s="1355" t="s">
        <v>664</v>
      </c>
      <c r="BD115" s="352">
        <v>160</v>
      </c>
      <c r="BE115" s="1355" t="s">
        <v>664</v>
      </c>
      <c r="BF115" s="352">
        <v>1</v>
      </c>
      <c r="BH115" s="139" t="s">
        <v>771</v>
      </c>
      <c r="BI115" s="2" t="s">
        <v>182</v>
      </c>
      <c r="BJ115" s="130">
        <v>235</v>
      </c>
      <c r="BK115" s="105" t="s">
        <v>188</v>
      </c>
      <c r="BL115" s="132">
        <v>2500</v>
      </c>
      <c r="BM115" s="153" t="s">
        <v>189</v>
      </c>
      <c r="BN115" s="153">
        <v>20</v>
      </c>
      <c r="BO115" s="154" t="s">
        <v>184</v>
      </c>
      <c r="BP115" s="105" t="s">
        <v>188</v>
      </c>
      <c r="BQ115" s="132">
        <v>10170</v>
      </c>
      <c r="BR115" s="153" t="s">
        <v>189</v>
      </c>
      <c r="BS115" s="153">
        <v>100</v>
      </c>
      <c r="BT115" s="153" t="s">
        <v>184</v>
      </c>
      <c r="BU115" s="154" t="s">
        <v>190</v>
      </c>
      <c r="BV115" s="105" t="s">
        <v>188</v>
      </c>
      <c r="BW115" s="125">
        <v>7510</v>
      </c>
      <c r="BX115" s="150" t="s">
        <v>189</v>
      </c>
      <c r="BY115" s="150">
        <v>70</v>
      </c>
      <c r="BZ115" s="150" t="s">
        <v>184</v>
      </c>
      <c r="CA115" s="151" t="s">
        <v>190</v>
      </c>
      <c r="CC115" s="152" t="s">
        <v>191</v>
      </c>
    </row>
    <row r="116" spans="1:81" ht="37.5">
      <c r="A116" s="1403"/>
      <c r="B116" s="103"/>
      <c r="C116" s="104"/>
      <c r="D116" s="122" t="s">
        <v>192</v>
      </c>
      <c r="F116" s="332">
        <v>43440</v>
      </c>
      <c r="G116" s="333"/>
      <c r="H116" s="105" t="s">
        <v>182</v>
      </c>
      <c r="I116" s="334">
        <v>410</v>
      </c>
      <c r="J116" s="335"/>
      <c r="K116" s="336" t="s">
        <v>661</v>
      </c>
      <c r="M116" s="1354"/>
      <c r="N116" s="106"/>
      <c r="O116" s="106"/>
      <c r="P116" s="131"/>
      <c r="R116" s="1354"/>
      <c r="S116" s="106"/>
      <c r="T116" s="106"/>
      <c r="U116" s="131"/>
      <c r="V116" s="105" t="s">
        <v>182</v>
      </c>
      <c r="W116" s="334">
        <v>7630</v>
      </c>
      <c r="X116" s="133">
        <v>70</v>
      </c>
      <c r="Y116" s="122" t="s">
        <v>183</v>
      </c>
      <c r="Z116" s="105" t="s">
        <v>182</v>
      </c>
      <c r="AA116" s="345">
        <v>53420</v>
      </c>
      <c r="AB116" s="134" t="s">
        <v>182</v>
      </c>
      <c r="AC116" s="134">
        <v>530</v>
      </c>
      <c r="AD116" s="135" t="s">
        <v>184</v>
      </c>
      <c r="AE116" s="105" t="s">
        <v>182</v>
      </c>
      <c r="AF116" s="345">
        <v>45790</v>
      </c>
      <c r="AG116" s="134" t="s">
        <v>182</v>
      </c>
      <c r="AH116" s="134">
        <v>450</v>
      </c>
      <c r="AI116" s="135" t="s">
        <v>184</v>
      </c>
      <c r="AK116" s="1357"/>
      <c r="AL116" s="106"/>
      <c r="AM116" s="106"/>
      <c r="AN116" s="131"/>
      <c r="AP116" s="348">
        <v>10170</v>
      </c>
      <c r="AQ116" s="106"/>
      <c r="AR116" s="106"/>
      <c r="AS116" s="131"/>
      <c r="AU116" s="1354"/>
      <c r="AV116" s="106"/>
      <c r="AW116" s="106"/>
      <c r="AX116" s="131"/>
      <c r="AZ116" s="353" t="s">
        <v>766</v>
      </c>
      <c r="BA116" s="1355"/>
      <c r="BB116" s="136" t="s">
        <v>767</v>
      </c>
      <c r="BC116" s="1355"/>
      <c r="BD116" s="353" t="s">
        <v>766</v>
      </c>
      <c r="BE116" s="1355"/>
      <c r="BF116" s="353" t="s">
        <v>663</v>
      </c>
      <c r="BH116" s="140">
        <v>9770</v>
      </c>
      <c r="BJ116" s="130" t="s">
        <v>785</v>
      </c>
      <c r="BL116" s="132"/>
      <c r="BM116" s="153"/>
      <c r="BN116" s="153"/>
      <c r="BO116" s="154"/>
      <c r="BQ116" s="132"/>
      <c r="BR116" s="153"/>
      <c r="BS116" s="153"/>
      <c r="BT116" s="153"/>
      <c r="BU116" s="154"/>
      <c r="BW116" s="109"/>
      <c r="BX116" s="146"/>
      <c r="BY116" s="146"/>
      <c r="BZ116" s="146"/>
      <c r="CA116" s="147"/>
      <c r="CC116" s="152">
        <v>0.95</v>
      </c>
    </row>
    <row r="117" spans="1:81" ht="75">
      <c r="A117" s="1403"/>
      <c r="B117" s="129" t="s">
        <v>200</v>
      </c>
      <c r="C117" s="130" t="s">
        <v>180</v>
      </c>
      <c r="D117" s="122" t="s">
        <v>181</v>
      </c>
      <c r="F117" s="327">
        <v>31740</v>
      </c>
      <c r="G117" s="328">
        <v>39370</v>
      </c>
      <c r="H117" s="105" t="s">
        <v>182</v>
      </c>
      <c r="I117" s="329">
        <v>300</v>
      </c>
      <c r="J117" s="330">
        <v>370</v>
      </c>
      <c r="K117" s="331" t="s">
        <v>661</v>
      </c>
      <c r="L117" s="105" t="s">
        <v>182</v>
      </c>
      <c r="M117" s="1353">
        <v>1770</v>
      </c>
      <c r="N117" s="312" t="s">
        <v>182</v>
      </c>
      <c r="O117" s="312">
        <v>10</v>
      </c>
      <c r="P117" s="313" t="s">
        <v>184</v>
      </c>
      <c r="Q117" s="105" t="s">
        <v>182</v>
      </c>
      <c r="R117" s="1353">
        <v>7630</v>
      </c>
      <c r="S117" s="123" t="s">
        <v>182</v>
      </c>
      <c r="T117" s="123">
        <v>70</v>
      </c>
      <c r="U117" s="124" t="s">
        <v>184</v>
      </c>
      <c r="V117" s="105" t="s">
        <v>182</v>
      </c>
      <c r="W117" s="342">
        <v>7630</v>
      </c>
      <c r="X117" s="126">
        <v>70</v>
      </c>
      <c r="Y117" s="122" t="s">
        <v>183</v>
      </c>
      <c r="AA117" s="344"/>
      <c r="AF117" s="344" t="s">
        <v>185</v>
      </c>
      <c r="AJ117" s="105" t="s">
        <v>182</v>
      </c>
      <c r="AK117" s="1356" t="s">
        <v>188</v>
      </c>
      <c r="AL117" s="106" t="s">
        <v>182</v>
      </c>
      <c r="AM117" s="106" t="s">
        <v>188</v>
      </c>
      <c r="AN117" s="131"/>
      <c r="AP117" s="349" t="s">
        <v>201</v>
      </c>
      <c r="AQ117" s="106" t="s">
        <v>182</v>
      </c>
      <c r="AR117" s="106">
        <v>70</v>
      </c>
      <c r="AS117" s="131" t="s">
        <v>187</v>
      </c>
      <c r="AT117" s="105" t="s">
        <v>182</v>
      </c>
      <c r="AU117" s="1353">
        <v>1300</v>
      </c>
      <c r="AV117" s="123" t="s">
        <v>182</v>
      </c>
      <c r="AW117" s="123">
        <v>10</v>
      </c>
      <c r="AX117" s="124" t="s">
        <v>184</v>
      </c>
      <c r="AY117" s="105" t="s">
        <v>182</v>
      </c>
      <c r="AZ117" s="352">
        <v>680</v>
      </c>
      <c r="BA117" s="1355" t="s">
        <v>664</v>
      </c>
      <c r="BB117" s="127">
        <v>6</v>
      </c>
      <c r="BC117" s="1355" t="s">
        <v>664</v>
      </c>
      <c r="BD117" s="352">
        <v>120</v>
      </c>
      <c r="BE117" s="1355" t="s">
        <v>664</v>
      </c>
      <c r="BF117" s="352">
        <v>1</v>
      </c>
      <c r="BH117" s="139" t="s">
        <v>772</v>
      </c>
      <c r="BI117" s="2" t="s">
        <v>182</v>
      </c>
      <c r="BJ117" s="121">
        <v>235</v>
      </c>
      <c r="BK117" s="105" t="s">
        <v>188</v>
      </c>
      <c r="BL117" s="125">
        <v>1870</v>
      </c>
      <c r="BM117" s="150" t="s">
        <v>189</v>
      </c>
      <c r="BN117" s="150">
        <v>10</v>
      </c>
      <c r="BO117" s="151" t="s">
        <v>184</v>
      </c>
      <c r="BP117" s="105" t="s">
        <v>188</v>
      </c>
      <c r="BQ117" s="125">
        <v>7630</v>
      </c>
      <c r="BR117" s="150" t="s">
        <v>189</v>
      </c>
      <c r="BS117" s="150">
        <v>70</v>
      </c>
      <c r="BT117" s="150" t="s">
        <v>184</v>
      </c>
      <c r="BU117" s="151" t="s">
        <v>190</v>
      </c>
      <c r="BV117" s="105" t="s">
        <v>188</v>
      </c>
      <c r="BW117" s="132">
        <v>5630</v>
      </c>
      <c r="BX117" s="153" t="s">
        <v>189</v>
      </c>
      <c r="BY117" s="153">
        <v>50</v>
      </c>
      <c r="BZ117" s="153" t="s">
        <v>184</v>
      </c>
      <c r="CA117" s="154" t="s">
        <v>190</v>
      </c>
      <c r="CC117" s="152" t="s">
        <v>191</v>
      </c>
    </row>
    <row r="118" spans="1:81" ht="37.5">
      <c r="A118" s="1403"/>
      <c r="B118" s="129"/>
      <c r="C118" s="130"/>
      <c r="D118" s="122" t="s">
        <v>192</v>
      </c>
      <c r="F118" s="332">
        <v>39370</v>
      </c>
      <c r="G118" s="333"/>
      <c r="H118" s="105" t="s">
        <v>182</v>
      </c>
      <c r="I118" s="334">
        <v>370</v>
      </c>
      <c r="J118" s="335"/>
      <c r="K118" s="336" t="s">
        <v>661</v>
      </c>
      <c r="M118" s="1354"/>
      <c r="N118" s="106"/>
      <c r="O118" s="106"/>
      <c r="P118" s="131"/>
      <c r="R118" s="1354"/>
      <c r="S118" s="310"/>
      <c r="T118" s="310"/>
      <c r="U118" s="311"/>
      <c r="V118" s="105" t="s">
        <v>182</v>
      </c>
      <c r="W118" s="334">
        <v>7630</v>
      </c>
      <c r="X118" s="133">
        <v>70</v>
      </c>
      <c r="Y118" s="122" t="s">
        <v>183</v>
      </c>
      <c r="Z118" s="105" t="s">
        <v>182</v>
      </c>
      <c r="AA118" s="345">
        <v>53420</v>
      </c>
      <c r="AB118" s="134" t="s">
        <v>182</v>
      </c>
      <c r="AC118" s="134">
        <v>530</v>
      </c>
      <c r="AD118" s="135" t="s">
        <v>184</v>
      </c>
      <c r="AE118" s="105" t="s">
        <v>182</v>
      </c>
      <c r="AF118" s="345">
        <v>45790</v>
      </c>
      <c r="AG118" s="134" t="s">
        <v>182</v>
      </c>
      <c r="AH118" s="134">
        <v>450</v>
      </c>
      <c r="AI118" s="135" t="s">
        <v>184</v>
      </c>
      <c r="AK118" s="1357"/>
      <c r="AL118" s="106"/>
      <c r="AM118" s="106"/>
      <c r="AN118" s="131"/>
      <c r="AP118" s="348">
        <v>7630</v>
      </c>
      <c r="AQ118" s="106"/>
      <c r="AR118" s="106"/>
      <c r="AS118" s="131"/>
      <c r="AU118" s="1354"/>
      <c r="AV118" s="110"/>
      <c r="AW118" s="110"/>
      <c r="AX118" s="108"/>
      <c r="AZ118" s="353" t="s">
        <v>766</v>
      </c>
      <c r="BA118" s="1355"/>
      <c r="BB118" s="136" t="s">
        <v>767</v>
      </c>
      <c r="BC118" s="1355"/>
      <c r="BD118" s="353" t="s">
        <v>766</v>
      </c>
      <c r="BE118" s="1355"/>
      <c r="BF118" s="353" t="s">
        <v>663</v>
      </c>
      <c r="BH118" s="140">
        <v>7500</v>
      </c>
      <c r="BJ118" s="104" t="s">
        <v>785</v>
      </c>
      <c r="BL118" s="109"/>
      <c r="BM118" s="146"/>
      <c r="BN118" s="146"/>
      <c r="BO118" s="147"/>
      <c r="BQ118" s="109"/>
      <c r="BR118" s="146"/>
      <c r="BS118" s="146"/>
      <c r="BT118" s="146"/>
      <c r="BU118" s="147"/>
      <c r="BW118" s="132"/>
      <c r="BX118" s="153"/>
      <c r="BY118" s="153"/>
      <c r="BZ118" s="153"/>
      <c r="CA118" s="154"/>
      <c r="CC118" s="152">
        <v>0.89</v>
      </c>
    </row>
    <row r="119" spans="1:81" ht="75">
      <c r="A119" s="1403"/>
      <c r="B119" s="120" t="s">
        <v>202</v>
      </c>
      <c r="C119" s="121" t="s">
        <v>180</v>
      </c>
      <c r="D119" s="122" t="s">
        <v>181</v>
      </c>
      <c r="F119" s="327">
        <v>29340</v>
      </c>
      <c r="G119" s="328">
        <v>36970</v>
      </c>
      <c r="H119" s="105" t="s">
        <v>182</v>
      </c>
      <c r="I119" s="329">
        <v>270</v>
      </c>
      <c r="J119" s="330">
        <v>350</v>
      </c>
      <c r="K119" s="331" t="s">
        <v>661</v>
      </c>
      <c r="L119" s="105" t="s">
        <v>182</v>
      </c>
      <c r="M119" s="1353">
        <v>1420</v>
      </c>
      <c r="N119" s="106" t="s">
        <v>182</v>
      </c>
      <c r="O119" s="106">
        <v>10</v>
      </c>
      <c r="P119" s="131" t="s">
        <v>184</v>
      </c>
      <c r="Q119" s="105" t="s">
        <v>182</v>
      </c>
      <c r="R119" s="1353">
        <v>6100</v>
      </c>
      <c r="S119" s="106" t="s">
        <v>182</v>
      </c>
      <c r="T119" s="106">
        <v>60</v>
      </c>
      <c r="U119" s="131" t="s">
        <v>184</v>
      </c>
      <c r="V119" s="105" t="s">
        <v>182</v>
      </c>
      <c r="W119" s="342">
        <v>7630</v>
      </c>
      <c r="X119" s="126">
        <v>70</v>
      </c>
      <c r="Y119" s="122" t="s">
        <v>183</v>
      </c>
      <c r="AA119" s="344"/>
      <c r="AF119" s="344" t="s">
        <v>185</v>
      </c>
      <c r="AJ119" s="105" t="s">
        <v>182</v>
      </c>
      <c r="AK119" s="1356" t="s">
        <v>188</v>
      </c>
      <c r="AL119" s="106" t="s">
        <v>182</v>
      </c>
      <c r="AM119" s="106" t="s">
        <v>188</v>
      </c>
      <c r="AN119" s="131"/>
      <c r="AP119" s="349" t="s">
        <v>203</v>
      </c>
      <c r="AQ119" s="106" t="s">
        <v>182</v>
      </c>
      <c r="AR119" s="106">
        <v>60</v>
      </c>
      <c r="AS119" s="131" t="s">
        <v>187</v>
      </c>
      <c r="AT119" s="105" t="s">
        <v>182</v>
      </c>
      <c r="AU119" s="1353">
        <v>1040</v>
      </c>
      <c r="AV119" s="106" t="s">
        <v>182</v>
      </c>
      <c r="AW119" s="106">
        <v>10</v>
      </c>
      <c r="AX119" s="131" t="s">
        <v>184</v>
      </c>
      <c r="AY119" s="105" t="s">
        <v>182</v>
      </c>
      <c r="AZ119" s="352">
        <v>570</v>
      </c>
      <c r="BA119" s="1355" t="s">
        <v>664</v>
      </c>
      <c r="BB119" s="127">
        <v>5</v>
      </c>
      <c r="BC119" s="1355" t="s">
        <v>664</v>
      </c>
      <c r="BD119" s="352">
        <v>100</v>
      </c>
      <c r="BE119" s="1355" t="s">
        <v>664</v>
      </c>
      <c r="BF119" s="352">
        <v>1</v>
      </c>
      <c r="BH119" s="139" t="s">
        <v>773</v>
      </c>
      <c r="BI119" s="2" t="s">
        <v>182</v>
      </c>
      <c r="BJ119" s="130">
        <v>235</v>
      </c>
      <c r="BK119" s="105" t="s">
        <v>188</v>
      </c>
      <c r="BL119" s="132">
        <v>1500</v>
      </c>
      <c r="BM119" s="153" t="s">
        <v>189</v>
      </c>
      <c r="BN119" s="153">
        <v>10</v>
      </c>
      <c r="BO119" s="154" t="s">
        <v>184</v>
      </c>
      <c r="BP119" s="105" t="s">
        <v>188</v>
      </c>
      <c r="BQ119" s="132">
        <v>6100</v>
      </c>
      <c r="BR119" s="153" t="s">
        <v>189</v>
      </c>
      <c r="BS119" s="153">
        <v>60</v>
      </c>
      <c r="BT119" s="153" t="s">
        <v>184</v>
      </c>
      <c r="BU119" s="154" t="s">
        <v>190</v>
      </c>
      <c r="BV119" s="105" t="s">
        <v>188</v>
      </c>
      <c r="BW119" s="125">
        <v>4500</v>
      </c>
      <c r="BX119" s="150" t="s">
        <v>189</v>
      </c>
      <c r="BY119" s="150">
        <v>40</v>
      </c>
      <c r="BZ119" s="150" t="s">
        <v>184</v>
      </c>
      <c r="CA119" s="151" t="s">
        <v>190</v>
      </c>
      <c r="CC119" s="152" t="s">
        <v>191</v>
      </c>
    </row>
    <row r="120" spans="1:81" ht="37.5">
      <c r="A120" s="1403"/>
      <c r="B120" s="103"/>
      <c r="C120" s="104"/>
      <c r="D120" s="122" t="s">
        <v>192</v>
      </c>
      <c r="F120" s="332">
        <v>36970</v>
      </c>
      <c r="G120" s="333"/>
      <c r="H120" s="105" t="s">
        <v>182</v>
      </c>
      <c r="I120" s="334">
        <v>350</v>
      </c>
      <c r="J120" s="335"/>
      <c r="K120" s="336" t="s">
        <v>661</v>
      </c>
      <c r="M120" s="1354"/>
      <c r="N120" s="106"/>
      <c r="O120" s="106"/>
      <c r="P120" s="131"/>
      <c r="R120" s="1354"/>
      <c r="S120" s="106"/>
      <c r="T120" s="106"/>
      <c r="U120" s="131"/>
      <c r="V120" s="105" t="s">
        <v>182</v>
      </c>
      <c r="W120" s="334">
        <v>7630</v>
      </c>
      <c r="X120" s="133">
        <v>70</v>
      </c>
      <c r="Y120" s="122" t="s">
        <v>183</v>
      </c>
      <c r="Z120" s="105" t="s">
        <v>182</v>
      </c>
      <c r="AA120" s="345">
        <v>53420</v>
      </c>
      <c r="AB120" s="134" t="s">
        <v>182</v>
      </c>
      <c r="AC120" s="134">
        <v>530</v>
      </c>
      <c r="AD120" s="135" t="s">
        <v>184</v>
      </c>
      <c r="AE120" s="105" t="s">
        <v>182</v>
      </c>
      <c r="AF120" s="345">
        <v>45790</v>
      </c>
      <c r="AG120" s="134" t="s">
        <v>182</v>
      </c>
      <c r="AH120" s="134">
        <v>450</v>
      </c>
      <c r="AI120" s="135" t="s">
        <v>184</v>
      </c>
      <c r="AK120" s="1357"/>
      <c r="AL120" s="106"/>
      <c r="AM120" s="106"/>
      <c r="AN120" s="131"/>
      <c r="AP120" s="348">
        <v>6100</v>
      </c>
      <c r="AQ120" s="106"/>
      <c r="AR120" s="106"/>
      <c r="AS120" s="131"/>
      <c r="AU120" s="1354"/>
      <c r="AV120" s="106"/>
      <c r="AW120" s="106"/>
      <c r="AX120" s="131"/>
      <c r="AZ120" s="353" t="s">
        <v>766</v>
      </c>
      <c r="BA120" s="1355"/>
      <c r="BB120" s="136" t="s">
        <v>767</v>
      </c>
      <c r="BC120" s="1355"/>
      <c r="BD120" s="353" t="s">
        <v>766</v>
      </c>
      <c r="BE120" s="1355"/>
      <c r="BF120" s="353" t="s">
        <v>663</v>
      </c>
      <c r="BH120" s="140">
        <v>6130</v>
      </c>
      <c r="BJ120" s="130" t="s">
        <v>785</v>
      </c>
      <c r="BL120" s="132"/>
      <c r="BM120" s="153"/>
      <c r="BN120" s="153"/>
      <c r="BO120" s="154"/>
      <c r="BQ120" s="132"/>
      <c r="BR120" s="153"/>
      <c r="BS120" s="153"/>
      <c r="BT120" s="153"/>
      <c r="BU120" s="154"/>
      <c r="BW120" s="109"/>
      <c r="BX120" s="146"/>
      <c r="BY120" s="146"/>
      <c r="BZ120" s="146"/>
      <c r="CA120" s="147"/>
      <c r="CC120" s="152">
        <v>0.92</v>
      </c>
    </row>
    <row r="121" spans="1:81" ht="75">
      <c r="A121" s="1403"/>
      <c r="B121" s="129" t="s">
        <v>204</v>
      </c>
      <c r="C121" s="130" t="s">
        <v>180</v>
      </c>
      <c r="D121" s="122" t="s">
        <v>181</v>
      </c>
      <c r="F121" s="327">
        <v>27700</v>
      </c>
      <c r="G121" s="328">
        <v>35330</v>
      </c>
      <c r="H121" s="105" t="s">
        <v>182</v>
      </c>
      <c r="I121" s="329">
        <v>250</v>
      </c>
      <c r="J121" s="330">
        <v>330</v>
      </c>
      <c r="K121" s="331" t="s">
        <v>661</v>
      </c>
      <c r="L121" s="105" t="s">
        <v>182</v>
      </c>
      <c r="M121" s="1353">
        <v>1180</v>
      </c>
      <c r="N121" s="123" t="s">
        <v>182</v>
      </c>
      <c r="O121" s="123">
        <v>10</v>
      </c>
      <c r="P121" s="124" t="s">
        <v>184</v>
      </c>
      <c r="Q121" s="105" t="s">
        <v>182</v>
      </c>
      <c r="R121" s="1353">
        <v>5080</v>
      </c>
      <c r="S121" s="123" t="s">
        <v>182</v>
      </c>
      <c r="T121" s="123">
        <v>50</v>
      </c>
      <c r="U121" s="124" t="s">
        <v>184</v>
      </c>
      <c r="V121" s="105" t="s">
        <v>182</v>
      </c>
      <c r="W121" s="342">
        <v>7630</v>
      </c>
      <c r="X121" s="126">
        <v>70</v>
      </c>
      <c r="Y121" s="122" t="s">
        <v>183</v>
      </c>
      <c r="AA121" s="344"/>
      <c r="AF121" s="344" t="s">
        <v>185</v>
      </c>
      <c r="AJ121" s="105" t="s">
        <v>182</v>
      </c>
      <c r="AK121" s="1356" t="s">
        <v>188</v>
      </c>
      <c r="AL121" s="106" t="s">
        <v>182</v>
      </c>
      <c r="AM121" s="106" t="s">
        <v>188</v>
      </c>
      <c r="AN121" s="131"/>
      <c r="AP121" s="349" t="s">
        <v>205</v>
      </c>
      <c r="AQ121" s="106" t="s">
        <v>182</v>
      </c>
      <c r="AR121" s="106">
        <v>50</v>
      </c>
      <c r="AS121" s="131" t="s">
        <v>187</v>
      </c>
      <c r="AT121" s="105" t="s">
        <v>182</v>
      </c>
      <c r="AU121" s="1353">
        <v>860</v>
      </c>
      <c r="AV121" s="123" t="s">
        <v>182</v>
      </c>
      <c r="AW121" s="123">
        <v>8</v>
      </c>
      <c r="AX121" s="124" t="s">
        <v>184</v>
      </c>
      <c r="AY121" s="105" t="s">
        <v>182</v>
      </c>
      <c r="AZ121" s="352">
        <v>500</v>
      </c>
      <c r="BA121" s="1355" t="s">
        <v>664</v>
      </c>
      <c r="BB121" s="127">
        <v>5</v>
      </c>
      <c r="BC121" s="1355" t="s">
        <v>664</v>
      </c>
      <c r="BD121" s="352">
        <v>80</v>
      </c>
      <c r="BE121" s="1355" t="s">
        <v>664</v>
      </c>
      <c r="BF121" s="352">
        <v>1</v>
      </c>
      <c r="BH121" s="139" t="s">
        <v>774</v>
      </c>
      <c r="BI121" s="2" t="s">
        <v>182</v>
      </c>
      <c r="BJ121" s="121">
        <v>235</v>
      </c>
      <c r="BK121" s="105" t="s">
        <v>188</v>
      </c>
      <c r="BL121" s="125">
        <v>1250</v>
      </c>
      <c r="BM121" s="150" t="s">
        <v>189</v>
      </c>
      <c r="BN121" s="150">
        <v>10</v>
      </c>
      <c r="BO121" s="151" t="s">
        <v>184</v>
      </c>
      <c r="BP121" s="105" t="s">
        <v>188</v>
      </c>
      <c r="BQ121" s="125">
        <v>5080</v>
      </c>
      <c r="BR121" s="150" t="s">
        <v>189</v>
      </c>
      <c r="BS121" s="150">
        <v>50</v>
      </c>
      <c r="BT121" s="150" t="s">
        <v>184</v>
      </c>
      <c r="BU121" s="151" t="s">
        <v>190</v>
      </c>
      <c r="BV121" s="105" t="s">
        <v>188</v>
      </c>
      <c r="BW121" s="132">
        <v>3750</v>
      </c>
      <c r="BX121" s="153" t="s">
        <v>189</v>
      </c>
      <c r="BY121" s="153">
        <v>30</v>
      </c>
      <c r="BZ121" s="153" t="s">
        <v>184</v>
      </c>
      <c r="CA121" s="154" t="s">
        <v>190</v>
      </c>
      <c r="CC121" s="152" t="s">
        <v>191</v>
      </c>
    </row>
    <row r="122" spans="1:81" ht="37.5">
      <c r="A122" s="1403"/>
      <c r="B122" s="129"/>
      <c r="C122" s="130"/>
      <c r="D122" s="122" t="s">
        <v>192</v>
      </c>
      <c r="F122" s="332">
        <v>35330</v>
      </c>
      <c r="G122" s="333"/>
      <c r="H122" s="105" t="s">
        <v>182</v>
      </c>
      <c r="I122" s="334">
        <v>330</v>
      </c>
      <c r="J122" s="335"/>
      <c r="K122" s="336" t="s">
        <v>661</v>
      </c>
      <c r="M122" s="1354"/>
      <c r="N122" s="310"/>
      <c r="O122" s="310"/>
      <c r="P122" s="311"/>
      <c r="R122" s="1354"/>
      <c r="S122" s="310"/>
      <c r="T122" s="310"/>
      <c r="U122" s="311"/>
      <c r="V122" s="105" t="s">
        <v>182</v>
      </c>
      <c r="W122" s="334">
        <v>7630</v>
      </c>
      <c r="X122" s="133">
        <v>70</v>
      </c>
      <c r="Y122" s="122" t="s">
        <v>183</v>
      </c>
      <c r="Z122" s="105" t="s">
        <v>182</v>
      </c>
      <c r="AA122" s="345">
        <v>53420</v>
      </c>
      <c r="AB122" s="134" t="s">
        <v>182</v>
      </c>
      <c r="AC122" s="134">
        <v>530</v>
      </c>
      <c r="AD122" s="135" t="s">
        <v>184</v>
      </c>
      <c r="AE122" s="105" t="s">
        <v>182</v>
      </c>
      <c r="AF122" s="345">
        <v>45790</v>
      </c>
      <c r="AG122" s="134" t="s">
        <v>182</v>
      </c>
      <c r="AH122" s="134">
        <v>450</v>
      </c>
      <c r="AI122" s="135" t="s">
        <v>184</v>
      </c>
      <c r="AK122" s="1357"/>
      <c r="AL122" s="106"/>
      <c r="AM122" s="106"/>
      <c r="AN122" s="131"/>
      <c r="AP122" s="348">
        <v>5080</v>
      </c>
      <c r="AQ122" s="106"/>
      <c r="AR122" s="106"/>
      <c r="AS122" s="131"/>
      <c r="AU122" s="1354"/>
      <c r="AV122" s="110"/>
      <c r="AW122" s="110"/>
      <c r="AX122" s="108"/>
      <c r="AZ122" s="353" t="s">
        <v>766</v>
      </c>
      <c r="BA122" s="1355"/>
      <c r="BB122" s="136" t="s">
        <v>767</v>
      </c>
      <c r="BC122" s="1355"/>
      <c r="BD122" s="353" t="s">
        <v>766</v>
      </c>
      <c r="BE122" s="1355"/>
      <c r="BF122" s="353" t="s">
        <v>663</v>
      </c>
      <c r="BH122" s="140">
        <v>5220</v>
      </c>
      <c r="BJ122" s="104" t="s">
        <v>785</v>
      </c>
      <c r="BL122" s="109"/>
      <c r="BM122" s="146"/>
      <c r="BN122" s="146"/>
      <c r="BO122" s="147"/>
      <c r="BQ122" s="109"/>
      <c r="BR122" s="146"/>
      <c r="BS122" s="146"/>
      <c r="BT122" s="146"/>
      <c r="BU122" s="147"/>
      <c r="BW122" s="132"/>
      <c r="BX122" s="153"/>
      <c r="BY122" s="153"/>
      <c r="BZ122" s="153"/>
      <c r="CA122" s="154"/>
      <c r="CC122" s="152">
        <v>0.9</v>
      </c>
    </row>
    <row r="123" spans="1:81" ht="75">
      <c r="A123" s="1403"/>
      <c r="B123" s="120" t="s">
        <v>206</v>
      </c>
      <c r="C123" s="121" t="s">
        <v>180</v>
      </c>
      <c r="D123" s="122" t="s">
        <v>181</v>
      </c>
      <c r="F123" s="327">
        <v>27210</v>
      </c>
      <c r="G123" s="328">
        <v>34840</v>
      </c>
      <c r="H123" s="105" t="s">
        <v>182</v>
      </c>
      <c r="I123" s="329">
        <v>250</v>
      </c>
      <c r="J123" s="330">
        <v>330</v>
      </c>
      <c r="K123" s="331" t="s">
        <v>661</v>
      </c>
      <c r="L123" s="105" t="s">
        <v>182</v>
      </c>
      <c r="M123" s="1353">
        <v>1010</v>
      </c>
      <c r="N123" s="106" t="s">
        <v>182</v>
      </c>
      <c r="O123" s="106">
        <v>10</v>
      </c>
      <c r="P123" s="131" t="s">
        <v>184</v>
      </c>
      <c r="Q123" s="105" t="s">
        <v>182</v>
      </c>
      <c r="R123" s="1353">
        <v>4360</v>
      </c>
      <c r="S123" s="106" t="s">
        <v>182</v>
      </c>
      <c r="T123" s="106">
        <v>40</v>
      </c>
      <c r="U123" s="131" t="s">
        <v>184</v>
      </c>
      <c r="V123" s="105" t="s">
        <v>182</v>
      </c>
      <c r="W123" s="342">
        <v>7630</v>
      </c>
      <c r="X123" s="126">
        <v>70</v>
      </c>
      <c r="Y123" s="122" t="s">
        <v>183</v>
      </c>
      <c r="AA123" s="344"/>
      <c r="AF123" s="344" t="s">
        <v>185</v>
      </c>
      <c r="AJ123" s="105" t="s">
        <v>182</v>
      </c>
      <c r="AK123" s="1356" t="s">
        <v>188</v>
      </c>
      <c r="AL123" s="106" t="s">
        <v>182</v>
      </c>
      <c r="AM123" s="106" t="s">
        <v>188</v>
      </c>
      <c r="AN123" s="131"/>
      <c r="AP123" s="349" t="s">
        <v>207</v>
      </c>
      <c r="AQ123" s="106" t="s">
        <v>182</v>
      </c>
      <c r="AR123" s="106">
        <v>40</v>
      </c>
      <c r="AS123" s="131" t="s">
        <v>187</v>
      </c>
      <c r="AT123" s="105" t="s">
        <v>182</v>
      </c>
      <c r="AU123" s="1353">
        <v>740</v>
      </c>
      <c r="AV123" s="106" t="s">
        <v>182</v>
      </c>
      <c r="AW123" s="106">
        <v>7</v>
      </c>
      <c r="AX123" s="131" t="s">
        <v>184</v>
      </c>
      <c r="AY123" s="105" t="s">
        <v>182</v>
      </c>
      <c r="AZ123" s="352">
        <v>440</v>
      </c>
      <c r="BA123" s="1355" t="s">
        <v>664</v>
      </c>
      <c r="BB123" s="127">
        <v>4</v>
      </c>
      <c r="BC123" s="1355" t="s">
        <v>664</v>
      </c>
      <c r="BD123" s="352">
        <v>80</v>
      </c>
      <c r="BE123" s="1355" t="s">
        <v>664</v>
      </c>
      <c r="BF123" s="352">
        <v>1</v>
      </c>
      <c r="BH123" s="139" t="s">
        <v>775</v>
      </c>
      <c r="BI123" s="2" t="s">
        <v>182</v>
      </c>
      <c r="BJ123" s="130">
        <v>235</v>
      </c>
      <c r="BK123" s="105" t="s">
        <v>188</v>
      </c>
      <c r="BL123" s="132">
        <v>1070</v>
      </c>
      <c r="BM123" s="153" t="s">
        <v>189</v>
      </c>
      <c r="BN123" s="153">
        <v>10</v>
      </c>
      <c r="BO123" s="154" t="s">
        <v>184</v>
      </c>
      <c r="BP123" s="105" t="s">
        <v>188</v>
      </c>
      <c r="BQ123" s="132">
        <v>4360</v>
      </c>
      <c r="BR123" s="153" t="s">
        <v>189</v>
      </c>
      <c r="BS123" s="153">
        <v>40</v>
      </c>
      <c r="BT123" s="153" t="s">
        <v>184</v>
      </c>
      <c r="BU123" s="154" t="s">
        <v>190</v>
      </c>
      <c r="BV123" s="105" t="s">
        <v>188</v>
      </c>
      <c r="BW123" s="125">
        <v>3220</v>
      </c>
      <c r="BX123" s="150" t="s">
        <v>189</v>
      </c>
      <c r="BY123" s="150">
        <v>30</v>
      </c>
      <c r="BZ123" s="150" t="s">
        <v>184</v>
      </c>
      <c r="CA123" s="151" t="s">
        <v>190</v>
      </c>
      <c r="CC123" s="152" t="s">
        <v>191</v>
      </c>
    </row>
    <row r="124" spans="1:81" ht="37.5">
      <c r="A124" s="1403"/>
      <c r="B124" s="103"/>
      <c r="C124" s="104"/>
      <c r="D124" s="122" t="s">
        <v>192</v>
      </c>
      <c r="F124" s="332">
        <v>34840</v>
      </c>
      <c r="G124" s="333"/>
      <c r="H124" s="105" t="s">
        <v>182</v>
      </c>
      <c r="I124" s="334">
        <v>330</v>
      </c>
      <c r="J124" s="335"/>
      <c r="K124" s="336" t="s">
        <v>661</v>
      </c>
      <c r="M124" s="1354"/>
      <c r="N124" s="106"/>
      <c r="O124" s="106"/>
      <c r="P124" s="131"/>
      <c r="R124" s="1354"/>
      <c r="S124" s="106"/>
      <c r="T124" s="106"/>
      <c r="U124" s="131"/>
      <c r="V124" s="105" t="s">
        <v>182</v>
      </c>
      <c r="W124" s="334">
        <v>7630</v>
      </c>
      <c r="X124" s="133">
        <v>70</v>
      </c>
      <c r="Y124" s="122" t="s">
        <v>183</v>
      </c>
      <c r="Z124" s="105" t="s">
        <v>182</v>
      </c>
      <c r="AA124" s="345">
        <v>53420</v>
      </c>
      <c r="AB124" s="134" t="s">
        <v>182</v>
      </c>
      <c r="AC124" s="134">
        <v>530</v>
      </c>
      <c r="AD124" s="135" t="s">
        <v>184</v>
      </c>
      <c r="AE124" s="105" t="s">
        <v>182</v>
      </c>
      <c r="AF124" s="345">
        <v>45790</v>
      </c>
      <c r="AG124" s="134" t="s">
        <v>182</v>
      </c>
      <c r="AH124" s="134">
        <v>450</v>
      </c>
      <c r="AI124" s="135" t="s">
        <v>184</v>
      </c>
      <c r="AK124" s="1357"/>
      <c r="AL124" s="106"/>
      <c r="AM124" s="106"/>
      <c r="AN124" s="131"/>
      <c r="AP124" s="348">
        <v>4360</v>
      </c>
      <c r="AQ124" s="106"/>
      <c r="AR124" s="106"/>
      <c r="AS124" s="131"/>
      <c r="AU124" s="1354"/>
      <c r="AV124" s="106"/>
      <c r="AW124" s="106"/>
      <c r="AX124" s="131"/>
      <c r="AZ124" s="353" t="s">
        <v>766</v>
      </c>
      <c r="BA124" s="1355"/>
      <c r="BB124" s="136" t="s">
        <v>767</v>
      </c>
      <c r="BC124" s="1355"/>
      <c r="BD124" s="353" t="s">
        <v>766</v>
      </c>
      <c r="BE124" s="1355"/>
      <c r="BF124" s="353" t="s">
        <v>663</v>
      </c>
      <c r="BH124" s="140">
        <v>4660</v>
      </c>
      <c r="BJ124" s="130" t="s">
        <v>785</v>
      </c>
      <c r="BL124" s="132"/>
      <c r="BM124" s="153"/>
      <c r="BN124" s="153"/>
      <c r="BO124" s="154"/>
      <c r="BQ124" s="132"/>
      <c r="BR124" s="153"/>
      <c r="BS124" s="153"/>
      <c r="BT124" s="153"/>
      <c r="BU124" s="154"/>
      <c r="BW124" s="109"/>
      <c r="BX124" s="146"/>
      <c r="BY124" s="146"/>
      <c r="BZ124" s="146"/>
      <c r="CA124" s="147"/>
      <c r="CC124" s="152">
        <v>0.91</v>
      </c>
    </row>
    <row r="125" spans="1:81" ht="75">
      <c r="A125" s="1403"/>
      <c r="B125" s="129" t="s">
        <v>208</v>
      </c>
      <c r="C125" s="130" t="s">
        <v>180</v>
      </c>
      <c r="D125" s="122" t="s">
        <v>181</v>
      </c>
      <c r="F125" s="327">
        <v>26270</v>
      </c>
      <c r="G125" s="328">
        <v>33900</v>
      </c>
      <c r="H125" s="105" t="s">
        <v>182</v>
      </c>
      <c r="I125" s="329">
        <v>240</v>
      </c>
      <c r="J125" s="330">
        <v>320</v>
      </c>
      <c r="K125" s="331" t="s">
        <v>661</v>
      </c>
      <c r="L125" s="105" t="s">
        <v>182</v>
      </c>
      <c r="M125" s="1353">
        <v>880</v>
      </c>
      <c r="N125" s="123" t="s">
        <v>182</v>
      </c>
      <c r="O125" s="123">
        <v>8</v>
      </c>
      <c r="P125" s="124" t="s">
        <v>184</v>
      </c>
      <c r="Q125" s="105" t="s">
        <v>182</v>
      </c>
      <c r="R125" s="1353">
        <v>3810</v>
      </c>
      <c r="S125" s="123" t="s">
        <v>182</v>
      </c>
      <c r="T125" s="123">
        <v>30</v>
      </c>
      <c r="U125" s="124" t="s">
        <v>184</v>
      </c>
      <c r="V125" s="105" t="s">
        <v>182</v>
      </c>
      <c r="W125" s="342">
        <v>7630</v>
      </c>
      <c r="X125" s="126">
        <v>70</v>
      </c>
      <c r="Y125" s="122" t="s">
        <v>183</v>
      </c>
      <c r="AA125" s="344"/>
      <c r="AF125" s="344" t="s">
        <v>185</v>
      </c>
      <c r="AJ125" s="105" t="s">
        <v>182</v>
      </c>
      <c r="AK125" s="1356" t="s">
        <v>188</v>
      </c>
      <c r="AL125" s="106" t="s">
        <v>182</v>
      </c>
      <c r="AM125" s="106" t="s">
        <v>188</v>
      </c>
      <c r="AN125" s="131"/>
      <c r="AP125" s="349" t="s">
        <v>209</v>
      </c>
      <c r="AQ125" s="106" t="s">
        <v>182</v>
      </c>
      <c r="AR125" s="106">
        <v>30</v>
      </c>
      <c r="AS125" s="131" t="s">
        <v>187</v>
      </c>
      <c r="AT125" s="105" t="s">
        <v>182</v>
      </c>
      <c r="AU125" s="1353">
        <v>650</v>
      </c>
      <c r="AV125" s="123" t="s">
        <v>182</v>
      </c>
      <c r="AW125" s="123">
        <v>6</v>
      </c>
      <c r="AX125" s="124" t="s">
        <v>184</v>
      </c>
      <c r="AY125" s="105" t="s">
        <v>182</v>
      </c>
      <c r="AZ125" s="352">
        <v>410</v>
      </c>
      <c r="BA125" s="1355" t="s">
        <v>664</v>
      </c>
      <c r="BB125" s="127">
        <v>4</v>
      </c>
      <c r="BC125" s="1355" t="s">
        <v>664</v>
      </c>
      <c r="BD125" s="352">
        <v>70</v>
      </c>
      <c r="BE125" s="1355" t="s">
        <v>664</v>
      </c>
      <c r="BF125" s="352">
        <v>1</v>
      </c>
      <c r="BH125" s="139" t="s">
        <v>776</v>
      </c>
      <c r="BI125" s="2" t="s">
        <v>182</v>
      </c>
      <c r="BJ125" s="155">
        <v>235</v>
      </c>
      <c r="BK125" s="105" t="s">
        <v>188</v>
      </c>
      <c r="BL125" s="125">
        <v>930</v>
      </c>
      <c r="BM125" s="150" t="s">
        <v>189</v>
      </c>
      <c r="BN125" s="150">
        <v>9</v>
      </c>
      <c r="BO125" s="151" t="s">
        <v>184</v>
      </c>
      <c r="BP125" s="105" t="s">
        <v>188</v>
      </c>
      <c r="BQ125" s="125">
        <v>3810</v>
      </c>
      <c r="BR125" s="150" t="s">
        <v>189</v>
      </c>
      <c r="BS125" s="150">
        <v>30</v>
      </c>
      <c r="BT125" s="150" t="s">
        <v>184</v>
      </c>
      <c r="BU125" s="151" t="s">
        <v>190</v>
      </c>
      <c r="BV125" s="105" t="s">
        <v>188</v>
      </c>
      <c r="BW125" s="132">
        <v>2810</v>
      </c>
      <c r="BX125" s="153" t="s">
        <v>189</v>
      </c>
      <c r="BY125" s="153">
        <v>20</v>
      </c>
      <c r="BZ125" s="153" t="s">
        <v>184</v>
      </c>
      <c r="CA125" s="154" t="s">
        <v>190</v>
      </c>
      <c r="CC125" s="152" t="s">
        <v>191</v>
      </c>
    </row>
    <row r="126" spans="1:81" ht="37.5">
      <c r="A126" s="1403"/>
      <c r="B126" s="129"/>
      <c r="C126" s="130"/>
      <c r="D126" s="122" t="s">
        <v>192</v>
      </c>
      <c r="F126" s="332">
        <v>33900</v>
      </c>
      <c r="G126" s="333"/>
      <c r="H126" s="105" t="s">
        <v>182</v>
      </c>
      <c r="I126" s="334">
        <v>320</v>
      </c>
      <c r="J126" s="335"/>
      <c r="K126" s="336" t="s">
        <v>661</v>
      </c>
      <c r="M126" s="1354"/>
      <c r="N126" s="310"/>
      <c r="O126" s="310"/>
      <c r="P126" s="311"/>
      <c r="R126" s="1354"/>
      <c r="S126" s="310"/>
      <c r="T126" s="310"/>
      <c r="U126" s="311"/>
      <c r="V126" s="105" t="s">
        <v>182</v>
      </c>
      <c r="W126" s="334">
        <v>7630</v>
      </c>
      <c r="X126" s="133">
        <v>70</v>
      </c>
      <c r="Y126" s="122" t="s">
        <v>183</v>
      </c>
      <c r="Z126" s="105" t="s">
        <v>182</v>
      </c>
      <c r="AA126" s="345">
        <v>53420</v>
      </c>
      <c r="AB126" s="134" t="s">
        <v>182</v>
      </c>
      <c r="AC126" s="134">
        <v>530</v>
      </c>
      <c r="AD126" s="135" t="s">
        <v>184</v>
      </c>
      <c r="AE126" s="105" t="s">
        <v>182</v>
      </c>
      <c r="AF126" s="345">
        <v>45790</v>
      </c>
      <c r="AG126" s="134" t="s">
        <v>182</v>
      </c>
      <c r="AH126" s="134">
        <v>450</v>
      </c>
      <c r="AI126" s="135" t="s">
        <v>184</v>
      </c>
      <c r="AK126" s="1357"/>
      <c r="AL126" s="110"/>
      <c r="AM126" s="110"/>
      <c r="AN126" s="108"/>
      <c r="AP126" s="348">
        <v>3810</v>
      </c>
      <c r="AQ126" s="106"/>
      <c r="AR126" s="106"/>
      <c r="AS126" s="131"/>
      <c r="AU126" s="1354"/>
      <c r="AV126" s="110"/>
      <c r="AW126" s="110"/>
      <c r="AX126" s="108"/>
      <c r="AZ126" s="353" t="s">
        <v>766</v>
      </c>
      <c r="BA126" s="1355"/>
      <c r="BB126" s="136" t="s">
        <v>767</v>
      </c>
      <c r="BC126" s="1355"/>
      <c r="BD126" s="353" t="s">
        <v>766</v>
      </c>
      <c r="BE126" s="1355"/>
      <c r="BF126" s="353" t="s">
        <v>663</v>
      </c>
      <c r="BH126" s="140">
        <v>4250</v>
      </c>
      <c r="BJ126" s="156" t="s">
        <v>785</v>
      </c>
      <c r="BL126" s="109"/>
      <c r="BM126" s="146"/>
      <c r="BN126" s="146"/>
      <c r="BO126" s="147"/>
      <c r="BQ126" s="109"/>
      <c r="BR126" s="146"/>
      <c r="BS126" s="146"/>
      <c r="BT126" s="146"/>
      <c r="BU126" s="147"/>
      <c r="BW126" s="132"/>
      <c r="BX126" s="153"/>
      <c r="BY126" s="153"/>
      <c r="BZ126" s="153"/>
      <c r="CA126" s="154"/>
      <c r="CC126" s="152">
        <v>0.92</v>
      </c>
    </row>
    <row r="127" spans="1:81" ht="75">
      <c r="A127" s="1403"/>
      <c r="B127" s="120" t="s">
        <v>210</v>
      </c>
      <c r="C127" s="121" t="s">
        <v>180</v>
      </c>
      <c r="D127" s="122" t="s">
        <v>181</v>
      </c>
      <c r="F127" s="327">
        <v>25520</v>
      </c>
      <c r="G127" s="328">
        <v>33150</v>
      </c>
      <c r="H127" s="105" t="s">
        <v>182</v>
      </c>
      <c r="I127" s="329">
        <v>230</v>
      </c>
      <c r="J127" s="330">
        <v>310</v>
      </c>
      <c r="K127" s="331" t="s">
        <v>661</v>
      </c>
      <c r="L127" s="105" t="s">
        <v>182</v>
      </c>
      <c r="M127" s="1353">
        <v>790</v>
      </c>
      <c r="N127" s="106" t="s">
        <v>182</v>
      </c>
      <c r="O127" s="106">
        <v>7</v>
      </c>
      <c r="P127" s="131" t="s">
        <v>184</v>
      </c>
      <c r="Q127" s="105" t="s">
        <v>182</v>
      </c>
      <c r="R127" s="1353">
        <v>3390</v>
      </c>
      <c r="S127" s="106" t="s">
        <v>182</v>
      </c>
      <c r="T127" s="106">
        <v>30</v>
      </c>
      <c r="U127" s="131" t="s">
        <v>184</v>
      </c>
      <c r="V127" s="105" t="s">
        <v>182</v>
      </c>
      <c r="W127" s="342">
        <v>7630</v>
      </c>
      <c r="X127" s="126">
        <v>70</v>
      </c>
      <c r="Y127" s="122" t="s">
        <v>183</v>
      </c>
      <c r="AA127" s="344"/>
      <c r="AF127" s="344" t="s">
        <v>185</v>
      </c>
      <c r="AJ127" s="105" t="s">
        <v>182</v>
      </c>
      <c r="AK127" s="1356">
        <v>640</v>
      </c>
      <c r="AL127" s="106" t="s">
        <v>182</v>
      </c>
      <c r="AM127" s="106">
        <v>6</v>
      </c>
      <c r="AN127" s="131" t="s">
        <v>184</v>
      </c>
      <c r="AP127" s="349" t="s">
        <v>211</v>
      </c>
      <c r="AQ127" s="106" t="s">
        <v>182</v>
      </c>
      <c r="AR127" s="106">
        <v>30</v>
      </c>
      <c r="AS127" s="131" t="s">
        <v>187</v>
      </c>
      <c r="AT127" s="105" t="s">
        <v>182</v>
      </c>
      <c r="AU127" s="1353">
        <v>570</v>
      </c>
      <c r="AV127" s="106" t="s">
        <v>182</v>
      </c>
      <c r="AW127" s="106">
        <v>5</v>
      </c>
      <c r="AX127" s="131" t="s">
        <v>184</v>
      </c>
      <c r="AY127" s="105" t="s">
        <v>182</v>
      </c>
      <c r="AZ127" s="352">
        <v>370</v>
      </c>
      <c r="BA127" s="1355" t="s">
        <v>664</v>
      </c>
      <c r="BB127" s="127">
        <v>3</v>
      </c>
      <c r="BC127" s="1355" t="s">
        <v>664</v>
      </c>
      <c r="BD127" s="352">
        <v>60</v>
      </c>
      <c r="BE127" s="1355" t="s">
        <v>664</v>
      </c>
      <c r="BF127" s="352">
        <v>1</v>
      </c>
      <c r="BH127" s="139" t="s">
        <v>777</v>
      </c>
      <c r="BI127" s="2" t="s">
        <v>182</v>
      </c>
      <c r="BJ127" s="130">
        <v>235</v>
      </c>
      <c r="BK127" s="105" t="s">
        <v>188</v>
      </c>
      <c r="BL127" s="132">
        <v>830</v>
      </c>
      <c r="BM127" s="153" t="s">
        <v>189</v>
      </c>
      <c r="BN127" s="153">
        <v>8</v>
      </c>
      <c r="BO127" s="154" t="s">
        <v>184</v>
      </c>
      <c r="BP127" s="105" t="s">
        <v>188</v>
      </c>
      <c r="BQ127" s="132">
        <v>3390</v>
      </c>
      <c r="BR127" s="153" t="s">
        <v>189</v>
      </c>
      <c r="BS127" s="153">
        <v>30</v>
      </c>
      <c r="BT127" s="153" t="s">
        <v>184</v>
      </c>
      <c r="BU127" s="154" t="s">
        <v>190</v>
      </c>
      <c r="BV127" s="105" t="s">
        <v>188</v>
      </c>
      <c r="BW127" s="125">
        <v>2500</v>
      </c>
      <c r="BX127" s="150" t="s">
        <v>189</v>
      </c>
      <c r="BY127" s="150">
        <v>20</v>
      </c>
      <c r="BZ127" s="150" t="s">
        <v>184</v>
      </c>
      <c r="CA127" s="151" t="s">
        <v>190</v>
      </c>
      <c r="CC127" s="152" t="s">
        <v>191</v>
      </c>
    </row>
    <row r="128" spans="1:81" ht="37.5">
      <c r="A128" s="1403"/>
      <c r="B128" s="103"/>
      <c r="C128" s="104"/>
      <c r="D128" s="122" t="s">
        <v>192</v>
      </c>
      <c r="F128" s="332">
        <v>33150</v>
      </c>
      <c r="G128" s="333"/>
      <c r="H128" s="105" t="s">
        <v>182</v>
      </c>
      <c r="I128" s="334">
        <v>310</v>
      </c>
      <c r="J128" s="335"/>
      <c r="K128" s="336" t="s">
        <v>661</v>
      </c>
      <c r="M128" s="1354"/>
      <c r="N128" s="106"/>
      <c r="O128" s="106"/>
      <c r="P128" s="131"/>
      <c r="R128" s="1354"/>
      <c r="S128" s="106"/>
      <c r="T128" s="106"/>
      <c r="U128" s="131"/>
      <c r="V128" s="105" t="s">
        <v>182</v>
      </c>
      <c r="W128" s="334">
        <v>7630</v>
      </c>
      <c r="X128" s="133">
        <v>70</v>
      </c>
      <c r="Y128" s="122" t="s">
        <v>183</v>
      </c>
      <c r="Z128" s="105" t="s">
        <v>182</v>
      </c>
      <c r="AA128" s="345">
        <v>53420</v>
      </c>
      <c r="AB128" s="134" t="s">
        <v>182</v>
      </c>
      <c r="AC128" s="134">
        <v>530</v>
      </c>
      <c r="AD128" s="135" t="s">
        <v>184</v>
      </c>
      <c r="AE128" s="105" t="s">
        <v>182</v>
      </c>
      <c r="AF128" s="345">
        <v>45790</v>
      </c>
      <c r="AG128" s="134" t="s">
        <v>182</v>
      </c>
      <c r="AH128" s="134">
        <v>450</v>
      </c>
      <c r="AI128" s="135" t="s">
        <v>184</v>
      </c>
      <c r="AK128" s="1357"/>
      <c r="AL128" s="106"/>
      <c r="AM128" s="106"/>
      <c r="AN128" s="131"/>
      <c r="AP128" s="348">
        <v>3390</v>
      </c>
      <c r="AQ128" s="106"/>
      <c r="AR128" s="106"/>
      <c r="AS128" s="131"/>
      <c r="AU128" s="1354"/>
      <c r="AV128" s="106"/>
      <c r="AW128" s="106"/>
      <c r="AX128" s="131"/>
      <c r="AZ128" s="353" t="s">
        <v>766</v>
      </c>
      <c r="BA128" s="1355"/>
      <c r="BB128" s="136" t="s">
        <v>767</v>
      </c>
      <c r="BC128" s="1355"/>
      <c r="BD128" s="353" t="s">
        <v>766</v>
      </c>
      <c r="BE128" s="1355"/>
      <c r="BF128" s="353" t="s">
        <v>663</v>
      </c>
      <c r="BH128" s="140">
        <v>3920</v>
      </c>
      <c r="BJ128" s="130" t="s">
        <v>785</v>
      </c>
      <c r="BL128" s="132"/>
      <c r="BM128" s="153"/>
      <c r="BN128" s="153"/>
      <c r="BO128" s="154"/>
      <c r="BQ128" s="132"/>
      <c r="BR128" s="153"/>
      <c r="BS128" s="153"/>
      <c r="BT128" s="153"/>
      <c r="BU128" s="154"/>
      <c r="BW128" s="109"/>
      <c r="BX128" s="146"/>
      <c r="BY128" s="146"/>
      <c r="BZ128" s="146"/>
      <c r="CA128" s="147"/>
      <c r="CC128" s="152">
        <v>0.96</v>
      </c>
    </row>
    <row r="129" spans="1:81" ht="75">
      <c r="A129" s="1403"/>
      <c r="B129" s="129" t="s">
        <v>212</v>
      </c>
      <c r="C129" s="130" t="s">
        <v>180</v>
      </c>
      <c r="D129" s="122" t="s">
        <v>181</v>
      </c>
      <c r="F129" s="327">
        <v>24950</v>
      </c>
      <c r="G129" s="328">
        <v>32580</v>
      </c>
      <c r="H129" s="105" t="s">
        <v>182</v>
      </c>
      <c r="I129" s="329">
        <v>230</v>
      </c>
      <c r="J129" s="330">
        <v>300</v>
      </c>
      <c r="K129" s="331" t="s">
        <v>661</v>
      </c>
      <c r="L129" s="105" t="s">
        <v>182</v>
      </c>
      <c r="M129" s="1353">
        <v>710</v>
      </c>
      <c r="N129" s="123" t="s">
        <v>182</v>
      </c>
      <c r="O129" s="123">
        <v>7</v>
      </c>
      <c r="P129" s="124" t="s">
        <v>184</v>
      </c>
      <c r="Q129" s="105" t="s">
        <v>182</v>
      </c>
      <c r="R129" s="1353">
        <v>3050</v>
      </c>
      <c r="S129" s="123" t="s">
        <v>182</v>
      </c>
      <c r="T129" s="123">
        <v>30</v>
      </c>
      <c r="U129" s="124" t="s">
        <v>184</v>
      </c>
      <c r="V129" s="105" t="s">
        <v>182</v>
      </c>
      <c r="W129" s="342">
        <v>7630</v>
      </c>
      <c r="X129" s="126">
        <v>70</v>
      </c>
      <c r="Y129" s="122" t="s">
        <v>183</v>
      </c>
      <c r="AA129" s="344"/>
      <c r="AF129" s="344" t="s">
        <v>185</v>
      </c>
      <c r="AJ129" s="105" t="s">
        <v>182</v>
      </c>
      <c r="AK129" s="1356">
        <v>570</v>
      </c>
      <c r="AL129" s="123" t="s">
        <v>182</v>
      </c>
      <c r="AM129" s="123">
        <v>5</v>
      </c>
      <c r="AN129" s="124" t="s">
        <v>184</v>
      </c>
      <c r="AP129" s="349" t="s">
        <v>213</v>
      </c>
      <c r="AQ129" s="106" t="s">
        <v>182</v>
      </c>
      <c r="AR129" s="106">
        <v>30</v>
      </c>
      <c r="AS129" s="131" t="s">
        <v>187</v>
      </c>
      <c r="AT129" s="105" t="s">
        <v>182</v>
      </c>
      <c r="AU129" s="1353">
        <v>520</v>
      </c>
      <c r="AV129" s="123" t="s">
        <v>182</v>
      </c>
      <c r="AW129" s="123">
        <v>5</v>
      </c>
      <c r="AX129" s="124" t="s">
        <v>184</v>
      </c>
      <c r="AY129" s="105" t="s">
        <v>182</v>
      </c>
      <c r="AZ129" s="352">
        <v>350</v>
      </c>
      <c r="BA129" s="1355" t="s">
        <v>664</v>
      </c>
      <c r="BB129" s="127">
        <v>3</v>
      </c>
      <c r="BC129" s="1355" t="s">
        <v>664</v>
      </c>
      <c r="BD129" s="352">
        <v>60</v>
      </c>
      <c r="BE129" s="1355" t="s">
        <v>664</v>
      </c>
      <c r="BF129" s="352">
        <v>1</v>
      </c>
      <c r="BH129" s="139" t="s">
        <v>778</v>
      </c>
      <c r="BI129" s="2" t="s">
        <v>182</v>
      </c>
      <c r="BJ129" s="121">
        <v>235</v>
      </c>
      <c r="BK129" s="105" t="s">
        <v>188</v>
      </c>
      <c r="BL129" s="125">
        <v>750</v>
      </c>
      <c r="BM129" s="150" t="s">
        <v>189</v>
      </c>
      <c r="BN129" s="150">
        <v>8</v>
      </c>
      <c r="BO129" s="151" t="s">
        <v>184</v>
      </c>
      <c r="BP129" s="105" t="s">
        <v>188</v>
      </c>
      <c r="BQ129" s="125">
        <v>3050</v>
      </c>
      <c r="BR129" s="150" t="s">
        <v>189</v>
      </c>
      <c r="BS129" s="150">
        <v>30</v>
      </c>
      <c r="BT129" s="150" t="s">
        <v>184</v>
      </c>
      <c r="BU129" s="151" t="s">
        <v>190</v>
      </c>
      <c r="BV129" s="105" t="s">
        <v>188</v>
      </c>
      <c r="BW129" s="132">
        <v>2250</v>
      </c>
      <c r="BX129" s="153" t="s">
        <v>189</v>
      </c>
      <c r="BY129" s="153">
        <v>20</v>
      </c>
      <c r="BZ129" s="153" t="s">
        <v>184</v>
      </c>
      <c r="CA129" s="154" t="s">
        <v>190</v>
      </c>
      <c r="CC129" s="152" t="s">
        <v>191</v>
      </c>
    </row>
    <row r="130" spans="1:81" ht="37.5">
      <c r="A130" s="1403"/>
      <c r="B130" s="129"/>
      <c r="C130" s="130"/>
      <c r="D130" s="122" t="s">
        <v>192</v>
      </c>
      <c r="F130" s="332">
        <v>32580</v>
      </c>
      <c r="G130" s="333"/>
      <c r="H130" s="105" t="s">
        <v>182</v>
      </c>
      <c r="I130" s="334">
        <v>300</v>
      </c>
      <c r="J130" s="335"/>
      <c r="K130" s="336" t="s">
        <v>661</v>
      </c>
      <c r="M130" s="1354"/>
      <c r="N130" s="310"/>
      <c r="O130" s="310"/>
      <c r="P130" s="311"/>
      <c r="R130" s="1354"/>
      <c r="S130" s="310"/>
      <c r="T130" s="310"/>
      <c r="U130" s="311"/>
      <c r="V130" s="105" t="s">
        <v>182</v>
      </c>
      <c r="W130" s="334">
        <v>7630</v>
      </c>
      <c r="X130" s="133">
        <v>70</v>
      </c>
      <c r="Y130" s="122" t="s">
        <v>183</v>
      </c>
      <c r="Z130" s="105" t="s">
        <v>182</v>
      </c>
      <c r="AA130" s="345">
        <v>53420</v>
      </c>
      <c r="AB130" s="134" t="s">
        <v>182</v>
      </c>
      <c r="AC130" s="134">
        <v>530</v>
      </c>
      <c r="AD130" s="135" t="s">
        <v>184</v>
      </c>
      <c r="AE130" s="105" t="s">
        <v>182</v>
      </c>
      <c r="AF130" s="345">
        <v>45790</v>
      </c>
      <c r="AG130" s="134" t="s">
        <v>182</v>
      </c>
      <c r="AH130" s="134">
        <v>450</v>
      </c>
      <c r="AI130" s="135" t="s">
        <v>184</v>
      </c>
      <c r="AK130" s="1357"/>
      <c r="AL130" s="110"/>
      <c r="AM130" s="110"/>
      <c r="AN130" s="108"/>
      <c r="AP130" s="348">
        <v>3050</v>
      </c>
      <c r="AQ130" s="106"/>
      <c r="AR130" s="106"/>
      <c r="AS130" s="131"/>
      <c r="AU130" s="1354"/>
      <c r="AV130" s="110"/>
      <c r="AW130" s="110"/>
      <c r="AX130" s="108"/>
      <c r="AZ130" s="353" t="s">
        <v>766</v>
      </c>
      <c r="BA130" s="1355"/>
      <c r="BB130" s="136" t="s">
        <v>767</v>
      </c>
      <c r="BC130" s="1355"/>
      <c r="BD130" s="353" t="s">
        <v>766</v>
      </c>
      <c r="BE130" s="1355"/>
      <c r="BF130" s="353" t="s">
        <v>663</v>
      </c>
      <c r="BH130" s="140">
        <v>3660</v>
      </c>
      <c r="BJ130" s="104" t="s">
        <v>785</v>
      </c>
      <c r="BL130" s="109"/>
      <c r="BM130" s="146"/>
      <c r="BN130" s="146"/>
      <c r="BO130" s="147"/>
      <c r="BQ130" s="109"/>
      <c r="BR130" s="146"/>
      <c r="BS130" s="146"/>
      <c r="BT130" s="146"/>
      <c r="BU130" s="147"/>
      <c r="BW130" s="132"/>
      <c r="BX130" s="153"/>
      <c r="BY130" s="153"/>
      <c r="BZ130" s="153"/>
      <c r="CA130" s="154"/>
      <c r="CC130" s="152">
        <v>0.99</v>
      </c>
    </row>
    <row r="131" spans="1:81" ht="75">
      <c r="A131" s="1403"/>
      <c r="B131" s="120" t="s">
        <v>214</v>
      </c>
      <c r="C131" s="121" t="s">
        <v>180</v>
      </c>
      <c r="D131" s="122" t="s">
        <v>181</v>
      </c>
      <c r="F131" s="327">
        <v>24060</v>
      </c>
      <c r="G131" s="328">
        <v>31690</v>
      </c>
      <c r="H131" s="105" t="s">
        <v>182</v>
      </c>
      <c r="I131" s="329">
        <v>220</v>
      </c>
      <c r="J131" s="330">
        <v>290</v>
      </c>
      <c r="K131" s="331" t="s">
        <v>661</v>
      </c>
      <c r="L131" s="105" t="s">
        <v>182</v>
      </c>
      <c r="M131" s="1353">
        <v>590</v>
      </c>
      <c r="N131" s="106" t="s">
        <v>182</v>
      </c>
      <c r="O131" s="106">
        <v>5</v>
      </c>
      <c r="P131" s="131" t="s">
        <v>184</v>
      </c>
      <c r="Q131" s="105" t="s">
        <v>182</v>
      </c>
      <c r="R131" s="1353">
        <v>2540</v>
      </c>
      <c r="S131" s="106" t="s">
        <v>182</v>
      </c>
      <c r="T131" s="106">
        <v>20</v>
      </c>
      <c r="U131" s="131" t="s">
        <v>184</v>
      </c>
      <c r="V131" s="105" t="s">
        <v>182</v>
      </c>
      <c r="W131" s="342">
        <v>7630</v>
      </c>
      <c r="X131" s="126">
        <v>70</v>
      </c>
      <c r="Y131" s="122" t="s">
        <v>183</v>
      </c>
      <c r="AA131" s="344"/>
      <c r="AF131" s="344" t="s">
        <v>185</v>
      </c>
      <c r="AJ131" s="105" t="s">
        <v>182</v>
      </c>
      <c r="AK131" s="1356">
        <v>480</v>
      </c>
      <c r="AL131" s="106" t="s">
        <v>182</v>
      </c>
      <c r="AM131" s="106">
        <v>4</v>
      </c>
      <c r="AN131" s="131" t="s">
        <v>184</v>
      </c>
      <c r="AP131" s="349" t="s">
        <v>215</v>
      </c>
      <c r="AQ131" s="106" t="s">
        <v>182</v>
      </c>
      <c r="AR131" s="106">
        <v>20</v>
      </c>
      <c r="AS131" s="131" t="s">
        <v>187</v>
      </c>
      <c r="AT131" s="105" t="s">
        <v>182</v>
      </c>
      <c r="AU131" s="1353">
        <v>500</v>
      </c>
      <c r="AV131" s="106" t="s">
        <v>182</v>
      </c>
      <c r="AW131" s="106">
        <v>5</v>
      </c>
      <c r="AX131" s="131" t="s">
        <v>184</v>
      </c>
      <c r="AY131" s="105" t="s">
        <v>182</v>
      </c>
      <c r="AZ131" s="352">
        <v>300</v>
      </c>
      <c r="BA131" s="1355" t="s">
        <v>664</v>
      </c>
      <c r="BB131" s="127">
        <v>3</v>
      </c>
      <c r="BC131" s="1355" t="s">
        <v>664</v>
      </c>
      <c r="BD131" s="352">
        <v>50</v>
      </c>
      <c r="BE131" s="1355" t="s">
        <v>664</v>
      </c>
      <c r="BF131" s="352">
        <v>1</v>
      </c>
      <c r="BH131" s="139" t="s">
        <v>779</v>
      </c>
      <c r="BI131" s="2" t="s">
        <v>182</v>
      </c>
      <c r="BJ131" s="130">
        <v>235</v>
      </c>
      <c r="BK131" s="105" t="s">
        <v>188</v>
      </c>
      <c r="BL131" s="132">
        <v>620</v>
      </c>
      <c r="BM131" s="153" t="s">
        <v>189</v>
      </c>
      <c r="BN131" s="153">
        <v>6</v>
      </c>
      <c r="BO131" s="154" t="s">
        <v>184</v>
      </c>
      <c r="BP131" s="105" t="s">
        <v>188</v>
      </c>
      <c r="BQ131" s="132">
        <v>2540</v>
      </c>
      <c r="BR131" s="153" t="s">
        <v>189</v>
      </c>
      <c r="BS131" s="153">
        <v>20</v>
      </c>
      <c r="BT131" s="153" t="s">
        <v>184</v>
      </c>
      <c r="BU131" s="154" t="s">
        <v>190</v>
      </c>
      <c r="BV131" s="105" t="s">
        <v>188</v>
      </c>
      <c r="BW131" s="125">
        <v>1870</v>
      </c>
      <c r="BX131" s="150" t="s">
        <v>189</v>
      </c>
      <c r="BY131" s="150">
        <v>10</v>
      </c>
      <c r="BZ131" s="150" t="s">
        <v>184</v>
      </c>
      <c r="CA131" s="151" t="s">
        <v>190</v>
      </c>
      <c r="CC131" s="152" t="s">
        <v>191</v>
      </c>
    </row>
    <row r="132" spans="1:81" ht="37.5">
      <c r="A132" s="1403"/>
      <c r="B132" s="103"/>
      <c r="C132" s="104"/>
      <c r="D132" s="122" t="s">
        <v>192</v>
      </c>
      <c r="F132" s="332">
        <v>31690</v>
      </c>
      <c r="G132" s="333"/>
      <c r="H132" s="105" t="s">
        <v>182</v>
      </c>
      <c r="I132" s="334">
        <v>290</v>
      </c>
      <c r="J132" s="335"/>
      <c r="K132" s="336" t="s">
        <v>661</v>
      </c>
      <c r="M132" s="1354"/>
      <c r="N132" s="106"/>
      <c r="O132" s="106"/>
      <c r="P132" s="131"/>
      <c r="R132" s="1354"/>
      <c r="S132" s="106"/>
      <c r="T132" s="106"/>
      <c r="U132" s="131"/>
      <c r="V132" s="105" t="s">
        <v>182</v>
      </c>
      <c r="W132" s="334">
        <v>7630</v>
      </c>
      <c r="X132" s="133">
        <v>70</v>
      </c>
      <c r="Y132" s="122" t="s">
        <v>183</v>
      </c>
      <c r="Z132" s="105" t="s">
        <v>182</v>
      </c>
      <c r="AA132" s="345">
        <v>53420</v>
      </c>
      <c r="AB132" s="134" t="s">
        <v>182</v>
      </c>
      <c r="AC132" s="134">
        <v>530</v>
      </c>
      <c r="AD132" s="135" t="s">
        <v>184</v>
      </c>
      <c r="AE132" s="105" t="s">
        <v>182</v>
      </c>
      <c r="AF132" s="345">
        <v>45790</v>
      </c>
      <c r="AG132" s="134" t="s">
        <v>182</v>
      </c>
      <c r="AH132" s="134">
        <v>450</v>
      </c>
      <c r="AI132" s="135" t="s">
        <v>184</v>
      </c>
      <c r="AK132" s="1357"/>
      <c r="AL132" s="106"/>
      <c r="AM132" s="106"/>
      <c r="AN132" s="131"/>
      <c r="AP132" s="348">
        <v>2540</v>
      </c>
      <c r="AQ132" s="106"/>
      <c r="AR132" s="106"/>
      <c r="AS132" s="131"/>
      <c r="AU132" s="1354"/>
      <c r="AV132" s="106"/>
      <c r="AW132" s="106"/>
      <c r="AX132" s="131"/>
      <c r="AZ132" s="353" t="s">
        <v>766</v>
      </c>
      <c r="BA132" s="1355"/>
      <c r="BB132" s="136" t="s">
        <v>767</v>
      </c>
      <c r="BC132" s="1355"/>
      <c r="BD132" s="353" t="s">
        <v>766</v>
      </c>
      <c r="BE132" s="1355"/>
      <c r="BF132" s="353" t="s">
        <v>663</v>
      </c>
      <c r="BH132" s="140">
        <v>3160</v>
      </c>
      <c r="BJ132" s="130" t="s">
        <v>785</v>
      </c>
      <c r="BL132" s="132"/>
      <c r="BM132" s="153"/>
      <c r="BN132" s="153"/>
      <c r="BO132" s="154"/>
      <c r="BQ132" s="132"/>
      <c r="BR132" s="153"/>
      <c r="BS132" s="153"/>
      <c r="BT132" s="153"/>
      <c r="BU132" s="154"/>
      <c r="BW132" s="109"/>
      <c r="BX132" s="146"/>
      <c r="BY132" s="146"/>
      <c r="BZ132" s="146"/>
      <c r="CA132" s="147"/>
      <c r="CC132" s="152">
        <v>0.92</v>
      </c>
    </row>
    <row r="133" spans="1:81" ht="75">
      <c r="A133" s="1403"/>
      <c r="B133" s="129" t="s">
        <v>216</v>
      </c>
      <c r="C133" s="130" t="s">
        <v>180</v>
      </c>
      <c r="D133" s="122" t="s">
        <v>181</v>
      </c>
      <c r="F133" s="327">
        <v>23410</v>
      </c>
      <c r="G133" s="328">
        <v>31040</v>
      </c>
      <c r="H133" s="105" t="s">
        <v>182</v>
      </c>
      <c r="I133" s="329">
        <v>210</v>
      </c>
      <c r="J133" s="330">
        <v>290</v>
      </c>
      <c r="K133" s="331" t="s">
        <v>661</v>
      </c>
      <c r="L133" s="105" t="s">
        <v>182</v>
      </c>
      <c r="M133" s="1353">
        <v>500</v>
      </c>
      <c r="N133" s="123" t="s">
        <v>182</v>
      </c>
      <c r="O133" s="123">
        <v>5</v>
      </c>
      <c r="P133" s="124" t="s">
        <v>184</v>
      </c>
      <c r="Q133" s="105" t="s">
        <v>182</v>
      </c>
      <c r="R133" s="1353">
        <v>2180</v>
      </c>
      <c r="S133" s="123" t="s">
        <v>182</v>
      </c>
      <c r="T133" s="123">
        <v>20</v>
      </c>
      <c r="U133" s="124" t="s">
        <v>184</v>
      </c>
      <c r="V133" s="105" t="s">
        <v>182</v>
      </c>
      <c r="W133" s="342">
        <v>7630</v>
      </c>
      <c r="X133" s="126">
        <v>70</v>
      </c>
      <c r="Y133" s="122" t="s">
        <v>183</v>
      </c>
      <c r="AA133" s="344"/>
      <c r="AF133" s="344" t="s">
        <v>185</v>
      </c>
      <c r="AJ133" s="105" t="s">
        <v>182</v>
      </c>
      <c r="AK133" s="1356">
        <v>410</v>
      </c>
      <c r="AL133" s="123" t="s">
        <v>182</v>
      </c>
      <c r="AM133" s="123">
        <v>4</v>
      </c>
      <c r="AN133" s="124" t="s">
        <v>184</v>
      </c>
      <c r="AP133" s="349" t="s">
        <v>217</v>
      </c>
      <c r="AQ133" s="106" t="s">
        <v>182</v>
      </c>
      <c r="AR133" s="106">
        <v>20</v>
      </c>
      <c r="AS133" s="131" t="s">
        <v>187</v>
      </c>
      <c r="AT133" s="105" t="s">
        <v>182</v>
      </c>
      <c r="AU133" s="1353">
        <v>500</v>
      </c>
      <c r="AV133" s="123" t="s">
        <v>182</v>
      </c>
      <c r="AW133" s="123">
        <v>5</v>
      </c>
      <c r="AX133" s="124" t="s">
        <v>184</v>
      </c>
      <c r="AY133" s="105" t="s">
        <v>182</v>
      </c>
      <c r="AZ133" s="352">
        <v>270</v>
      </c>
      <c r="BA133" s="1355" t="s">
        <v>664</v>
      </c>
      <c r="BB133" s="127">
        <v>2</v>
      </c>
      <c r="BC133" s="1355" t="s">
        <v>664</v>
      </c>
      <c r="BD133" s="352">
        <v>40</v>
      </c>
      <c r="BE133" s="1355" t="s">
        <v>664</v>
      </c>
      <c r="BF133" s="352">
        <v>1</v>
      </c>
      <c r="BH133" s="139" t="s">
        <v>780</v>
      </c>
      <c r="BI133" s="2" t="s">
        <v>182</v>
      </c>
      <c r="BJ133" s="121">
        <v>235</v>
      </c>
      <c r="BK133" s="105" t="s">
        <v>188</v>
      </c>
      <c r="BL133" s="125">
        <v>530</v>
      </c>
      <c r="BM133" s="150" t="s">
        <v>189</v>
      </c>
      <c r="BN133" s="150">
        <v>5</v>
      </c>
      <c r="BO133" s="151" t="s">
        <v>184</v>
      </c>
      <c r="BP133" s="105" t="s">
        <v>188</v>
      </c>
      <c r="BQ133" s="125">
        <v>2180</v>
      </c>
      <c r="BR133" s="150" t="s">
        <v>189</v>
      </c>
      <c r="BS133" s="150">
        <v>20</v>
      </c>
      <c r="BT133" s="150" t="s">
        <v>184</v>
      </c>
      <c r="BU133" s="151" t="s">
        <v>190</v>
      </c>
      <c r="BV133" s="105" t="s">
        <v>188</v>
      </c>
      <c r="BW133" s="132">
        <v>1610</v>
      </c>
      <c r="BX133" s="153" t="s">
        <v>189</v>
      </c>
      <c r="BY133" s="153">
        <v>10</v>
      </c>
      <c r="BZ133" s="153" t="s">
        <v>184</v>
      </c>
      <c r="CA133" s="154" t="s">
        <v>190</v>
      </c>
      <c r="CC133" s="152" t="s">
        <v>191</v>
      </c>
    </row>
    <row r="134" spans="1:81" ht="37.5">
      <c r="A134" s="1403"/>
      <c r="B134" s="129"/>
      <c r="C134" s="130"/>
      <c r="D134" s="122" t="s">
        <v>192</v>
      </c>
      <c r="F134" s="332">
        <v>31040</v>
      </c>
      <c r="G134" s="333"/>
      <c r="H134" s="105" t="s">
        <v>182</v>
      </c>
      <c r="I134" s="334">
        <v>290</v>
      </c>
      <c r="J134" s="335"/>
      <c r="K134" s="336" t="s">
        <v>661</v>
      </c>
      <c r="M134" s="1354"/>
      <c r="N134" s="310"/>
      <c r="O134" s="310"/>
      <c r="P134" s="311"/>
      <c r="R134" s="1354"/>
      <c r="S134" s="310"/>
      <c r="T134" s="310"/>
      <c r="U134" s="311"/>
      <c r="V134" s="105" t="s">
        <v>182</v>
      </c>
      <c r="W134" s="334">
        <v>7630</v>
      </c>
      <c r="X134" s="133">
        <v>70</v>
      </c>
      <c r="Y134" s="122" t="s">
        <v>183</v>
      </c>
      <c r="Z134" s="105" t="s">
        <v>182</v>
      </c>
      <c r="AA134" s="345">
        <v>53420</v>
      </c>
      <c r="AB134" s="134" t="s">
        <v>182</v>
      </c>
      <c r="AC134" s="134">
        <v>530</v>
      </c>
      <c r="AD134" s="135" t="s">
        <v>184</v>
      </c>
      <c r="AE134" s="105" t="s">
        <v>182</v>
      </c>
      <c r="AF134" s="345">
        <v>45790</v>
      </c>
      <c r="AG134" s="134" t="s">
        <v>182</v>
      </c>
      <c r="AH134" s="134">
        <v>450</v>
      </c>
      <c r="AI134" s="135" t="s">
        <v>184</v>
      </c>
      <c r="AK134" s="1357"/>
      <c r="AL134" s="110"/>
      <c r="AM134" s="110"/>
      <c r="AN134" s="108"/>
      <c r="AP134" s="348">
        <v>2180</v>
      </c>
      <c r="AQ134" s="106"/>
      <c r="AR134" s="106"/>
      <c r="AS134" s="131"/>
      <c r="AU134" s="1354"/>
      <c r="AV134" s="110"/>
      <c r="AW134" s="110"/>
      <c r="AX134" s="108"/>
      <c r="AZ134" s="353" t="s">
        <v>766</v>
      </c>
      <c r="BA134" s="1355"/>
      <c r="BB134" s="136" t="s">
        <v>767</v>
      </c>
      <c r="BC134" s="1355"/>
      <c r="BD134" s="353" t="s">
        <v>766</v>
      </c>
      <c r="BE134" s="1355"/>
      <c r="BF134" s="353" t="s">
        <v>663</v>
      </c>
      <c r="BH134" s="140">
        <v>2810</v>
      </c>
      <c r="BJ134" s="104" t="s">
        <v>785</v>
      </c>
      <c r="BL134" s="109"/>
      <c r="BM134" s="146"/>
      <c r="BN134" s="146"/>
      <c r="BO134" s="147"/>
      <c r="BQ134" s="109"/>
      <c r="BR134" s="146"/>
      <c r="BS134" s="146"/>
      <c r="BT134" s="146"/>
      <c r="BU134" s="147"/>
      <c r="BW134" s="132"/>
      <c r="BX134" s="153"/>
      <c r="BY134" s="153"/>
      <c r="BZ134" s="153"/>
      <c r="CA134" s="154"/>
      <c r="CC134" s="152">
        <v>0.95</v>
      </c>
    </row>
    <row r="135" spans="1:81" ht="75">
      <c r="A135" s="1403"/>
      <c r="B135" s="120" t="s">
        <v>218</v>
      </c>
      <c r="C135" s="121" t="s">
        <v>180</v>
      </c>
      <c r="D135" s="122" t="s">
        <v>181</v>
      </c>
      <c r="F135" s="327">
        <v>22940</v>
      </c>
      <c r="G135" s="328">
        <v>30570</v>
      </c>
      <c r="H135" s="105" t="s">
        <v>182</v>
      </c>
      <c r="I135" s="329">
        <v>210</v>
      </c>
      <c r="J135" s="330">
        <v>280</v>
      </c>
      <c r="K135" s="331" t="s">
        <v>661</v>
      </c>
      <c r="L135" s="105" t="s">
        <v>182</v>
      </c>
      <c r="M135" s="1353">
        <v>440</v>
      </c>
      <c r="N135" s="106" t="s">
        <v>182</v>
      </c>
      <c r="O135" s="106">
        <v>4</v>
      </c>
      <c r="P135" s="131" t="s">
        <v>184</v>
      </c>
      <c r="Q135" s="105" t="s">
        <v>182</v>
      </c>
      <c r="R135" s="1353">
        <v>1900</v>
      </c>
      <c r="S135" s="106" t="s">
        <v>182</v>
      </c>
      <c r="T135" s="106">
        <v>10</v>
      </c>
      <c r="U135" s="131" t="s">
        <v>184</v>
      </c>
      <c r="V135" s="105" t="s">
        <v>182</v>
      </c>
      <c r="W135" s="342">
        <v>7630</v>
      </c>
      <c r="X135" s="126">
        <v>70</v>
      </c>
      <c r="Y135" s="122" t="s">
        <v>183</v>
      </c>
      <c r="AA135" s="344"/>
      <c r="AF135" s="344" t="s">
        <v>185</v>
      </c>
      <c r="AJ135" s="105" t="s">
        <v>182</v>
      </c>
      <c r="AK135" s="1356">
        <v>360</v>
      </c>
      <c r="AL135" s="106" t="s">
        <v>182</v>
      </c>
      <c r="AM135" s="106">
        <v>3</v>
      </c>
      <c r="AN135" s="131" t="s">
        <v>184</v>
      </c>
      <c r="AP135" s="349" t="s">
        <v>219</v>
      </c>
      <c r="AQ135" s="106" t="s">
        <v>182</v>
      </c>
      <c r="AR135" s="106">
        <v>10</v>
      </c>
      <c r="AS135" s="131" t="s">
        <v>187</v>
      </c>
      <c r="AT135" s="105" t="s">
        <v>182</v>
      </c>
      <c r="AU135" s="1353">
        <v>500</v>
      </c>
      <c r="AV135" s="106" t="s">
        <v>182</v>
      </c>
      <c r="AW135" s="106">
        <v>5</v>
      </c>
      <c r="AX135" s="131" t="s">
        <v>184</v>
      </c>
      <c r="AY135" s="105" t="s">
        <v>182</v>
      </c>
      <c r="AZ135" s="352">
        <v>250</v>
      </c>
      <c r="BA135" s="1355" t="s">
        <v>664</v>
      </c>
      <c r="BB135" s="127">
        <v>2</v>
      </c>
      <c r="BC135" s="1355" t="s">
        <v>664</v>
      </c>
      <c r="BD135" s="352">
        <v>40</v>
      </c>
      <c r="BE135" s="1355" t="s">
        <v>664</v>
      </c>
      <c r="BF135" s="352">
        <v>1</v>
      </c>
      <c r="BH135" s="139" t="s">
        <v>781</v>
      </c>
      <c r="BI135" s="2" t="s">
        <v>182</v>
      </c>
      <c r="BJ135" s="130">
        <v>235</v>
      </c>
      <c r="BK135" s="105" t="s">
        <v>188</v>
      </c>
      <c r="BL135" s="132">
        <v>460</v>
      </c>
      <c r="BM135" s="153" t="s">
        <v>189</v>
      </c>
      <c r="BN135" s="153">
        <v>5</v>
      </c>
      <c r="BO135" s="154" t="s">
        <v>184</v>
      </c>
      <c r="BP135" s="105" t="s">
        <v>188</v>
      </c>
      <c r="BQ135" s="132">
        <v>1900</v>
      </c>
      <c r="BR135" s="153" t="s">
        <v>189</v>
      </c>
      <c r="BS135" s="153">
        <v>10</v>
      </c>
      <c r="BT135" s="153" t="s">
        <v>184</v>
      </c>
      <c r="BU135" s="154" t="s">
        <v>190</v>
      </c>
      <c r="BV135" s="105" t="s">
        <v>188</v>
      </c>
      <c r="BW135" s="125">
        <v>1400</v>
      </c>
      <c r="BX135" s="150" t="s">
        <v>189</v>
      </c>
      <c r="BY135" s="150">
        <v>10</v>
      </c>
      <c r="BZ135" s="150" t="s">
        <v>184</v>
      </c>
      <c r="CA135" s="151" t="s">
        <v>190</v>
      </c>
      <c r="CC135" s="152" t="s">
        <v>191</v>
      </c>
    </row>
    <row r="136" spans="1:81" ht="37.5">
      <c r="A136" s="1403"/>
      <c r="B136" s="103"/>
      <c r="C136" s="104"/>
      <c r="D136" s="122" t="s">
        <v>192</v>
      </c>
      <c r="F136" s="332">
        <v>30570</v>
      </c>
      <c r="G136" s="333"/>
      <c r="H136" s="105" t="s">
        <v>182</v>
      </c>
      <c r="I136" s="334">
        <v>280</v>
      </c>
      <c r="J136" s="335"/>
      <c r="K136" s="336" t="s">
        <v>661</v>
      </c>
      <c r="M136" s="1354"/>
      <c r="N136" s="106"/>
      <c r="O136" s="106"/>
      <c r="P136" s="131"/>
      <c r="R136" s="1354"/>
      <c r="S136" s="106"/>
      <c r="T136" s="106"/>
      <c r="U136" s="131"/>
      <c r="V136" s="105" t="s">
        <v>182</v>
      </c>
      <c r="W136" s="334">
        <v>7630</v>
      </c>
      <c r="X136" s="133">
        <v>70</v>
      </c>
      <c r="Y136" s="122" t="s">
        <v>183</v>
      </c>
      <c r="Z136" s="105" t="s">
        <v>182</v>
      </c>
      <c r="AA136" s="345">
        <v>53420</v>
      </c>
      <c r="AB136" s="134" t="s">
        <v>182</v>
      </c>
      <c r="AC136" s="134">
        <v>530</v>
      </c>
      <c r="AD136" s="135" t="s">
        <v>184</v>
      </c>
      <c r="AE136" s="105" t="s">
        <v>182</v>
      </c>
      <c r="AF136" s="345">
        <v>45790</v>
      </c>
      <c r="AG136" s="134" t="s">
        <v>182</v>
      </c>
      <c r="AH136" s="134">
        <v>450</v>
      </c>
      <c r="AI136" s="135" t="s">
        <v>184</v>
      </c>
      <c r="AK136" s="1357"/>
      <c r="AL136" s="106"/>
      <c r="AM136" s="106"/>
      <c r="AN136" s="131"/>
      <c r="AP136" s="348">
        <v>1900</v>
      </c>
      <c r="AQ136" s="106"/>
      <c r="AR136" s="106"/>
      <c r="AS136" s="131"/>
      <c r="AU136" s="1354"/>
      <c r="AV136" s="106"/>
      <c r="AW136" s="106"/>
      <c r="AX136" s="131"/>
      <c r="AZ136" s="353" t="s">
        <v>766</v>
      </c>
      <c r="BA136" s="1355"/>
      <c r="BB136" s="136" t="s">
        <v>767</v>
      </c>
      <c r="BC136" s="1355"/>
      <c r="BD136" s="353" t="s">
        <v>766</v>
      </c>
      <c r="BE136" s="1355"/>
      <c r="BF136" s="353" t="s">
        <v>663</v>
      </c>
      <c r="BH136" s="140">
        <v>2540</v>
      </c>
      <c r="BJ136" s="130" t="s">
        <v>785</v>
      </c>
      <c r="BL136" s="132"/>
      <c r="BM136" s="153"/>
      <c r="BN136" s="153"/>
      <c r="BO136" s="154"/>
      <c r="BQ136" s="132"/>
      <c r="BR136" s="153"/>
      <c r="BS136" s="153"/>
      <c r="BT136" s="153"/>
      <c r="BU136" s="154"/>
      <c r="BW136" s="109"/>
      <c r="BX136" s="146"/>
      <c r="BY136" s="146"/>
      <c r="BZ136" s="146"/>
      <c r="CA136" s="147"/>
      <c r="CC136" s="152">
        <v>0.99</v>
      </c>
    </row>
    <row r="137" spans="1:81" ht="75">
      <c r="A137" s="1403"/>
      <c r="B137" s="129" t="s">
        <v>220</v>
      </c>
      <c r="C137" s="130" t="s">
        <v>180</v>
      </c>
      <c r="D137" s="122" t="s">
        <v>181</v>
      </c>
      <c r="F137" s="327">
        <v>22570</v>
      </c>
      <c r="G137" s="328">
        <v>30200</v>
      </c>
      <c r="H137" s="105" t="s">
        <v>182</v>
      </c>
      <c r="I137" s="329">
        <v>200</v>
      </c>
      <c r="J137" s="330">
        <v>280</v>
      </c>
      <c r="K137" s="331" t="s">
        <v>661</v>
      </c>
      <c r="L137" s="105" t="s">
        <v>182</v>
      </c>
      <c r="M137" s="1353">
        <v>390</v>
      </c>
      <c r="N137" s="123" t="s">
        <v>182</v>
      </c>
      <c r="O137" s="123">
        <v>3</v>
      </c>
      <c r="P137" s="124" t="s">
        <v>184</v>
      </c>
      <c r="Q137" s="105" t="s">
        <v>182</v>
      </c>
      <c r="R137" s="1353">
        <v>1690</v>
      </c>
      <c r="S137" s="123" t="s">
        <v>182</v>
      </c>
      <c r="T137" s="123">
        <v>10</v>
      </c>
      <c r="U137" s="124" t="s">
        <v>184</v>
      </c>
      <c r="V137" s="105" t="s">
        <v>182</v>
      </c>
      <c r="W137" s="342">
        <v>7630</v>
      </c>
      <c r="X137" s="126">
        <v>70</v>
      </c>
      <c r="Y137" s="122" t="s">
        <v>183</v>
      </c>
      <c r="AA137" s="344"/>
      <c r="AF137" s="344" t="s">
        <v>185</v>
      </c>
      <c r="AJ137" s="105" t="s">
        <v>182</v>
      </c>
      <c r="AK137" s="1356">
        <v>320</v>
      </c>
      <c r="AL137" s="123" t="s">
        <v>182</v>
      </c>
      <c r="AM137" s="123">
        <v>3</v>
      </c>
      <c r="AN137" s="124" t="s">
        <v>184</v>
      </c>
      <c r="AP137" s="349" t="s">
        <v>221</v>
      </c>
      <c r="AQ137" s="106" t="s">
        <v>182</v>
      </c>
      <c r="AR137" s="106">
        <v>10</v>
      </c>
      <c r="AS137" s="131" t="s">
        <v>187</v>
      </c>
      <c r="AT137" s="105" t="s">
        <v>182</v>
      </c>
      <c r="AU137" s="1353">
        <v>500</v>
      </c>
      <c r="AV137" s="123" t="s">
        <v>182</v>
      </c>
      <c r="AW137" s="123">
        <v>5</v>
      </c>
      <c r="AX137" s="124" t="s">
        <v>184</v>
      </c>
      <c r="AY137" s="105" t="s">
        <v>182</v>
      </c>
      <c r="AZ137" s="352">
        <v>220</v>
      </c>
      <c r="BA137" s="1355" t="s">
        <v>664</v>
      </c>
      <c r="BB137" s="127">
        <v>2</v>
      </c>
      <c r="BC137" s="1355" t="s">
        <v>664</v>
      </c>
      <c r="BD137" s="352">
        <v>40</v>
      </c>
      <c r="BE137" s="1355" t="s">
        <v>664</v>
      </c>
      <c r="BF137" s="352">
        <v>1</v>
      </c>
      <c r="BH137" s="139" t="s">
        <v>782</v>
      </c>
      <c r="BI137" s="2" t="s">
        <v>182</v>
      </c>
      <c r="BJ137" s="121">
        <v>235</v>
      </c>
      <c r="BK137" s="105" t="s">
        <v>188</v>
      </c>
      <c r="BL137" s="125">
        <v>410</v>
      </c>
      <c r="BM137" s="150" t="s">
        <v>189</v>
      </c>
      <c r="BN137" s="150">
        <v>4</v>
      </c>
      <c r="BO137" s="151" t="s">
        <v>184</v>
      </c>
      <c r="BP137" s="105" t="s">
        <v>188</v>
      </c>
      <c r="BQ137" s="125">
        <v>1690</v>
      </c>
      <c r="BR137" s="150" t="s">
        <v>189</v>
      </c>
      <c r="BS137" s="150">
        <v>10</v>
      </c>
      <c r="BT137" s="150" t="s">
        <v>184</v>
      </c>
      <c r="BU137" s="151" t="s">
        <v>190</v>
      </c>
      <c r="BV137" s="105" t="s">
        <v>188</v>
      </c>
      <c r="BW137" s="132">
        <v>1250</v>
      </c>
      <c r="BX137" s="153" t="s">
        <v>189</v>
      </c>
      <c r="BY137" s="153">
        <v>10</v>
      </c>
      <c r="BZ137" s="153" t="s">
        <v>184</v>
      </c>
      <c r="CA137" s="154" t="s">
        <v>190</v>
      </c>
      <c r="CC137" s="152" t="s">
        <v>191</v>
      </c>
    </row>
    <row r="138" spans="1:81" ht="37.5">
      <c r="A138" s="1403"/>
      <c r="B138" s="129"/>
      <c r="C138" s="130"/>
      <c r="D138" s="122" t="s">
        <v>192</v>
      </c>
      <c r="F138" s="332">
        <v>30200</v>
      </c>
      <c r="G138" s="333"/>
      <c r="H138" s="105" t="s">
        <v>182</v>
      </c>
      <c r="I138" s="334">
        <v>280</v>
      </c>
      <c r="J138" s="335"/>
      <c r="K138" s="336" t="s">
        <v>661</v>
      </c>
      <c r="M138" s="1354"/>
      <c r="N138" s="310"/>
      <c r="O138" s="310"/>
      <c r="P138" s="311"/>
      <c r="R138" s="1354"/>
      <c r="S138" s="310"/>
      <c r="T138" s="310"/>
      <c r="U138" s="311"/>
      <c r="V138" s="105" t="s">
        <v>182</v>
      </c>
      <c r="W138" s="334">
        <v>7630</v>
      </c>
      <c r="X138" s="133">
        <v>70</v>
      </c>
      <c r="Y138" s="122" t="s">
        <v>183</v>
      </c>
      <c r="Z138" s="105" t="s">
        <v>182</v>
      </c>
      <c r="AA138" s="345">
        <v>53420</v>
      </c>
      <c r="AB138" s="134" t="s">
        <v>182</v>
      </c>
      <c r="AC138" s="134">
        <v>530</v>
      </c>
      <c r="AD138" s="135" t="s">
        <v>184</v>
      </c>
      <c r="AE138" s="105" t="s">
        <v>182</v>
      </c>
      <c r="AF138" s="345">
        <v>45790</v>
      </c>
      <c r="AG138" s="134" t="s">
        <v>182</v>
      </c>
      <c r="AH138" s="134">
        <v>450</v>
      </c>
      <c r="AI138" s="135" t="s">
        <v>184</v>
      </c>
      <c r="AK138" s="1357"/>
      <c r="AL138" s="110"/>
      <c r="AM138" s="110"/>
      <c r="AN138" s="108"/>
      <c r="AP138" s="348">
        <v>1690</v>
      </c>
      <c r="AQ138" s="106"/>
      <c r="AR138" s="106"/>
      <c r="AS138" s="131"/>
      <c r="AU138" s="1354"/>
      <c r="AV138" s="110"/>
      <c r="AW138" s="110"/>
      <c r="AX138" s="108"/>
      <c r="AZ138" s="353" t="s">
        <v>766</v>
      </c>
      <c r="BA138" s="1355"/>
      <c r="BB138" s="136" t="s">
        <v>767</v>
      </c>
      <c r="BC138" s="1355"/>
      <c r="BD138" s="353" t="s">
        <v>766</v>
      </c>
      <c r="BE138" s="1355"/>
      <c r="BF138" s="353" t="s">
        <v>663</v>
      </c>
      <c r="BH138" s="140">
        <v>2440</v>
      </c>
      <c r="BJ138" s="104" t="s">
        <v>785</v>
      </c>
      <c r="BL138" s="109"/>
      <c r="BM138" s="146"/>
      <c r="BN138" s="146"/>
      <c r="BO138" s="147"/>
      <c r="BQ138" s="109"/>
      <c r="BR138" s="146"/>
      <c r="BS138" s="146"/>
      <c r="BT138" s="146"/>
      <c r="BU138" s="147"/>
      <c r="BW138" s="132"/>
      <c r="BX138" s="153"/>
      <c r="BY138" s="153"/>
      <c r="BZ138" s="153"/>
      <c r="CA138" s="154"/>
      <c r="CC138" s="152">
        <v>0.99</v>
      </c>
    </row>
    <row r="139" spans="1:81" ht="75">
      <c r="A139" s="1403"/>
      <c r="B139" s="120" t="s">
        <v>222</v>
      </c>
      <c r="C139" s="121" t="s">
        <v>180</v>
      </c>
      <c r="D139" s="122" t="s">
        <v>181</v>
      </c>
      <c r="F139" s="327">
        <v>22280</v>
      </c>
      <c r="G139" s="328">
        <v>29910</v>
      </c>
      <c r="H139" s="105" t="s">
        <v>182</v>
      </c>
      <c r="I139" s="329">
        <v>200</v>
      </c>
      <c r="J139" s="330">
        <v>280</v>
      </c>
      <c r="K139" s="331" t="s">
        <v>661</v>
      </c>
      <c r="L139" s="105" t="s">
        <v>182</v>
      </c>
      <c r="M139" s="1353">
        <v>350</v>
      </c>
      <c r="N139" s="106" t="s">
        <v>182</v>
      </c>
      <c r="O139" s="106">
        <v>3</v>
      </c>
      <c r="P139" s="131" t="s">
        <v>184</v>
      </c>
      <c r="Q139" s="105" t="s">
        <v>182</v>
      </c>
      <c r="R139" s="1353">
        <v>1520</v>
      </c>
      <c r="S139" s="106" t="s">
        <v>182</v>
      </c>
      <c r="T139" s="106">
        <v>10</v>
      </c>
      <c r="U139" s="131" t="s">
        <v>184</v>
      </c>
      <c r="V139" s="105" t="s">
        <v>182</v>
      </c>
      <c r="W139" s="342">
        <v>7630</v>
      </c>
      <c r="X139" s="126">
        <v>70</v>
      </c>
      <c r="Y139" s="122" t="s">
        <v>183</v>
      </c>
      <c r="AA139" s="344"/>
      <c r="AF139" s="344" t="s">
        <v>185</v>
      </c>
      <c r="AJ139" s="105" t="s">
        <v>182</v>
      </c>
      <c r="AK139" s="1356">
        <v>280</v>
      </c>
      <c r="AL139" s="106" t="s">
        <v>182</v>
      </c>
      <c r="AM139" s="106">
        <v>2</v>
      </c>
      <c r="AN139" s="131" t="s">
        <v>184</v>
      </c>
      <c r="AP139" s="349" t="s">
        <v>223</v>
      </c>
      <c r="AQ139" s="106" t="s">
        <v>182</v>
      </c>
      <c r="AR139" s="106">
        <v>10</v>
      </c>
      <c r="AS139" s="131" t="s">
        <v>187</v>
      </c>
      <c r="AT139" s="105" t="s">
        <v>182</v>
      </c>
      <c r="AU139" s="1353">
        <v>500</v>
      </c>
      <c r="AV139" s="106" t="s">
        <v>182</v>
      </c>
      <c r="AW139" s="106">
        <v>5</v>
      </c>
      <c r="AX139" s="131" t="s">
        <v>184</v>
      </c>
      <c r="AY139" s="105" t="s">
        <v>182</v>
      </c>
      <c r="AZ139" s="352">
        <v>200</v>
      </c>
      <c r="BA139" s="1355" t="s">
        <v>664</v>
      </c>
      <c r="BB139" s="127">
        <v>2</v>
      </c>
      <c r="BC139" s="1355" t="s">
        <v>664</v>
      </c>
      <c r="BD139" s="352">
        <v>30</v>
      </c>
      <c r="BE139" s="1355" t="s">
        <v>664</v>
      </c>
      <c r="BF139" s="352">
        <v>1</v>
      </c>
      <c r="BH139" s="139" t="s">
        <v>783</v>
      </c>
      <c r="BI139" s="2" t="s">
        <v>182</v>
      </c>
      <c r="BJ139" s="130">
        <v>235</v>
      </c>
      <c r="BK139" s="105" t="s">
        <v>188</v>
      </c>
      <c r="BL139" s="132">
        <v>370</v>
      </c>
      <c r="BM139" s="153" t="s">
        <v>189</v>
      </c>
      <c r="BN139" s="153">
        <v>4</v>
      </c>
      <c r="BO139" s="154" t="s">
        <v>184</v>
      </c>
      <c r="BP139" s="105" t="s">
        <v>188</v>
      </c>
      <c r="BQ139" s="132">
        <v>1520</v>
      </c>
      <c r="BR139" s="153" t="s">
        <v>189</v>
      </c>
      <c r="BS139" s="153">
        <v>10</v>
      </c>
      <c r="BT139" s="153" t="s">
        <v>184</v>
      </c>
      <c r="BU139" s="154" t="s">
        <v>190</v>
      </c>
      <c r="BV139" s="105" t="s">
        <v>188</v>
      </c>
      <c r="BW139" s="125">
        <v>1120</v>
      </c>
      <c r="BX139" s="150" t="s">
        <v>189</v>
      </c>
      <c r="BY139" s="150">
        <v>10</v>
      </c>
      <c r="BZ139" s="150" t="s">
        <v>184</v>
      </c>
      <c r="CA139" s="151" t="s">
        <v>190</v>
      </c>
      <c r="CC139" s="152" t="s">
        <v>191</v>
      </c>
    </row>
    <row r="140" spans="1:81" ht="37.5">
      <c r="A140" s="1403"/>
      <c r="B140" s="103"/>
      <c r="C140" s="104"/>
      <c r="D140" s="122" t="s">
        <v>192</v>
      </c>
      <c r="F140" s="332">
        <v>29910</v>
      </c>
      <c r="G140" s="333"/>
      <c r="H140" s="105" t="s">
        <v>182</v>
      </c>
      <c r="I140" s="334">
        <v>280</v>
      </c>
      <c r="J140" s="335"/>
      <c r="K140" s="336" t="s">
        <v>661</v>
      </c>
      <c r="M140" s="1354"/>
      <c r="N140" s="106"/>
      <c r="O140" s="106"/>
      <c r="P140" s="131"/>
      <c r="R140" s="1354"/>
      <c r="S140" s="106"/>
      <c r="T140" s="106"/>
      <c r="U140" s="131"/>
      <c r="V140" s="105" t="s">
        <v>182</v>
      </c>
      <c r="W140" s="334">
        <v>7630</v>
      </c>
      <c r="X140" s="133">
        <v>70</v>
      </c>
      <c r="Y140" s="122" t="s">
        <v>183</v>
      </c>
      <c r="Z140" s="105" t="s">
        <v>182</v>
      </c>
      <c r="AA140" s="345">
        <v>53420</v>
      </c>
      <c r="AB140" s="134" t="s">
        <v>182</v>
      </c>
      <c r="AC140" s="134">
        <v>530</v>
      </c>
      <c r="AD140" s="135" t="s">
        <v>184</v>
      </c>
      <c r="AE140" s="105" t="s">
        <v>182</v>
      </c>
      <c r="AF140" s="345">
        <v>45790</v>
      </c>
      <c r="AG140" s="134" t="s">
        <v>182</v>
      </c>
      <c r="AH140" s="134">
        <v>450</v>
      </c>
      <c r="AI140" s="135" t="s">
        <v>184</v>
      </c>
      <c r="AK140" s="1357"/>
      <c r="AL140" s="106"/>
      <c r="AM140" s="106"/>
      <c r="AN140" s="131"/>
      <c r="AP140" s="348">
        <v>1520</v>
      </c>
      <c r="AQ140" s="106"/>
      <c r="AR140" s="106"/>
      <c r="AS140" s="131"/>
      <c r="AU140" s="1354"/>
      <c r="AV140" s="106"/>
      <c r="AW140" s="106"/>
      <c r="AX140" s="131"/>
      <c r="AZ140" s="353" t="s">
        <v>766</v>
      </c>
      <c r="BA140" s="1355"/>
      <c r="BB140" s="136" t="s">
        <v>767</v>
      </c>
      <c r="BC140" s="1355"/>
      <c r="BD140" s="353" t="s">
        <v>766</v>
      </c>
      <c r="BE140" s="1355"/>
      <c r="BF140" s="353" t="s">
        <v>663</v>
      </c>
      <c r="BH140" s="140">
        <v>2360</v>
      </c>
      <c r="BJ140" s="130" t="s">
        <v>785</v>
      </c>
      <c r="BL140" s="132"/>
      <c r="BM140" s="153"/>
      <c r="BN140" s="153"/>
      <c r="BO140" s="154"/>
      <c r="BQ140" s="132"/>
      <c r="BR140" s="153"/>
      <c r="BS140" s="153"/>
      <c r="BT140" s="153"/>
      <c r="BU140" s="154"/>
      <c r="BW140" s="109"/>
      <c r="BX140" s="146"/>
      <c r="BY140" s="146"/>
      <c r="BZ140" s="146"/>
      <c r="CA140" s="147"/>
      <c r="CC140" s="152">
        <v>0.99</v>
      </c>
    </row>
    <row r="141" spans="1:81" ht="37.5">
      <c r="A141" s="1403"/>
      <c r="B141" s="120" t="s">
        <v>224</v>
      </c>
      <c r="C141" s="121" t="s">
        <v>180</v>
      </c>
      <c r="D141" s="122" t="s">
        <v>181</v>
      </c>
      <c r="F141" s="327">
        <v>22040</v>
      </c>
      <c r="G141" s="328">
        <v>29670</v>
      </c>
      <c r="H141" s="105" t="s">
        <v>182</v>
      </c>
      <c r="I141" s="329">
        <v>200</v>
      </c>
      <c r="J141" s="330">
        <v>270</v>
      </c>
      <c r="K141" s="331" t="s">
        <v>661</v>
      </c>
      <c r="L141" s="105" t="s">
        <v>182</v>
      </c>
      <c r="M141" s="1353">
        <v>320</v>
      </c>
      <c r="N141" s="123" t="s">
        <v>182</v>
      </c>
      <c r="O141" s="123">
        <v>3</v>
      </c>
      <c r="P141" s="124" t="s">
        <v>184</v>
      </c>
      <c r="R141" s="1358"/>
      <c r="S141" s="123"/>
      <c r="T141" s="123"/>
      <c r="U141" s="124"/>
      <c r="V141" s="105" t="s">
        <v>182</v>
      </c>
      <c r="W141" s="342">
        <v>7630</v>
      </c>
      <c r="X141" s="126">
        <v>70</v>
      </c>
      <c r="Y141" s="122" t="s">
        <v>183</v>
      </c>
      <c r="AA141" s="344"/>
      <c r="AF141" s="344" t="s">
        <v>185</v>
      </c>
      <c r="AJ141" s="105" t="s">
        <v>182</v>
      </c>
      <c r="AK141" s="1356">
        <v>260</v>
      </c>
      <c r="AL141" s="123" t="s">
        <v>182</v>
      </c>
      <c r="AM141" s="123">
        <v>2</v>
      </c>
      <c r="AN141" s="124" t="s">
        <v>184</v>
      </c>
      <c r="AP141" s="349" t="s">
        <v>225</v>
      </c>
      <c r="AQ141" s="106" t="s">
        <v>182</v>
      </c>
      <c r="AR141" s="106">
        <v>10</v>
      </c>
      <c r="AS141" s="131" t="s">
        <v>187</v>
      </c>
      <c r="AT141" s="105" t="s">
        <v>182</v>
      </c>
      <c r="AU141" s="1353">
        <v>500</v>
      </c>
      <c r="AV141" s="123" t="s">
        <v>182</v>
      </c>
      <c r="AW141" s="123">
        <v>5</v>
      </c>
      <c r="AX141" s="124" t="s">
        <v>184</v>
      </c>
      <c r="AY141" s="105" t="s">
        <v>182</v>
      </c>
      <c r="AZ141" s="352">
        <v>180</v>
      </c>
      <c r="BA141" s="1355" t="s">
        <v>664</v>
      </c>
      <c r="BB141" s="127">
        <v>1</v>
      </c>
      <c r="BC141" s="1355" t="s">
        <v>664</v>
      </c>
      <c r="BD141" s="352">
        <v>30</v>
      </c>
      <c r="BE141" s="1355" t="s">
        <v>664</v>
      </c>
      <c r="BF141" s="352">
        <v>1</v>
      </c>
      <c r="BH141" s="139" t="s">
        <v>784</v>
      </c>
      <c r="BI141" s="2" t="s">
        <v>182</v>
      </c>
      <c r="BJ141" s="121">
        <v>235</v>
      </c>
      <c r="BK141" s="105" t="s">
        <v>188</v>
      </c>
      <c r="BL141" s="125">
        <v>340</v>
      </c>
      <c r="BM141" s="150" t="s">
        <v>189</v>
      </c>
      <c r="BN141" s="150">
        <v>3</v>
      </c>
      <c r="BO141" s="151" t="s">
        <v>184</v>
      </c>
      <c r="BP141" s="105" t="s">
        <v>188</v>
      </c>
      <c r="BQ141" s="125">
        <v>1380</v>
      </c>
      <c r="BR141" s="150" t="s">
        <v>189</v>
      </c>
      <c r="BS141" s="150">
        <v>10</v>
      </c>
      <c r="BT141" s="150" t="s">
        <v>184</v>
      </c>
      <c r="BU141" s="151" t="s">
        <v>190</v>
      </c>
      <c r="BV141" s="105" t="s">
        <v>188</v>
      </c>
      <c r="BW141" s="132">
        <v>1020</v>
      </c>
      <c r="BX141" s="153" t="s">
        <v>189</v>
      </c>
      <c r="BY141" s="153">
        <v>10</v>
      </c>
      <c r="BZ141" s="153" t="s">
        <v>184</v>
      </c>
      <c r="CA141" s="154" t="s">
        <v>190</v>
      </c>
      <c r="CC141" s="152" t="s">
        <v>191</v>
      </c>
    </row>
    <row r="142" spans="1:81" ht="37.5">
      <c r="A142" s="1403"/>
      <c r="B142" s="103"/>
      <c r="C142" s="104"/>
      <c r="D142" s="122" t="s">
        <v>192</v>
      </c>
      <c r="F142" s="332">
        <v>29670</v>
      </c>
      <c r="G142" s="333"/>
      <c r="H142" s="105" t="s">
        <v>182</v>
      </c>
      <c r="I142" s="334">
        <v>270</v>
      </c>
      <c r="J142" s="335"/>
      <c r="K142" s="336" t="s">
        <v>661</v>
      </c>
      <c r="M142" s="1354"/>
      <c r="N142" s="310"/>
      <c r="O142" s="310"/>
      <c r="P142" s="311"/>
      <c r="R142" s="1358"/>
      <c r="S142" s="310"/>
      <c r="T142" s="310"/>
      <c r="U142" s="311"/>
      <c r="V142" s="105" t="s">
        <v>182</v>
      </c>
      <c r="W142" s="334">
        <v>7630</v>
      </c>
      <c r="X142" s="133">
        <v>70</v>
      </c>
      <c r="Y142" s="122" t="s">
        <v>183</v>
      </c>
      <c r="Z142" s="105" t="s">
        <v>182</v>
      </c>
      <c r="AA142" s="345">
        <v>53420</v>
      </c>
      <c r="AB142" s="134" t="s">
        <v>182</v>
      </c>
      <c r="AC142" s="134">
        <v>530</v>
      </c>
      <c r="AD142" s="135" t="s">
        <v>184</v>
      </c>
      <c r="AE142" s="105" t="s">
        <v>182</v>
      </c>
      <c r="AF142" s="345">
        <v>45790</v>
      </c>
      <c r="AG142" s="134" t="s">
        <v>182</v>
      </c>
      <c r="AH142" s="134">
        <v>450</v>
      </c>
      <c r="AI142" s="135" t="s">
        <v>184</v>
      </c>
      <c r="AK142" s="1357"/>
      <c r="AL142" s="110"/>
      <c r="AM142" s="110"/>
      <c r="AN142" s="108"/>
      <c r="AP142" s="350">
        <v>1380</v>
      </c>
      <c r="AQ142" s="106"/>
      <c r="AR142" s="106"/>
      <c r="AS142" s="131"/>
      <c r="AU142" s="1354"/>
      <c r="AV142" s="110"/>
      <c r="AW142" s="110"/>
      <c r="AX142" s="108"/>
      <c r="AZ142" s="353" t="s">
        <v>766</v>
      </c>
      <c r="BA142" s="1355"/>
      <c r="BB142" s="136" t="s">
        <v>767</v>
      </c>
      <c r="BC142" s="1355"/>
      <c r="BD142" s="353" t="s">
        <v>766</v>
      </c>
      <c r="BE142" s="1355"/>
      <c r="BF142" s="353" t="s">
        <v>663</v>
      </c>
      <c r="BH142" s="141">
        <v>2150</v>
      </c>
      <c r="BJ142" s="104" t="s">
        <v>785</v>
      </c>
      <c r="BL142" s="109"/>
      <c r="BM142" s="146"/>
      <c r="BN142" s="146"/>
      <c r="BO142" s="147"/>
      <c r="BQ142" s="109"/>
      <c r="BR142" s="146"/>
      <c r="BS142" s="146"/>
      <c r="BT142" s="146"/>
      <c r="BU142" s="147"/>
      <c r="BW142" s="132"/>
      <c r="BX142" s="153"/>
      <c r="BY142" s="153"/>
      <c r="BZ142" s="153"/>
      <c r="CA142" s="154"/>
      <c r="CC142" s="152">
        <v>0.99</v>
      </c>
    </row>
    <row r="143" spans="1:81" ht="37.5">
      <c r="A143" s="1403" t="s">
        <v>229</v>
      </c>
      <c r="B143" s="129" t="s">
        <v>179</v>
      </c>
      <c r="C143" s="130" t="s">
        <v>180</v>
      </c>
      <c r="D143" s="122" t="s">
        <v>181</v>
      </c>
      <c r="F143" s="327">
        <v>82140</v>
      </c>
      <c r="G143" s="328">
        <v>89640</v>
      </c>
      <c r="H143" s="105" t="s">
        <v>182</v>
      </c>
      <c r="I143" s="329">
        <v>800</v>
      </c>
      <c r="J143" s="330">
        <v>870</v>
      </c>
      <c r="K143" s="331" t="s">
        <v>661</v>
      </c>
      <c r="L143" s="105" t="s">
        <v>182</v>
      </c>
      <c r="M143" s="1353">
        <v>6970</v>
      </c>
      <c r="N143" s="106" t="s">
        <v>182</v>
      </c>
      <c r="O143" s="106">
        <v>60</v>
      </c>
      <c r="P143" s="131" t="s">
        <v>184</v>
      </c>
      <c r="Q143" s="105" t="s">
        <v>182</v>
      </c>
      <c r="R143" s="1353">
        <v>30030</v>
      </c>
      <c r="S143" s="106" t="s">
        <v>182</v>
      </c>
      <c r="T143" s="106">
        <v>300</v>
      </c>
      <c r="U143" s="131" t="s">
        <v>184</v>
      </c>
      <c r="V143" s="105" t="s">
        <v>182</v>
      </c>
      <c r="W143" s="342">
        <v>7500</v>
      </c>
      <c r="X143" s="126">
        <v>70</v>
      </c>
      <c r="Y143" s="122" t="s">
        <v>183</v>
      </c>
      <c r="AA143" s="344"/>
      <c r="AF143" s="344" t="s">
        <v>185</v>
      </c>
      <c r="AJ143" s="105" t="s">
        <v>182</v>
      </c>
      <c r="AK143" s="1356">
        <v>5780</v>
      </c>
      <c r="AL143" s="106" t="s">
        <v>182</v>
      </c>
      <c r="AM143" s="106">
        <v>50</v>
      </c>
      <c r="AN143" s="131" t="s">
        <v>184</v>
      </c>
      <c r="AO143" s="105" t="s">
        <v>182</v>
      </c>
      <c r="AP143" s="347" t="s">
        <v>186</v>
      </c>
      <c r="AQ143" s="123" t="s">
        <v>182</v>
      </c>
      <c r="AR143" s="123">
        <v>300</v>
      </c>
      <c r="AS143" s="124" t="s">
        <v>187</v>
      </c>
      <c r="AT143" s="105" t="s">
        <v>182</v>
      </c>
      <c r="AU143" s="1353">
        <v>3640</v>
      </c>
      <c r="AV143" s="106" t="s">
        <v>182</v>
      </c>
      <c r="AW143" s="106">
        <v>30</v>
      </c>
      <c r="AX143" s="131" t="s">
        <v>184</v>
      </c>
      <c r="AY143" s="105" t="s">
        <v>182</v>
      </c>
      <c r="AZ143" s="352">
        <v>2730</v>
      </c>
      <c r="BA143" s="1355" t="s">
        <v>664</v>
      </c>
      <c r="BB143" s="127">
        <v>20</v>
      </c>
      <c r="BC143" s="1355" t="s">
        <v>664</v>
      </c>
      <c r="BD143" s="352">
        <v>480</v>
      </c>
      <c r="BE143" s="1355" t="s">
        <v>664</v>
      </c>
      <c r="BF143" s="352">
        <v>4</v>
      </c>
      <c r="BG143" s="105" t="s">
        <v>182</v>
      </c>
      <c r="BH143" s="142" t="s">
        <v>768</v>
      </c>
      <c r="BI143" s="2" t="s">
        <v>182</v>
      </c>
      <c r="BJ143" s="130">
        <v>235</v>
      </c>
      <c r="BK143" s="105" t="s">
        <v>188</v>
      </c>
      <c r="BL143" s="132">
        <v>7500</v>
      </c>
      <c r="BM143" s="153" t="s">
        <v>189</v>
      </c>
      <c r="BN143" s="153">
        <v>70</v>
      </c>
      <c r="BO143" s="154" t="s">
        <v>184</v>
      </c>
      <c r="BP143" s="105" t="s">
        <v>188</v>
      </c>
      <c r="BQ143" s="132">
        <v>30030</v>
      </c>
      <c r="BR143" s="153" t="s">
        <v>189</v>
      </c>
      <c r="BS143" s="153">
        <v>300</v>
      </c>
      <c r="BT143" s="153" t="s">
        <v>184</v>
      </c>
      <c r="BU143" s="154" t="s">
        <v>190</v>
      </c>
      <c r="BV143" s="105" t="s">
        <v>188</v>
      </c>
      <c r="BW143" s="125">
        <v>22040</v>
      </c>
      <c r="BX143" s="150" t="s">
        <v>189</v>
      </c>
      <c r="BY143" s="150">
        <v>220</v>
      </c>
      <c r="BZ143" s="150" t="s">
        <v>184</v>
      </c>
      <c r="CA143" s="151" t="s">
        <v>190</v>
      </c>
      <c r="CC143" s="152" t="s">
        <v>191</v>
      </c>
    </row>
    <row r="144" spans="1:81" ht="37.5">
      <c r="A144" s="1403"/>
      <c r="B144" s="129"/>
      <c r="C144" s="130"/>
      <c r="D144" s="122" t="s">
        <v>192</v>
      </c>
      <c r="F144" s="332">
        <v>89640</v>
      </c>
      <c r="G144" s="333"/>
      <c r="H144" s="105" t="s">
        <v>182</v>
      </c>
      <c r="I144" s="334">
        <v>870</v>
      </c>
      <c r="J144" s="335"/>
      <c r="K144" s="336" t="s">
        <v>661</v>
      </c>
      <c r="M144" s="1354"/>
      <c r="N144" s="106"/>
      <c r="O144" s="106"/>
      <c r="P144" s="131"/>
      <c r="R144" s="1354"/>
      <c r="S144" s="106"/>
      <c r="T144" s="106"/>
      <c r="U144" s="131"/>
      <c r="V144" s="105" t="s">
        <v>182</v>
      </c>
      <c r="W144" s="334">
        <v>7500</v>
      </c>
      <c r="X144" s="133">
        <v>70</v>
      </c>
      <c r="Y144" s="122" t="s">
        <v>183</v>
      </c>
      <c r="Z144" s="105" t="s">
        <v>182</v>
      </c>
      <c r="AA144" s="345">
        <v>52550</v>
      </c>
      <c r="AB144" s="134" t="s">
        <v>182</v>
      </c>
      <c r="AC144" s="134">
        <v>520</v>
      </c>
      <c r="AD144" s="135" t="s">
        <v>184</v>
      </c>
      <c r="AE144" s="105" t="s">
        <v>182</v>
      </c>
      <c r="AF144" s="345">
        <v>45050</v>
      </c>
      <c r="AG144" s="134" t="s">
        <v>182</v>
      </c>
      <c r="AH144" s="134">
        <v>450</v>
      </c>
      <c r="AI144" s="135" t="s">
        <v>184</v>
      </c>
      <c r="AK144" s="1357"/>
      <c r="AL144" s="106"/>
      <c r="AM144" s="106"/>
      <c r="AN144" s="131"/>
      <c r="AP144" s="348">
        <v>30030</v>
      </c>
      <c r="AQ144" s="106"/>
      <c r="AR144" s="106"/>
      <c r="AS144" s="131"/>
      <c r="AU144" s="1354"/>
      <c r="AV144" s="106"/>
      <c r="AW144" s="106"/>
      <c r="AX144" s="131"/>
      <c r="AZ144" s="353" t="s">
        <v>766</v>
      </c>
      <c r="BA144" s="1355"/>
      <c r="BB144" s="136" t="s">
        <v>767</v>
      </c>
      <c r="BC144" s="1355"/>
      <c r="BD144" s="353" t="s">
        <v>766</v>
      </c>
      <c r="BE144" s="1355"/>
      <c r="BF144" s="353" t="s">
        <v>663</v>
      </c>
      <c r="BH144" s="140">
        <v>27330</v>
      </c>
      <c r="BJ144" s="130" t="s">
        <v>785</v>
      </c>
      <c r="BL144" s="132"/>
      <c r="BM144" s="153"/>
      <c r="BN144" s="153"/>
      <c r="BO144" s="154"/>
      <c r="BQ144" s="132"/>
      <c r="BR144" s="153"/>
      <c r="BS144" s="153"/>
      <c r="BT144" s="153"/>
      <c r="BU144" s="154"/>
      <c r="BW144" s="109"/>
      <c r="BX144" s="146"/>
      <c r="BY144" s="146"/>
      <c r="BZ144" s="146"/>
      <c r="CA144" s="147"/>
      <c r="CC144" s="152">
        <v>0.63</v>
      </c>
    </row>
    <row r="145" spans="1:81" ht="75">
      <c r="A145" s="1403"/>
      <c r="B145" s="120" t="s">
        <v>193</v>
      </c>
      <c r="C145" s="121" t="s">
        <v>180</v>
      </c>
      <c r="D145" s="122" t="s">
        <v>181</v>
      </c>
      <c r="F145" s="327">
        <v>51010</v>
      </c>
      <c r="G145" s="328">
        <v>58510</v>
      </c>
      <c r="H145" s="105" t="s">
        <v>182</v>
      </c>
      <c r="I145" s="329">
        <v>490</v>
      </c>
      <c r="J145" s="330">
        <v>560</v>
      </c>
      <c r="K145" s="331" t="s">
        <v>661</v>
      </c>
      <c r="L145" s="105" t="s">
        <v>182</v>
      </c>
      <c r="M145" s="1353">
        <v>4180</v>
      </c>
      <c r="N145" s="123" t="s">
        <v>182</v>
      </c>
      <c r="O145" s="123">
        <v>40</v>
      </c>
      <c r="P145" s="124" t="s">
        <v>184</v>
      </c>
      <c r="Q145" s="105" t="s">
        <v>182</v>
      </c>
      <c r="R145" s="1353">
        <v>18010</v>
      </c>
      <c r="S145" s="123" t="s">
        <v>182</v>
      </c>
      <c r="T145" s="123">
        <v>180</v>
      </c>
      <c r="U145" s="124" t="s">
        <v>184</v>
      </c>
      <c r="V145" s="105" t="s">
        <v>182</v>
      </c>
      <c r="W145" s="342">
        <v>7500</v>
      </c>
      <c r="X145" s="126">
        <v>70</v>
      </c>
      <c r="Y145" s="122" t="s">
        <v>183</v>
      </c>
      <c r="AA145" s="344"/>
      <c r="AF145" s="344" t="s">
        <v>185</v>
      </c>
      <c r="AJ145" s="105" t="s">
        <v>182</v>
      </c>
      <c r="AK145" s="1356">
        <v>3470</v>
      </c>
      <c r="AL145" s="123" t="s">
        <v>182</v>
      </c>
      <c r="AM145" s="123">
        <v>30</v>
      </c>
      <c r="AN145" s="124" t="s">
        <v>184</v>
      </c>
      <c r="AP145" s="349" t="s">
        <v>194</v>
      </c>
      <c r="AQ145" s="106" t="s">
        <v>182</v>
      </c>
      <c r="AR145" s="106">
        <v>180</v>
      </c>
      <c r="AS145" s="131" t="s">
        <v>187</v>
      </c>
      <c r="AT145" s="105" t="s">
        <v>182</v>
      </c>
      <c r="AU145" s="1353">
        <v>2490</v>
      </c>
      <c r="AV145" s="123" t="s">
        <v>182</v>
      </c>
      <c r="AW145" s="123">
        <v>20</v>
      </c>
      <c r="AX145" s="124" t="s">
        <v>184</v>
      </c>
      <c r="AY145" s="105" t="s">
        <v>182</v>
      </c>
      <c r="AZ145" s="352">
        <v>1630</v>
      </c>
      <c r="BA145" s="1355" t="s">
        <v>664</v>
      </c>
      <c r="BB145" s="127">
        <v>10</v>
      </c>
      <c r="BC145" s="1355" t="s">
        <v>664</v>
      </c>
      <c r="BD145" s="352">
        <v>290</v>
      </c>
      <c r="BE145" s="1355" t="s">
        <v>664</v>
      </c>
      <c r="BF145" s="352">
        <v>2</v>
      </c>
      <c r="BH145" s="139" t="s">
        <v>769</v>
      </c>
      <c r="BI145" s="2" t="s">
        <v>182</v>
      </c>
      <c r="BJ145" s="121">
        <v>235</v>
      </c>
      <c r="BK145" s="105" t="s">
        <v>188</v>
      </c>
      <c r="BL145" s="125">
        <v>4500</v>
      </c>
      <c r="BM145" s="150" t="s">
        <v>189</v>
      </c>
      <c r="BN145" s="150">
        <v>40</v>
      </c>
      <c r="BO145" s="151" t="s">
        <v>184</v>
      </c>
      <c r="BP145" s="105" t="s">
        <v>188</v>
      </c>
      <c r="BQ145" s="125">
        <v>18010</v>
      </c>
      <c r="BR145" s="150" t="s">
        <v>189</v>
      </c>
      <c r="BS145" s="150">
        <v>180</v>
      </c>
      <c r="BT145" s="150" t="s">
        <v>184</v>
      </c>
      <c r="BU145" s="151" t="s">
        <v>190</v>
      </c>
      <c r="BV145" s="105" t="s">
        <v>188</v>
      </c>
      <c r="BW145" s="132">
        <v>13220</v>
      </c>
      <c r="BX145" s="153" t="s">
        <v>189</v>
      </c>
      <c r="BY145" s="153">
        <v>130</v>
      </c>
      <c r="BZ145" s="153" t="s">
        <v>184</v>
      </c>
      <c r="CA145" s="154" t="s">
        <v>190</v>
      </c>
      <c r="CC145" s="152" t="s">
        <v>191</v>
      </c>
    </row>
    <row r="146" spans="1:81" ht="37.5">
      <c r="A146" s="1403"/>
      <c r="B146" s="103"/>
      <c r="C146" s="104"/>
      <c r="D146" s="122" t="s">
        <v>192</v>
      </c>
      <c r="F146" s="332">
        <v>58510</v>
      </c>
      <c r="G146" s="333"/>
      <c r="H146" s="105" t="s">
        <v>182</v>
      </c>
      <c r="I146" s="334">
        <v>560</v>
      </c>
      <c r="J146" s="335"/>
      <c r="K146" s="336" t="s">
        <v>661</v>
      </c>
      <c r="M146" s="1354"/>
      <c r="N146" s="310"/>
      <c r="O146" s="310"/>
      <c r="P146" s="311"/>
      <c r="R146" s="1354"/>
      <c r="S146" s="310"/>
      <c r="T146" s="310"/>
      <c r="U146" s="311"/>
      <c r="V146" s="105" t="s">
        <v>182</v>
      </c>
      <c r="W146" s="334">
        <v>7500</v>
      </c>
      <c r="X146" s="133">
        <v>70</v>
      </c>
      <c r="Y146" s="122" t="s">
        <v>183</v>
      </c>
      <c r="Z146" s="105" t="s">
        <v>182</v>
      </c>
      <c r="AA146" s="345">
        <v>52550</v>
      </c>
      <c r="AB146" s="134" t="s">
        <v>182</v>
      </c>
      <c r="AC146" s="134">
        <v>520</v>
      </c>
      <c r="AD146" s="135" t="s">
        <v>184</v>
      </c>
      <c r="AE146" s="105" t="s">
        <v>182</v>
      </c>
      <c r="AF146" s="345">
        <v>45050</v>
      </c>
      <c r="AG146" s="134" t="s">
        <v>182</v>
      </c>
      <c r="AH146" s="134">
        <v>450</v>
      </c>
      <c r="AI146" s="135" t="s">
        <v>184</v>
      </c>
      <c r="AK146" s="1357"/>
      <c r="AL146" s="110"/>
      <c r="AM146" s="110"/>
      <c r="AN146" s="108"/>
      <c r="AP146" s="348">
        <v>18010</v>
      </c>
      <c r="AQ146" s="106"/>
      <c r="AR146" s="106"/>
      <c r="AS146" s="131"/>
      <c r="AU146" s="1354"/>
      <c r="AV146" s="110"/>
      <c r="AW146" s="110"/>
      <c r="AX146" s="108"/>
      <c r="AZ146" s="353" t="s">
        <v>766</v>
      </c>
      <c r="BA146" s="1355"/>
      <c r="BB146" s="136" t="s">
        <v>767</v>
      </c>
      <c r="BC146" s="1355"/>
      <c r="BD146" s="353" t="s">
        <v>766</v>
      </c>
      <c r="BE146" s="1355"/>
      <c r="BF146" s="353" t="s">
        <v>663</v>
      </c>
      <c r="BH146" s="140">
        <v>16800</v>
      </c>
      <c r="BJ146" s="104" t="s">
        <v>785</v>
      </c>
      <c r="BL146" s="109"/>
      <c r="BM146" s="146"/>
      <c r="BN146" s="146"/>
      <c r="BO146" s="147"/>
      <c r="BQ146" s="109"/>
      <c r="BR146" s="146"/>
      <c r="BS146" s="146"/>
      <c r="BT146" s="146"/>
      <c r="BU146" s="147"/>
      <c r="BW146" s="132"/>
      <c r="BX146" s="153"/>
      <c r="BY146" s="153"/>
      <c r="BZ146" s="153"/>
      <c r="CA146" s="154"/>
      <c r="CC146" s="152">
        <v>0.78</v>
      </c>
    </row>
    <row r="147" spans="1:81" ht="75">
      <c r="A147" s="1403"/>
      <c r="B147" s="129" t="s">
        <v>195</v>
      </c>
      <c r="C147" s="130" t="s">
        <v>180</v>
      </c>
      <c r="D147" s="122" t="s">
        <v>181</v>
      </c>
      <c r="F147" s="327">
        <v>39850</v>
      </c>
      <c r="G147" s="328">
        <v>47350</v>
      </c>
      <c r="H147" s="105" t="s">
        <v>182</v>
      </c>
      <c r="I147" s="329">
        <v>380</v>
      </c>
      <c r="J147" s="330">
        <v>450</v>
      </c>
      <c r="K147" s="331" t="s">
        <v>661</v>
      </c>
      <c r="L147" s="105" t="s">
        <v>182</v>
      </c>
      <c r="M147" s="1353">
        <v>2990</v>
      </c>
      <c r="N147" s="106" t="s">
        <v>182</v>
      </c>
      <c r="O147" s="106">
        <v>20</v>
      </c>
      <c r="P147" s="131" t="s">
        <v>184</v>
      </c>
      <c r="Q147" s="105" t="s">
        <v>182</v>
      </c>
      <c r="R147" s="1353">
        <v>12870</v>
      </c>
      <c r="S147" s="106" t="s">
        <v>182</v>
      </c>
      <c r="T147" s="106">
        <v>120</v>
      </c>
      <c r="U147" s="131" t="s">
        <v>184</v>
      </c>
      <c r="V147" s="105" t="s">
        <v>182</v>
      </c>
      <c r="W147" s="342">
        <v>7500</v>
      </c>
      <c r="X147" s="126">
        <v>70</v>
      </c>
      <c r="Y147" s="122" t="s">
        <v>183</v>
      </c>
      <c r="AA147" s="344"/>
      <c r="AF147" s="344" t="s">
        <v>185</v>
      </c>
      <c r="AJ147" s="105" t="s">
        <v>182</v>
      </c>
      <c r="AK147" s="1356">
        <v>2480</v>
      </c>
      <c r="AL147" s="106" t="s">
        <v>182</v>
      </c>
      <c r="AM147" s="106">
        <v>20</v>
      </c>
      <c r="AN147" s="131" t="s">
        <v>184</v>
      </c>
      <c r="AP147" s="349" t="s">
        <v>196</v>
      </c>
      <c r="AQ147" s="106" t="s">
        <v>182</v>
      </c>
      <c r="AR147" s="106">
        <v>120</v>
      </c>
      <c r="AS147" s="131" t="s">
        <v>187</v>
      </c>
      <c r="AT147" s="105" t="s">
        <v>182</v>
      </c>
      <c r="AU147" s="1353">
        <v>2000</v>
      </c>
      <c r="AV147" s="106" t="s">
        <v>182</v>
      </c>
      <c r="AW147" s="106">
        <v>20</v>
      </c>
      <c r="AX147" s="131" t="s">
        <v>184</v>
      </c>
      <c r="AY147" s="105" t="s">
        <v>182</v>
      </c>
      <c r="AZ147" s="352">
        <v>1170</v>
      </c>
      <c r="BA147" s="1355" t="s">
        <v>664</v>
      </c>
      <c r="BB147" s="127">
        <v>10</v>
      </c>
      <c r="BC147" s="1355" t="s">
        <v>664</v>
      </c>
      <c r="BD147" s="352">
        <v>200</v>
      </c>
      <c r="BE147" s="1355" t="s">
        <v>664</v>
      </c>
      <c r="BF147" s="352">
        <v>2</v>
      </c>
      <c r="BH147" s="139" t="s">
        <v>770</v>
      </c>
      <c r="BI147" s="2" t="s">
        <v>182</v>
      </c>
      <c r="BJ147" s="130">
        <v>235</v>
      </c>
      <c r="BK147" s="105" t="s">
        <v>188</v>
      </c>
      <c r="BL147" s="132">
        <v>3210</v>
      </c>
      <c r="BM147" s="153" t="s">
        <v>189</v>
      </c>
      <c r="BN147" s="153">
        <v>30</v>
      </c>
      <c r="BO147" s="154" t="s">
        <v>184</v>
      </c>
      <c r="BP147" s="105" t="s">
        <v>188</v>
      </c>
      <c r="BQ147" s="132">
        <v>12870</v>
      </c>
      <c r="BR147" s="153" t="s">
        <v>189</v>
      </c>
      <c r="BS147" s="153">
        <v>120</v>
      </c>
      <c r="BT147" s="153" t="s">
        <v>184</v>
      </c>
      <c r="BU147" s="154" t="s">
        <v>190</v>
      </c>
      <c r="BV147" s="105" t="s">
        <v>188</v>
      </c>
      <c r="BW147" s="125">
        <v>9440</v>
      </c>
      <c r="BX147" s="150" t="s">
        <v>189</v>
      </c>
      <c r="BY147" s="150">
        <v>90</v>
      </c>
      <c r="BZ147" s="150" t="s">
        <v>184</v>
      </c>
      <c r="CA147" s="151" t="s">
        <v>190</v>
      </c>
      <c r="CC147" s="152" t="s">
        <v>191</v>
      </c>
    </row>
    <row r="148" spans="1:81" ht="37.5">
      <c r="A148" s="1403"/>
      <c r="B148" s="129"/>
      <c r="C148" s="130"/>
      <c r="D148" s="122" t="s">
        <v>192</v>
      </c>
      <c r="F148" s="332">
        <v>47350</v>
      </c>
      <c r="G148" s="333"/>
      <c r="H148" s="105" t="s">
        <v>182</v>
      </c>
      <c r="I148" s="334">
        <v>450</v>
      </c>
      <c r="J148" s="335"/>
      <c r="K148" s="336" t="s">
        <v>661</v>
      </c>
      <c r="M148" s="1354"/>
      <c r="N148" s="106"/>
      <c r="O148" s="106"/>
      <c r="P148" s="131"/>
      <c r="R148" s="1354"/>
      <c r="S148" s="106"/>
      <c r="T148" s="106"/>
      <c r="U148" s="131"/>
      <c r="V148" s="105" t="s">
        <v>182</v>
      </c>
      <c r="W148" s="334">
        <v>7500</v>
      </c>
      <c r="X148" s="133">
        <v>70</v>
      </c>
      <c r="Y148" s="122" t="s">
        <v>183</v>
      </c>
      <c r="Z148" s="105" t="s">
        <v>182</v>
      </c>
      <c r="AA148" s="345">
        <v>52550</v>
      </c>
      <c r="AB148" s="134" t="s">
        <v>182</v>
      </c>
      <c r="AC148" s="134">
        <v>520</v>
      </c>
      <c r="AD148" s="135" t="s">
        <v>184</v>
      </c>
      <c r="AE148" s="105" t="s">
        <v>182</v>
      </c>
      <c r="AF148" s="345">
        <v>45050</v>
      </c>
      <c r="AG148" s="134" t="s">
        <v>182</v>
      </c>
      <c r="AH148" s="134">
        <v>450</v>
      </c>
      <c r="AI148" s="135" t="s">
        <v>184</v>
      </c>
      <c r="AK148" s="1357"/>
      <c r="AL148" s="106"/>
      <c r="AM148" s="106"/>
      <c r="AN148" s="131"/>
      <c r="AP148" s="348">
        <v>12870</v>
      </c>
      <c r="AQ148" s="106"/>
      <c r="AR148" s="106"/>
      <c r="AS148" s="131"/>
      <c r="AU148" s="1354"/>
      <c r="AV148" s="106"/>
      <c r="AW148" s="106"/>
      <c r="AX148" s="131"/>
      <c r="AZ148" s="353" t="s">
        <v>766</v>
      </c>
      <c r="BA148" s="1355"/>
      <c r="BB148" s="136" t="s">
        <v>767</v>
      </c>
      <c r="BC148" s="1355"/>
      <c r="BD148" s="353" t="s">
        <v>766</v>
      </c>
      <c r="BE148" s="1355"/>
      <c r="BF148" s="353" t="s">
        <v>663</v>
      </c>
      <c r="BH148" s="140">
        <v>12280</v>
      </c>
      <c r="BJ148" s="130" t="s">
        <v>785</v>
      </c>
      <c r="BL148" s="132"/>
      <c r="BM148" s="153"/>
      <c r="BN148" s="153"/>
      <c r="BO148" s="154"/>
      <c r="BQ148" s="132"/>
      <c r="BR148" s="153"/>
      <c r="BS148" s="153"/>
      <c r="BT148" s="153"/>
      <c r="BU148" s="154"/>
      <c r="BW148" s="109"/>
      <c r="BX148" s="146"/>
      <c r="BY148" s="146"/>
      <c r="BZ148" s="146"/>
      <c r="CA148" s="147"/>
      <c r="CC148" s="152">
        <v>0.86</v>
      </c>
    </row>
    <row r="149" spans="1:81" ht="75">
      <c r="A149" s="1403"/>
      <c r="B149" s="120" t="s">
        <v>197</v>
      </c>
      <c r="C149" s="121" t="s">
        <v>180</v>
      </c>
      <c r="D149" s="122" t="s">
        <v>181</v>
      </c>
      <c r="F149" s="327">
        <v>35350</v>
      </c>
      <c r="G149" s="328">
        <v>42850</v>
      </c>
      <c r="H149" s="105" t="s">
        <v>182</v>
      </c>
      <c r="I149" s="329">
        <v>330</v>
      </c>
      <c r="J149" s="330">
        <v>410</v>
      </c>
      <c r="K149" s="331" t="s">
        <v>661</v>
      </c>
      <c r="L149" s="105" t="s">
        <v>182</v>
      </c>
      <c r="M149" s="1353">
        <v>2320</v>
      </c>
      <c r="N149" s="123" t="s">
        <v>182</v>
      </c>
      <c r="O149" s="123">
        <v>20</v>
      </c>
      <c r="P149" s="124" t="s">
        <v>184</v>
      </c>
      <c r="Q149" s="105" t="s">
        <v>182</v>
      </c>
      <c r="R149" s="1353">
        <v>10010</v>
      </c>
      <c r="S149" s="123" t="s">
        <v>182</v>
      </c>
      <c r="T149" s="123">
        <v>100</v>
      </c>
      <c r="U149" s="124" t="s">
        <v>184</v>
      </c>
      <c r="V149" s="105" t="s">
        <v>182</v>
      </c>
      <c r="W149" s="342">
        <v>7500</v>
      </c>
      <c r="X149" s="126">
        <v>70</v>
      </c>
      <c r="Y149" s="122" t="s">
        <v>183</v>
      </c>
      <c r="AA149" s="344"/>
      <c r="AF149" s="344" t="s">
        <v>185</v>
      </c>
      <c r="AJ149" s="105" t="s">
        <v>182</v>
      </c>
      <c r="AK149" s="1356" t="s">
        <v>188</v>
      </c>
      <c r="AL149" s="106" t="s">
        <v>182</v>
      </c>
      <c r="AM149" s="106" t="s">
        <v>188</v>
      </c>
      <c r="AN149" s="131"/>
      <c r="AP149" s="349" t="s">
        <v>198</v>
      </c>
      <c r="AQ149" s="106" t="s">
        <v>182</v>
      </c>
      <c r="AR149" s="106">
        <v>100</v>
      </c>
      <c r="AS149" s="131" t="s">
        <v>187</v>
      </c>
      <c r="AT149" s="105" t="s">
        <v>182</v>
      </c>
      <c r="AU149" s="1353">
        <v>1730</v>
      </c>
      <c r="AV149" s="123" t="s">
        <v>182</v>
      </c>
      <c r="AW149" s="123">
        <v>10</v>
      </c>
      <c r="AX149" s="124" t="s">
        <v>184</v>
      </c>
      <c r="AY149" s="105" t="s">
        <v>182</v>
      </c>
      <c r="AZ149" s="352">
        <v>910</v>
      </c>
      <c r="BA149" s="1355" t="s">
        <v>664</v>
      </c>
      <c r="BB149" s="127">
        <v>9</v>
      </c>
      <c r="BC149" s="1355" t="s">
        <v>664</v>
      </c>
      <c r="BD149" s="352">
        <v>160</v>
      </c>
      <c r="BE149" s="1355" t="s">
        <v>664</v>
      </c>
      <c r="BF149" s="352">
        <v>1</v>
      </c>
      <c r="BH149" s="139" t="s">
        <v>771</v>
      </c>
      <c r="BI149" s="2" t="s">
        <v>182</v>
      </c>
      <c r="BJ149" s="121">
        <v>235</v>
      </c>
      <c r="BK149" s="105" t="s">
        <v>188</v>
      </c>
      <c r="BL149" s="125">
        <v>2500</v>
      </c>
      <c r="BM149" s="150" t="s">
        <v>189</v>
      </c>
      <c r="BN149" s="150">
        <v>20</v>
      </c>
      <c r="BO149" s="151" t="s">
        <v>184</v>
      </c>
      <c r="BP149" s="105" t="s">
        <v>188</v>
      </c>
      <c r="BQ149" s="125">
        <v>10010</v>
      </c>
      <c r="BR149" s="150" t="s">
        <v>189</v>
      </c>
      <c r="BS149" s="150">
        <v>100</v>
      </c>
      <c r="BT149" s="150" t="s">
        <v>184</v>
      </c>
      <c r="BU149" s="151" t="s">
        <v>190</v>
      </c>
      <c r="BV149" s="105" t="s">
        <v>188</v>
      </c>
      <c r="BW149" s="132">
        <v>7340</v>
      </c>
      <c r="BX149" s="153" t="s">
        <v>189</v>
      </c>
      <c r="BY149" s="153">
        <v>70</v>
      </c>
      <c r="BZ149" s="153" t="s">
        <v>184</v>
      </c>
      <c r="CA149" s="154" t="s">
        <v>190</v>
      </c>
      <c r="CC149" s="152" t="s">
        <v>191</v>
      </c>
    </row>
    <row r="150" spans="1:81" ht="37.5">
      <c r="A150" s="1403"/>
      <c r="B150" s="103"/>
      <c r="C150" s="104"/>
      <c r="D150" s="122" t="s">
        <v>192</v>
      </c>
      <c r="F150" s="332">
        <v>42850</v>
      </c>
      <c r="G150" s="333"/>
      <c r="H150" s="105" t="s">
        <v>182</v>
      </c>
      <c r="I150" s="334">
        <v>410</v>
      </c>
      <c r="J150" s="335"/>
      <c r="K150" s="336" t="s">
        <v>661</v>
      </c>
      <c r="M150" s="1354"/>
      <c r="N150" s="310"/>
      <c r="O150" s="310"/>
      <c r="P150" s="311"/>
      <c r="R150" s="1354"/>
      <c r="S150" s="310"/>
      <c r="T150" s="310"/>
      <c r="U150" s="311"/>
      <c r="V150" s="105" t="s">
        <v>182</v>
      </c>
      <c r="W150" s="334">
        <v>7500</v>
      </c>
      <c r="X150" s="133">
        <v>70</v>
      </c>
      <c r="Y150" s="122" t="s">
        <v>183</v>
      </c>
      <c r="Z150" s="105" t="s">
        <v>182</v>
      </c>
      <c r="AA150" s="345">
        <v>52550</v>
      </c>
      <c r="AB150" s="134" t="s">
        <v>182</v>
      </c>
      <c r="AC150" s="134">
        <v>520</v>
      </c>
      <c r="AD150" s="135" t="s">
        <v>184</v>
      </c>
      <c r="AE150" s="105" t="s">
        <v>182</v>
      </c>
      <c r="AF150" s="345">
        <v>45050</v>
      </c>
      <c r="AG150" s="134" t="s">
        <v>182</v>
      </c>
      <c r="AH150" s="134">
        <v>450</v>
      </c>
      <c r="AI150" s="135" t="s">
        <v>184</v>
      </c>
      <c r="AK150" s="1357"/>
      <c r="AL150" s="106"/>
      <c r="AM150" s="106"/>
      <c r="AN150" s="131"/>
      <c r="AP150" s="348">
        <v>10010</v>
      </c>
      <c r="AQ150" s="106"/>
      <c r="AR150" s="106"/>
      <c r="AS150" s="131"/>
      <c r="AU150" s="1354"/>
      <c r="AV150" s="110"/>
      <c r="AW150" s="110"/>
      <c r="AX150" s="108"/>
      <c r="AZ150" s="353" t="s">
        <v>766</v>
      </c>
      <c r="BA150" s="1355"/>
      <c r="BB150" s="136" t="s">
        <v>767</v>
      </c>
      <c r="BC150" s="1355"/>
      <c r="BD150" s="353" t="s">
        <v>766</v>
      </c>
      <c r="BE150" s="1355"/>
      <c r="BF150" s="353" t="s">
        <v>663</v>
      </c>
      <c r="BH150" s="140">
        <v>9770</v>
      </c>
      <c r="BJ150" s="104" t="s">
        <v>785</v>
      </c>
      <c r="BL150" s="109"/>
      <c r="BM150" s="146"/>
      <c r="BN150" s="146"/>
      <c r="BO150" s="147"/>
      <c r="BQ150" s="109"/>
      <c r="BR150" s="146"/>
      <c r="BS150" s="146"/>
      <c r="BT150" s="146"/>
      <c r="BU150" s="147"/>
      <c r="BW150" s="132"/>
      <c r="BX150" s="153"/>
      <c r="BY150" s="153"/>
      <c r="BZ150" s="153"/>
      <c r="CA150" s="154"/>
      <c r="CC150" s="152">
        <v>0.95</v>
      </c>
    </row>
    <row r="151" spans="1:81" ht="75">
      <c r="A151" s="1403"/>
      <c r="B151" s="129" t="s">
        <v>200</v>
      </c>
      <c r="C151" s="130" t="s">
        <v>180</v>
      </c>
      <c r="D151" s="122" t="s">
        <v>181</v>
      </c>
      <c r="F151" s="327">
        <v>31330</v>
      </c>
      <c r="G151" s="328">
        <v>38830</v>
      </c>
      <c r="H151" s="105" t="s">
        <v>182</v>
      </c>
      <c r="I151" s="329">
        <v>290</v>
      </c>
      <c r="J151" s="330">
        <v>370</v>
      </c>
      <c r="K151" s="331" t="s">
        <v>661</v>
      </c>
      <c r="L151" s="105" t="s">
        <v>182</v>
      </c>
      <c r="M151" s="1353">
        <v>1740</v>
      </c>
      <c r="N151" s="106" t="s">
        <v>182</v>
      </c>
      <c r="O151" s="106">
        <v>10</v>
      </c>
      <c r="P151" s="131" t="s">
        <v>184</v>
      </c>
      <c r="Q151" s="105" t="s">
        <v>182</v>
      </c>
      <c r="R151" s="1353">
        <v>7500</v>
      </c>
      <c r="S151" s="106" t="s">
        <v>182</v>
      </c>
      <c r="T151" s="106">
        <v>70</v>
      </c>
      <c r="U151" s="131" t="s">
        <v>184</v>
      </c>
      <c r="V151" s="105" t="s">
        <v>182</v>
      </c>
      <c r="W151" s="342">
        <v>7500</v>
      </c>
      <c r="X151" s="126">
        <v>70</v>
      </c>
      <c r="Y151" s="122" t="s">
        <v>183</v>
      </c>
      <c r="AA151" s="344"/>
      <c r="AF151" s="344" t="s">
        <v>185</v>
      </c>
      <c r="AJ151" s="105" t="s">
        <v>182</v>
      </c>
      <c r="AK151" s="1356" t="s">
        <v>188</v>
      </c>
      <c r="AL151" s="106" t="s">
        <v>182</v>
      </c>
      <c r="AM151" s="106" t="s">
        <v>188</v>
      </c>
      <c r="AN151" s="131"/>
      <c r="AP151" s="349" t="s">
        <v>201</v>
      </c>
      <c r="AQ151" s="106" t="s">
        <v>182</v>
      </c>
      <c r="AR151" s="106">
        <v>70</v>
      </c>
      <c r="AS151" s="131" t="s">
        <v>187</v>
      </c>
      <c r="AT151" s="105" t="s">
        <v>182</v>
      </c>
      <c r="AU151" s="1353">
        <v>1300</v>
      </c>
      <c r="AV151" s="106" t="s">
        <v>182</v>
      </c>
      <c r="AW151" s="106">
        <v>10</v>
      </c>
      <c r="AX151" s="131" t="s">
        <v>184</v>
      </c>
      <c r="AY151" s="105" t="s">
        <v>182</v>
      </c>
      <c r="AZ151" s="352">
        <v>680</v>
      </c>
      <c r="BA151" s="1355" t="s">
        <v>664</v>
      </c>
      <c r="BB151" s="127">
        <v>6</v>
      </c>
      <c r="BC151" s="1355" t="s">
        <v>664</v>
      </c>
      <c r="BD151" s="352">
        <v>120</v>
      </c>
      <c r="BE151" s="1355" t="s">
        <v>664</v>
      </c>
      <c r="BF151" s="352">
        <v>1</v>
      </c>
      <c r="BH151" s="139" t="s">
        <v>772</v>
      </c>
      <c r="BI151" s="2" t="s">
        <v>182</v>
      </c>
      <c r="BJ151" s="130">
        <v>235</v>
      </c>
      <c r="BK151" s="105" t="s">
        <v>188</v>
      </c>
      <c r="BL151" s="132">
        <v>1870</v>
      </c>
      <c r="BM151" s="153" t="s">
        <v>189</v>
      </c>
      <c r="BN151" s="153">
        <v>10</v>
      </c>
      <c r="BO151" s="154" t="s">
        <v>184</v>
      </c>
      <c r="BP151" s="105" t="s">
        <v>188</v>
      </c>
      <c r="BQ151" s="132">
        <v>7500</v>
      </c>
      <c r="BR151" s="153" t="s">
        <v>189</v>
      </c>
      <c r="BS151" s="153">
        <v>70</v>
      </c>
      <c r="BT151" s="153" t="s">
        <v>184</v>
      </c>
      <c r="BU151" s="154" t="s">
        <v>190</v>
      </c>
      <c r="BV151" s="105" t="s">
        <v>188</v>
      </c>
      <c r="BW151" s="125">
        <v>5510</v>
      </c>
      <c r="BX151" s="150" t="s">
        <v>189</v>
      </c>
      <c r="BY151" s="150">
        <v>50</v>
      </c>
      <c r="BZ151" s="150" t="s">
        <v>184</v>
      </c>
      <c r="CA151" s="151" t="s">
        <v>190</v>
      </c>
      <c r="CC151" s="152" t="s">
        <v>191</v>
      </c>
    </row>
    <row r="152" spans="1:81" ht="37.5">
      <c r="A152" s="1403"/>
      <c r="B152" s="129"/>
      <c r="C152" s="130"/>
      <c r="D152" s="122" t="s">
        <v>192</v>
      </c>
      <c r="F152" s="332">
        <v>38830</v>
      </c>
      <c r="G152" s="333"/>
      <c r="H152" s="105" t="s">
        <v>182</v>
      </c>
      <c r="I152" s="334">
        <v>370</v>
      </c>
      <c r="J152" s="335"/>
      <c r="K152" s="336" t="s">
        <v>661</v>
      </c>
      <c r="M152" s="1354"/>
      <c r="N152" s="106"/>
      <c r="O152" s="106"/>
      <c r="P152" s="131"/>
      <c r="R152" s="1354"/>
      <c r="S152" s="106"/>
      <c r="T152" s="106"/>
      <c r="U152" s="131"/>
      <c r="V152" s="105" t="s">
        <v>182</v>
      </c>
      <c r="W152" s="334">
        <v>7500</v>
      </c>
      <c r="X152" s="133">
        <v>70</v>
      </c>
      <c r="Y152" s="122" t="s">
        <v>183</v>
      </c>
      <c r="Z152" s="105" t="s">
        <v>182</v>
      </c>
      <c r="AA152" s="345">
        <v>52550</v>
      </c>
      <c r="AB152" s="134" t="s">
        <v>182</v>
      </c>
      <c r="AC152" s="134">
        <v>520</v>
      </c>
      <c r="AD152" s="135" t="s">
        <v>184</v>
      </c>
      <c r="AE152" s="105" t="s">
        <v>182</v>
      </c>
      <c r="AF152" s="345">
        <v>45050</v>
      </c>
      <c r="AG152" s="134" t="s">
        <v>182</v>
      </c>
      <c r="AH152" s="134">
        <v>450</v>
      </c>
      <c r="AI152" s="135" t="s">
        <v>184</v>
      </c>
      <c r="AK152" s="1357"/>
      <c r="AL152" s="106"/>
      <c r="AM152" s="106"/>
      <c r="AN152" s="131"/>
      <c r="AP152" s="348">
        <v>7500</v>
      </c>
      <c r="AQ152" s="106"/>
      <c r="AR152" s="106"/>
      <c r="AS152" s="131"/>
      <c r="AU152" s="1354"/>
      <c r="AV152" s="106"/>
      <c r="AW152" s="106"/>
      <c r="AX152" s="131"/>
      <c r="AZ152" s="353" t="s">
        <v>766</v>
      </c>
      <c r="BA152" s="1355"/>
      <c r="BB152" s="136" t="s">
        <v>767</v>
      </c>
      <c r="BC152" s="1355"/>
      <c r="BD152" s="353" t="s">
        <v>766</v>
      </c>
      <c r="BE152" s="1355"/>
      <c r="BF152" s="353" t="s">
        <v>663</v>
      </c>
      <c r="BH152" s="140">
        <v>7500</v>
      </c>
      <c r="BJ152" s="130" t="s">
        <v>785</v>
      </c>
      <c r="BL152" s="132"/>
      <c r="BM152" s="153"/>
      <c r="BN152" s="153"/>
      <c r="BO152" s="154"/>
      <c r="BQ152" s="132"/>
      <c r="BR152" s="153"/>
      <c r="BS152" s="153"/>
      <c r="BT152" s="153"/>
      <c r="BU152" s="154"/>
      <c r="BW152" s="109"/>
      <c r="BX152" s="146"/>
      <c r="BY152" s="146"/>
      <c r="BZ152" s="146"/>
      <c r="CA152" s="147"/>
      <c r="CC152" s="152">
        <v>0.89100000000000001</v>
      </c>
    </row>
    <row r="153" spans="1:81" ht="75">
      <c r="A153" s="1403"/>
      <c r="B153" s="120" t="s">
        <v>202</v>
      </c>
      <c r="C153" s="121" t="s">
        <v>180</v>
      </c>
      <c r="D153" s="122" t="s">
        <v>181</v>
      </c>
      <c r="F153" s="327">
        <v>28960</v>
      </c>
      <c r="G153" s="328">
        <v>36460</v>
      </c>
      <c r="H153" s="105" t="s">
        <v>182</v>
      </c>
      <c r="I153" s="329">
        <v>270</v>
      </c>
      <c r="J153" s="330">
        <v>340</v>
      </c>
      <c r="K153" s="331" t="s">
        <v>661</v>
      </c>
      <c r="L153" s="105" t="s">
        <v>182</v>
      </c>
      <c r="M153" s="1353">
        <v>1390</v>
      </c>
      <c r="N153" s="123" t="s">
        <v>182</v>
      </c>
      <c r="O153" s="123">
        <v>10</v>
      </c>
      <c r="P153" s="124" t="s">
        <v>184</v>
      </c>
      <c r="Q153" s="105" t="s">
        <v>182</v>
      </c>
      <c r="R153" s="1353">
        <v>6000</v>
      </c>
      <c r="S153" s="123" t="s">
        <v>182</v>
      </c>
      <c r="T153" s="123">
        <v>60</v>
      </c>
      <c r="U153" s="124" t="s">
        <v>184</v>
      </c>
      <c r="V153" s="105" t="s">
        <v>182</v>
      </c>
      <c r="W153" s="342">
        <v>7500</v>
      </c>
      <c r="X153" s="126">
        <v>70</v>
      </c>
      <c r="Y153" s="122" t="s">
        <v>183</v>
      </c>
      <c r="AA153" s="344"/>
      <c r="AF153" s="344" t="s">
        <v>185</v>
      </c>
      <c r="AJ153" s="105" t="s">
        <v>182</v>
      </c>
      <c r="AK153" s="1356" t="s">
        <v>188</v>
      </c>
      <c r="AL153" s="106" t="s">
        <v>182</v>
      </c>
      <c r="AM153" s="106" t="s">
        <v>188</v>
      </c>
      <c r="AN153" s="131"/>
      <c r="AP153" s="349" t="s">
        <v>203</v>
      </c>
      <c r="AQ153" s="106" t="s">
        <v>182</v>
      </c>
      <c r="AR153" s="106">
        <v>60</v>
      </c>
      <c r="AS153" s="131" t="s">
        <v>187</v>
      </c>
      <c r="AT153" s="105" t="s">
        <v>182</v>
      </c>
      <c r="AU153" s="1353">
        <v>1040</v>
      </c>
      <c r="AV153" s="123" t="s">
        <v>182</v>
      </c>
      <c r="AW153" s="123">
        <v>10</v>
      </c>
      <c r="AX153" s="124" t="s">
        <v>184</v>
      </c>
      <c r="AY153" s="105" t="s">
        <v>182</v>
      </c>
      <c r="AZ153" s="352">
        <v>570</v>
      </c>
      <c r="BA153" s="1355" t="s">
        <v>664</v>
      </c>
      <c r="BB153" s="127">
        <v>5</v>
      </c>
      <c r="BC153" s="1355" t="s">
        <v>664</v>
      </c>
      <c r="BD153" s="352">
        <v>100</v>
      </c>
      <c r="BE153" s="1355" t="s">
        <v>664</v>
      </c>
      <c r="BF153" s="352">
        <v>1</v>
      </c>
      <c r="BH153" s="139" t="s">
        <v>773</v>
      </c>
      <c r="BI153" s="2" t="s">
        <v>182</v>
      </c>
      <c r="BJ153" s="121">
        <v>235</v>
      </c>
      <c r="BK153" s="105" t="s">
        <v>188</v>
      </c>
      <c r="BL153" s="125">
        <v>1500</v>
      </c>
      <c r="BM153" s="150" t="s">
        <v>189</v>
      </c>
      <c r="BN153" s="150">
        <v>10</v>
      </c>
      <c r="BO153" s="151" t="s">
        <v>184</v>
      </c>
      <c r="BP153" s="105" t="s">
        <v>188</v>
      </c>
      <c r="BQ153" s="125">
        <v>6000</v>
      </c>
      <c r="BR153" s="150" t="s">
        <v>189</v>
      </c>
      <c r="BS153" s="150">
        <v>60</v>
      </c>
      <c r="BT153" s="150" t="s">
        <v>184</v>
      </c>
      <c r="BU153" s="151" t="s">
        <v>190</v>
      </c>
      <c r="BV153" s="105" t="s">
        <v>188</v>
      </c>
      <c r="BW153" s="132">
        <v>4400</v>
      </c>
      <c r="BX153" s="153" t="s">
        <v>189</v>
      </c>
      <c r="BY153" s="153">
        <v>40</v>
      </c>
      <c r="BZ153" s="153" t="s">
        <v>184</v>
      </c>
      <c r="CA153" s="154" t="s">
        <v>190</v>
      </c>
      <c r="CC153" s="152" t="s">
        <v>191</v>
      </c>
    </row>
    <row r="154" spans="1:81" ht="37.5">
      <c r="A154" s="1403"/>
      <c r="B154" s="103"/>
      <c r="C154" s="104"/>
      <c r="D154" s="122" t="s">
        <v>192</v>
      </c>
      <c r="F154" s="332">
        <v>36460</v>
      </c>
      <c r="G154" s="333"/>
      <c r="H154" s="105" t="s">
        <v>182</v>
      </c>
      <c r="I154" s="334">
        <v>340</v>
      </c>
      <c r="J154" s="335"/>
      <c r="K154" s="336" t="s">
        <v>661</v>
      </c>
      <c r="M154" s="1354"/>
      <c r="N154" s="310"/>
      <c r="O154" s="310"/>
      <c r="P154" s="311"/>
      <c r="R154" s="1354"/>
      <c r="S154" s="310"/>
      <c r="T154" s="310"/>
      <c r="U154" s="311"/>
      <c r="V154" s="105" t="s">
        <v>182</v>
      </c>
      <c r="W154" s="334">
        <v>7500</v>
      </c>
      <c r="X154" s="133">
        <v>70</v>
      </c>
      <c r="Y154" s="122" t="s">
        <v>183</v>
      </c>
      <c r="Z154" s="105" t="s">
        <v>182</v>
      </c>
      <c r="AA154" s="345">
        <v>52550</v>
      </c>
      <c r="AB154" s="134" t="s">
        <v>182</v>
      </c>
      <c r="AC154" s="134">
        <v>520</v>
      </c>
      <c r="AD154" s="135" t="s">
        <v>184</v>
      </c>
      <c r="AE154" s="105" t="s">
        <v>182</v>
      </c>
      <c r="AF154" s="345">
        <v>45050</v>
      </c>
      <c r="AG154" s="134" t="s">
        <v>182</v>
      </c>
      <c r="AH154" s="134">
        <v>450</v>
      </c>
      <c r="AI154" s="135" t="s">
        <v>184</v>
      </c>
      <c r="AK154" s="1357"/>
      <c r="AL154" s="106"/>
      <c r="AM154" s="106"/>
      <c r="AN154" s="131"/>
      <c r="AP154" s="348">
        <v>6000</v>
      </c>
      <c r="AQ154" s="106"/>
      <c r="AR154" s="106"/>
      <c r="AS154" s="131"/>
      <c r="AU154" s="1354"/>
      <c r="AV154" s="110"/>
      <c r="AW154" s="110"/>
      <c r="AX154" s="108"/>
      <c r="AZ154" s="353" t="s">
        <v>766</v>
      </c>
      <c r="BA154" s="1355"/>
      <c r="BB154" s="136" t="s">
        <v>767</v>
      </c>
      <c r="BC154" s="1355"/>
      <c r="BD154" s="353" t="s">
        <v>766</v>
      </c>
      <c r="BE154" s="1355"/>
      <c r="BF154" s="353" t="s">
        <v>663</v>
      </c>
      <c r="BH154" s="140">
        <v>6130</v>
      </c>
      <c r="BJ154" s="104" t="s">
        <v>785</v>
      </c>
      <c r="BL154" s="109"/>
      <c r="BM154" s="146"/>
      <c r="BN154" s="146"/>
      <c r="BO154" s="147"/>
      <c r="BQ154" s="109"/>
      <c r="BR154" s="146"/>
      <c r="BS154" s="146"/>
      <c r="BT154" s="146"/>
      <c r="BU154" s="147"/>
      <c r="BW154" s="132"/>
      <c r="BX154" s="153"/>
      <c r="BY154" s="153"/>
      <c r="BZ154" s="153"/>
      <c r="CA154" s="154"/>
      <c r="CC154" s="152">
        <v>0.92</v>
      </c>
    </row>
    <row r="155" spans="1:81" ht="75">
      <c r="A155" s="1403"/>
      <c r="B155" s="129" t="s">
        <v>204</v>
      </c>
      <c r="C155" s="130" t="s">
        <v>180</v>
      </c>
      <c r="D155" s="122" t="s">
        <v>181</v>
      </c>
      <c r="F155" s="327">
        <v>27350</v>
      </c>
      <c r="G155" s="328">
        <v>34850</v>
      </c>
      <c r="H155" s="105" t="s">
        <v>182</v>
      </c>
      <c r="I155" s="329">
        <v>250</v>
      </c>
      <c r="J155" s="330">
        <v>330</v>
      </c>
      <c r="K155" s="331" t="s">
        <v>661</v>
      </c>
      <c r="L155" s="105" t="s">
        <v>182</v>
      </c>
      <c r="M155" s="1353">
        <v>1160</v>
      </c>
      <c r="N155" s="106" t="s">
        <v>182</v>
      </c>
      <c r="O155" s="106">
        <v>10</v>
      </c>
      <c r="P155" s="131" t="s">
        <v>184</v>
      </c>
      <c r="Q155" s="105" t="s">
        <v>182</v>
      </c>
      <c r="R155" s="1353">
        <v>5000</v>
      </c>
      <c r="S155" s="106" t="s">
        <v>182</v>
      </c>
      <c r="T155" s="106">
        <v>50</v>
      </c>
      <c r="U155" s="131" t="s">
        <v>184</v>
      </c>
      <c r="V155" s="105" t="s">
        <v>182</v>
      </c>
      <c r="W155" s="342">
        <v>7500</v>
      </c>
      <c r="X155" s="126">
        <v>70</v>
      </c>
      <c r="Y155" s="122" t="s">
        <v>183</v>
      </c>
      <c r="AA155" s="344"/>
      <c r="AF155" s="344" t="s">
        <v>185</v>
      </c>
      <c r="AJ155" s="105" t="s">
        <v>182</v>
      </c>
      <c r="AK155" s="1356" t="s">
        <v>188</v>
      </c>
      <c r="AL155" s="106" t="s">
        <v>182</v>
      </c>
      <c r="AM155" s="106" t="s">
        <v>188</v>
      </c>
      <c r="AN155" s="131"/>
      <c r="AP155" s="349" t="s">
        <v>205</v>
      </c>
      <c r="AQ155" s="106" t="s">
        <v>182</v>
      </c>
      <c r="AR155" s="106">
        <v>50</v>
      </c>
      <c r="AS155" s="131" t="s">
        <v>187</v>
      </c>
      <c r="AT155" s="105" t="s">
        <v>182</v>
      </c>
      <c r="AU155" s="1353">
        <v>860</v>
      </c>
      <c r="AV155" s="106" t="s">
        <v>182</v>
      </c>
      <c r="AW155" s="106">
        <v>8</v>
      </c>
      <c r="AX155" s="131" t="s">
        <v>184</v>
      </c>
      <c r="AY155" s="105" t="s">
        <v>182</v>
      </c>
      <c r="AZ155" s="352">
        <v>500</v>
      </c>
      <c r="BA155" s="1355" t="s">
        <v>664</v>
      </c>
      <c r="BB155" s="127">
        <v>5</v>
      </c>
      <c r="BC155" s="1355" t="s">
        <v>664</v>
      </c>
      <c r="BD155" s="352">
        <v>80</v>
      </c>
      <c r="BE155" s="1355" t="s">
        <v>664</v>
      </c>
      <c r="BF155" s="352">
        <v>1</v>
      </c>
      <c r="BH155" s="139" t="s">
        <v>774</v>
      </c>
      <c r="BI155" s="2" t="s">
        <v>182</v>
      </c>
      <c r="BJ155" s="130">
        <v>235</v>
      </c>
      <c r="BK155" s="105" t="s">
        <v>188</v>
      </c>
      <c r="BL155" s="132">
        <v>1250</v>
      </c>
      <c r="BM155" s="153" t="s">
        <v>189</v>
      </c>
      <c r="BN155" s="153">
        <v>10</v>
      </c>
      <c r="BO155" s="154" t="s">
        <v>184</v>
      </c>
      <c r="BP155" s="105" t="s">
        <v>188</v>
      </c>
      <c r="BQ155" s="132">
        <v>5000</v>
      </c>
      <c r="BR155" s="153" t="s">
        <v>189</v>
      </c>
      <c r="BS155" s="153">
        <v>50</v>
      </c>
      <c r="BT155" s="153" t="s">
        <v>184</v>
      </c>
      <c r="BU155" s="154" t="s">
        <v>190</v>
      </c>
      <c r="BV155" s="105" t="s">
        <v>188</v>
      </c>
      <c r="BW155" s="125">
        <v>3670</v>
      </c>
      <c r="BX155" s="150" t="s">
        <v>189</v>
      </c>
      <c r="BY155" s="150">
        <v>30</v>
      </c>
      <c r="BZ155" s="150" t="s">
        <v>184</v>
      </c>
      <c r="CA155" s="151" t="s">
        <v>190</v>
      </c>
      <c r="CC155" s="152" t="s">
        <v>191</v>
      </c>
    </row>
    <row r="156" spans="1:81" ht="37.5">
      <c r="A156" s="1403"/>
      <c r="B156" s="129"/>
      <c r="C156" s="130"/>
      <c r="D156" s="122" t="s">
        <v>192</v>
      </c>
      <c r="F156" s="332">
        <v>34850</v>
      </c>
      <c r="G156" s="333"/>
      <c r="H156" s="105" t="s">
        <v>182</v>
      </c>
      <c r="I156" s="334">
        <v>330</v>
      </c>
      <c r="J156" s="335"/>
      <c r="K156" s="336" t="s">
        <v>661</v>
      </c>
      <c r="M156" s="1354"/>
      <c r="N156" s="106"/>
      <c r="O156" s="106"/>
      <c r="P156" s="131"/>
      <c r="R156" s="1354"/>
      <c r="S156" s="106"/>
      <c r="T156" s="106"/>
      <c r="U156" s="131"/>
      <c r="V156" s="105" t="s">
        <v>182</v>
      </c>
      <c r="W156" s="334">
        <v>7500</v>
      </c>
      <c r="X156" s="133">
        <v>70</v>
      </c>
      <c r="Y156" s="122" t="s">
        <v>183</v>
      </c>
      <c r="Z156" s="105" t="s">
        <v>182</v>
      </c>
      <c r="AA156" s="345">
        <v>52550</v>
      </c>
      <c r="AB156" s="134" t="s">
        <v>182</v>
      </c>
      <c r="AC156" s="134">
        <v>520</v>
      </c>
      <c r="AD156" s="135" t="s">
        <v>184</v>
      </c>
      <c r="AE156" s="105" t="s">
        <v>182</v>
      </c>
      <c r="AF156" s="345">
        <v>45050</v>
      </c>
      <c r="AG156" s="134" t="s">
        <v>182</v>
      </c>
      <c r="AH156" s="134">
        <v>450</v>
      </c>
      <c r="AI156" s="135" t="s">
        <v>184</v>
      </c>
      <c r="AK156" s="1357"/>
      <c r="AL156" s="106"/>
      <c r="AM156" s="106"/>
      <c r="AN156" s="131"/>
      <c r="AP156" s="348">
        <v>5000</v>
      </c>
      <c r="AQ156" s="106"/>
      <c r="AR156" s="106"/>
      <c r="AS156" s="131"/>
      <c r="AU156" s="1354"/>
      <c r="AV156" s="106"/>
      <c r="AW156" s="106"/>
      <c r="AX156" s="131"/>
      <c r="AZ156" s="353" t="s">
        <v>766</v>
      </c>
      <c r="BA156" s="1355"/>
      <c r="BB156" s="136" t="s">
        <v>767</v>
      </c>
      <c r="BC156" s="1355"/>
      <c r="BD156" s="353" t="s">
        <v>766</v>
      </c>
      <c r="BE156" s="1355"/>
      <c r="BF156" s="353" t="s">
        <v>663</v>
      </c>
      <c r="BH156" s="140">
        <v>5220</v>
      </c>
      <c r="BJ156" s="130" t="s">
        <v>785</v>
      </c>
      <c r="BL156" s="132"/>
      <c r="BM156" s="153"/>
      <c r="BN156" s="153"/>
      <c r="BO156" s="154"/>
      <c r="BQ156" s="132"/>
      <c r="BR156" s="153"/>
      <c r="BS156" s="153"/>
      <c r="BT156" s="153"/>
      <c r="BU156" s="154"/>
      <c r="BW156" s="109"/>
      <c r="BX156" s="146"/>
      <c r="BY156" s="146"/>
      <c r="BZ156" s="146"/>
      <c r="CA156" s="147"/>
      <c r="CC156" s="152">
        <v>0.9</v>
      </c>
    </row>
    <row r="157" spans="1:81" ht="75">
      <c r="A157" s="1403"/>
      <c r="B157" s="120" t="s">
        <v>206</v>
      </c>
      <c r="C157" s="121" t="s">
        <v>180</v>
      </c>
      <c r="D157" s="122" t="s">
        <v>181</v>
      </c>
      <c r="F157" s="327">
        <v>26870</v>
      </c>
      <c r="G157" s="328">
        <v>34370</v>
      </c>
      <c r="H157" s="105" t="s">
        <v>182</v>
      </c>
      <c r="I157" s="329">
        <v>250</v>
      </c>
      <c r="J157" s="330">
        <v>320</v>
      </c>
      <c r="K157" s="331" t="s">
        <v>661</v>
      </c>
      <c r="L157" s="105" t="s">
        <v>182</v>
      </c>
      <c r="M157" s="1353">
        <v>990</v>
      </c>
      <c r="N157" s="123" t="s">
        <v>182</v>
      </c>
      <c r="O157" s="123">
        <v>9</v>
      </c>
      <c r="P157" s="124" t="s">
        <v>184</v>
      </c>
      <c r="Q157" s="105" t="s">
        <v>182</v>
      </c>
      <c r="R157" s="1353">
        <v>4290</v>
      </c>
      <c r="S157" s="123" t="s">
        <v>182</v>
      </c>
      <c r="T157" s="123">
        <v>40</v>
      </c>
      <c r="U157" s="124" t="s">
        <v>184</v>
      </c>
      <c r="V157" s="105" t="s">
        <v>182</v>
      </c>
      <c r="W157" s="342">
        <v>7500</v>
      </c>
      <c r="X157" s="126">
        <v>70</v>
      </c>
      <c r="Y157" s="122" t="s">
        <v>183</v>
      </c>
      <c r="AA157" s="344"/>
      <c r="AF157" s="344" t="s">
        <v>185</v>
      </c>
      <c r="AJ157" s="105" t="s">
        <v>182</v>
      </c>
      <c r="AK157" s="1356" t="s">
        <v>188</v>
      </c>
      <c r="AL157" s="106" t="s">
        <v>182</v>
      </c>
      <c r="AM157" s="106" t="s">
        <v>188</v>
      </c>
      <c r="AN157" s="131"/>
      <c r="AP157" s="349" t="s">
        <v>207</v>
      </c>
      <c r="AQ157" s="106" t="s">
        <v>182</v>
      </c>
      <c r="AR157" s="106">
        <v>40</v>
      </c>
      <c r="AS157" s="131" t="s">
        <v>187</v>
      </c>
      <c r="AT157" s="105" t="s">
        <v>182</v>
      </c>
      <c r="AU157" s="1353">
        <v>740</v>
      </c>
      <c r="AV157" s="123" t="s">
        <v>182</v>
      </c>
      <c r="AW157" s="123">
        <v>7</v>
      </c>
      <c r="AX157" s="124" t="s">
        <v>184</v>
      </c>
      <c r="AY157" s="105" t="s">
        <v>182</v>
      </c>
      <c r="AZ157" s="352">
        <v>440</v>
      </c>
      <c r="BA157" s="1355" t="s">
        <v>664</v>
      </c>
      <c r="BB157" s="127">
        <v>4</v>
      </c>
      <c r="BC157" s="1355" t="s">
        <v>664</v>
      </c>
      <c r="BD157" s="352">
        <v>80</v>
      </c>
      <c r="BE157" s="1355" t="s">
        <v>664</v>
      </c>
      <c r="BF157" s="352">
        <v>1</v>
      </c>
      <c r="BH157" s="139" t="s">
        <v>775</v>
      </c>
      <c r="BI157" s="2" t="s">
        <v>182</v>
      </c>
      <c r="BJ157" s="121">
        <v>235</v>
      </c>
      <c r="BK157" s="105" t="s">
        <v>188</v>
      </c>
      <c r="BL157" s="125">
        <v>1070</v>
      </c>
      <c r="BM157" s="150" t="s">
        <v>189</v>
      </c>
      <c r="BN157" s="150">
        <v>10</v>
      </c>
      <c r="BO157" s="151" t="s">
        <v>184</v>
      </c>
      <c r="BP157" s="105" t="s">
        <v>188</v>
      </c>
      <c r="BQ157" s="125">
        <v>4290</v>
      </c>
      <c r="BR157" s="150" t="s">
        <v>189</v>
      </c>
      <c r="BS157" s="150">
        <v>40</v>
      </c>
      <c r="BT157" s="150" t="s">
        <v>184</v>
      </c>
      <c r="BU157" s="151" t="s">
        <v>190</v>
      </c>
      <c r="BV157" s="105" t="s">
        <v>188</v>
      </c>
      <c r="BW157" s="132">
        <v>3150</v>
      </c>
      <c r="BX157" s="153" t="s">
        <v>189</v>
      </c>
      <c r="BY157" s="153">
        <v>30</v>
      </c>
      <c r="BZ157" s="153" t="s">
        <v>184</v>
      </c>
      <c r="CA157" s="154" t="s">
        <v>190</v>
      </c>
      <c r="CC157" s="152" t="s">
        <v>191</v>
      </c>
    </row>
    <row r="158" spans="1:81" ht="37.5">
      <c r="A158" s="1403"/>
      <c r="B158" s="103"/>
      <c r="C158" s="104"/>
      <c r="D158" s="122" t="s">
        <v>192</v>
      </c>
      <c r="F158" s="332">
        <v>34370</v>
      </c>
      <c r="G158" s="333"/>
      <c r="H158" s="105" t="s">
        <v>182</v>
      </c>
      <c r="I158" s="334">
        <v>320</v>
      </c>
      <c r="J158" s="335"/>
      <c r="K158" s="336" t="s">
        <v>661</v>
      </c>
      <c r="M158" s="1354"/>
      <c r="N158" s="310"/>
      <c r="O158" s="310"/>
      <c r="P158" s="311"/>
      <c r="R158" s="1354"/>
      <c r="S158" s="310"/>
      <c r="T158" s="310"/>
      <c r="U158" s="311"/>
      <c r="V158" s="105" t="s">
        <v>182</v>
      </c>
      <c r="W158" s="334">
        <v>7500</v>
      </c>
      <c r="X158" s="133">
        <v>70</v>
      </c>
      <c r="Y158" s="122" t="s">
        <v>183</v>
      </c>
      <c r="Z158" s="105" t="s">
        <v>182</v>
      </c>
      <c r="AA158" s="345">
        <v>52550</v>
      </c>
      <c r="AB158" s="134" t="s">
        <v>182</v>
      </c>
      <c r="AC158" s="134">
        <v>520</v>
      </c>
      <c r="AD158" s="135" t="s">
        <v>184</v>
      </c>
      <c r="AE158" s="105" t="s">
        <v>182</v>
      </c>
      <c r="AF158" s="345">
        <v>45050</v>
      </c>
      <c r="AG158" s="134" t="s">
        <v>182</v>
      </c>
      <c r="AH158" s="134">
        <v>450</v>
      </c>
      <c r="AI158" s="135" t="s">
        <v>184</v>
      </c>
      <c r="AK158" s="1357"/>
      <c r="AL158" s="106"/>
      <c r="AM158" s="106"/>
      <c r="AN158" s="131"/>
      <c r="AP158" s="348">
        <v>4290</v>
      </c>
      <c r="AQ158" s="106"/>
      <c r="AR158" s="106"/>
      <c r="AS158" s="131"/>
      <c r="AU158" s="1354"/>
      <c r="AV158" s="110"/>
      <c r="AW158" s="110"/>
      <c r="AX158" s="108"/>
      <c r="AZ158" s="353" t="s">
        <v>766</v>
      </c>
      <c r="BA158" s="1355"/>
      <c r="BB158" s="136" t="s">
        <v>767</v>
      </c>
      <c r="BC158" s="1355"/>
      <c r="BD158" s="353" t="s">
        <v>766</v>
      </c>
      <c r="BE158" s="1355"/>
      <c r="BF158" s="353" t="s">
        <v>663</v>
      </c>
      <c r="BH158" s="140">
        <v>4660</v>
      </c>
      <c r="BJ158" s="104" t="s">
        <v>785</v>
      </c>
      <c r="BL158" s="109"/>
      <c r="BM158" s="146"/>
      <c r="BN158" s="146"/>
      <c r="BO158" s="147"/>
      <c r="BQ158" s="109"/>
      <c r="BR158" s="146"/>
      <c r="BS158" s="146"/>
      <c r="BT158" s="146"/>
      <c r="BU158" s="147"/>
      <c r="BW158" s="132"/>
      <c r="BX158" s="153"/>
      <c r="BY158" s="153"/>
      <c r="BZ158" s="153"/>
      <c r="CA158" s="154"/>
      <c r="CC158" s="152">
        <v>0.91</v>
      </c>
    </row>
    <row r="159" spans="1:81" ht="75">
      <c r="A159" s="1403"/>
      <c r="B159" s="129" t="s">
        <v>208</v>
      </c>
      <c r="C159" s="130" t="s">
        <v>180</v>
      </c>
      <c r="D159" s="122" t="s">
        <v>181</v>
      </c>
      <c r="F159" s="327">
        <v>25940</v>
      </c>
      <c r="G159" s="328">
        <v>33440</v>
      </c>
      <c r="H159" s="105" t="s">
        <v>182</v>
      </c>
      <c r="I159" s="329">
        <v>240</v>
      </c>
      <c r="J159" s="330">
        <v>310</v>
      </c>
      <c r="K159" s="331" t="s">
        <v>661</v>
      </c>
      <c r="L159" s="105" t="s">
        <v>182</v>
      </c>
      <c r="M159" s="1353">
        <v>870</v>
      </c>
      <c r="N159" s="106" t="s">
        <v>182</v>
      </c>
      <c r="O159" s="106">
        <v>8</v>
      </c>
      <c r="P159" s="131" t="s">
        <v>184</v>
      </c>
      <c r="Q159" s="105" t="s">
        <v>182</v>
      </c>
      <c r="R159" s="1353">
        <v>3750</v>
      </c>
      <c r="S159" s="106" t="s">
        <v>182</v>
      </c>
      <c r="T159" s="106">
        <v>30</v>
      </c>
      <c r="U159" s="131" t="s">
        <v>184</v>
      </c>
      <c r="V159" s="105" t="s">
        <v>182</v>
      </c>
      <c r="W159" s="342">
        <v>7500</v>
      </c>
      <c r="X159" s="126">
        <v>70</v>
      </c>
      <c r="Y159" s="122" t="s">
        <v>183</v>
      </c>
      <c r="AA159" s="344"/>
      <c r="AF159" s="344" t="s">
        <v>185</v>
      </c>
      <c r="AJ159" s="105" t="s">
        <v>182</v>
      </c>
      <c r="AK159" s="1356" t="s">
        <v>188</v>
      </c>
      <c r="AL159" s="106" t="s">
        <v>182</v>
      </c>
      <c r="AM159" s="106" t="s">
        <v>188</v>
      </c>
      <c r="AN159" s="131"/>
      <c r="AP159" s="349" t="s">
        <v>209</v>
      </c>
      <c r="AQ159" s="106" t="s">
        <v>182</v>
      </c>
      <c r="AR159" s="106">
        <v>30</v>
      </c>
      <c r="AS159" s="131" t="s">
        <v>187</v>
      </c>
      <c r="AT159" s="105" t="s">
        <v>182</v>
      </c>
      <c r="AU159" s="1353">
        <v>650</v>
      </c>
      <c r="AV159" s="106" t="s">
        <v>182</v>
      </c>
      <c r="AW159" s="106">
        <v>6</v>
      </c>
      <c r="AX159" s="131" t="s">
        <v>184</v>
      </c>
      <c r="AY159" s="105" t="s">
        <v>182</v>
      </c>
      <c r="AZ159" s="352">
        <v>410</v>
      </c>
      <c r="BA159" s="1355" t="s">
        <v>664</v>
      </c>
      <c r="BB159" s="127">
        <v>4</v>
      </c>
      <c r="BC159" s="1355" t="s">
        <v>664</v>
      </c>
      <c r="BD159" s="352">
        <v>70</v>
      </c>
      <c r="BE159" s="1355" t="s">
        <v>664</v>
      </c>
      <c r="BF159" s="352">
        <v>1</v>
      </c>
      <c r="BH159" s="139" t="s">
        <v>776</v>
      </c>
      <c r="BI159" s="2" t="s">
        <v>182</v>
      </c>
      <c r="BJ159" s="130">
        <v>235</v>
      </c>
      <c r="BK159" s="105" t="s">
        <v>188</v>
      </c>
      <c r="BL159" s="132">
        <v>930</v>
      </c>
      <c r="BM159" s="153" t="s">
        <v>189</v>
      </c>
      <c r="BN159" s="153">
        <v>9</v>
      </c>
      <c r="BO159" s="154" t="s">
        <v>184</v>
      </c>
      <c r="BP159" s="105" t="s">
        <v>188</v>
      </c>
      <c r="BQ159" s="132">
        <v>3750</v>
      </c>
      <c r="BR159" s="153" t="s">
        <v>189</v>
      </c>
      <c r="BS159" s="153">
        <v>30</v>
      </c>
      <c r="BT159" s="153" t="s">
        <v>184</v>
      </c>
      <c r="BU159" s="154" t="s">
        <v>190</v>
      </c>
      <c r="BV159" s="105" t="s">
        <v>188</v>
      </c>
      <c r="BW159" s="125">
        <v>2750</v>
      </c>
      <c r="BX159" s="150" t="s">
        <v>189</v>
      </c>
      <c r="BY159" s="150">
        <v>20</v>
      </c>
      <c r="BZ159" s="150" t="s">
        <v>184</v>
      </c>
      <c r="CA159" s="151" t="s">
        <v>190</v>
      </c>
      <c r="CC159" s="152" t="s">
        <v>191</v>
      </c>
    </row>
    <row r="160" spans="1:81" ht="37.5">
      <c r="A160" s="1403"/>
      <c r="B160" s="129"/>
      <c r="C160" s="130"/>
      <c r="D160" s="122" t="s">
        <v>192</v>
      </c>
      <c r="F160" s="332">
        <v>33440</v>
      </c>
      <c r="G160" s="333"/>
      <c r="H160" s="105" t="s">
        <v>182</v>
      </c>
      <c r="I160" s="334">
        <v>310</v>
      </c>
      <c r="J160" s="335"/>
      <c r="K160" s="336" t="s">
        <v>661</v>
      </c>
      <c r="M160" s="1354"/>
      <c r="N160" s="106"/>
      <c r="O160" s="106"/>
      <c r="P160" s="131"/>
      <c r="R160" s="1354"/>
      <c r="S160" s="106"/>
      <c r="T160" s="106"/>
      <c r="U160" s="131"/>
      <c r="V160" s="105" t="s">
        <v>182</v>
      </c>
      <c r="W160" s="334">
        <v>7500</v>
      </c>
      <c r="X160" s="133">
        <v>70</v>
      </c>
      <c r="Y160" s="122" t="s">
        <v>183</v>
      </c>
      <c r="Z160" s="105" t="s">
        <v>182</v>
      </c>
      <c r="AA160" s="345">
        <v>52550</v>
      </c>
      <c r="AB160" s="134" t="s">
        <v>182</v>
      </c>
      <c r="AC160" s="134">
        <v>520</v>
      </c>
      <c r="AD160" s="135" t="s">
        <v>184</v>
      </c>
      <c r="AE160" s="105" t="s">
        <v>182</v>
      </c>
      <c r="AF160" s="345">
        <v>45050</v>
      </c>
      <c r="AG160" s="134" t="s">
        <v>182</v>
      </c>
      <c r="AH160" s="134">
        <v>450</v>
      </c>
      <c r="AI160" s="135" t="s">
        <v>184</v>
      </c>
      <c r="AK160" s="1357"/>
      <c r="AL160" s="106"/>
      <c r="AM160" s="106"/>
      <c r="AN160" s="131"/>
      <c r="AP160" s="348">
        <v>3750</v>
      </c>
      <c r="AQ160" s="106"/>
      <c r="AR160" s="106"/>
      <c r="AS160" s="131"/>
      <c r="AU160" s="1354"/>
      <c r="AV160" s="106"/>
      <c r="AW160" s="106"/>
      <c r="AX160" s="131"/>
      <c r="AZ160" s="353" t="s">
        <v>766</v>
      </c>
      <c r="BA160" s="1355"/>
      <c r="BB160" s="136" t="s">
        <v>767</v>
      </c>
      <c r="BC160" s="1355"/>
      <c r="BD160" s="353" t="s">
        <v>766</v>
      </c>
      <c r="BE160" s="1355"/>
      <c r="BF160" s="353" t="s">
        <v>663</v>
      </c>
      <c r="BH160" s="140">
        <v>4250</v>
      </c>
      <c r="BJ160" s="130" t="s">
        <v>785</v>
      </c>
      <c r="BL160" s="132"/>
      <c r="BM160" s="153"/>
      <c r="BN160" s="153"/>
      <c r="BO160" s="154"/>
      <c r="BQ160" s="132"/>
      <c r="BR160" s="153"/>
      <c r="BS160" s="153"/>
      <c r="BT160" s="153"/>
      <c r="BU160" s="154"/>
      <c r="BW160" s="109"/>
      <c r="BX160" s="146"/>
      <c r="BY160" s="146"/>
      <c r="BZ160" s="146"/>
      <c r="CA160" s="147"/>
      <c r="CC160" s="152">
        <v>0.92</v>
      </c>
    </row>
    <row r="161" spans="1:81" ht="75">
      <c r="A161" s="1403"/>
      <c r="B161" s="120" t="s">
        <v>210</v>
      </c>
      <c r="C161" s="121" t="s">
        <v>180</v>
      </c>
      <c r="D161" s="122" t="s">
        <v>181</v>
      </c>
      <c r="F161" s="327">
        <v>25200</v>
      </c>
      <c r="G161" s="328">
        <v>32700</v>
      </c>
      <c r="H161" s="105" t="s">
        <v>182</v>
      </c>
      <c r="I161" s="329">
        <v>230</v>
      </c>
      <c r="J161" s="330">
        <v>300</v>
      </c>
      <c r="K161" s="331" t="s">
        <v>661</v>
      </c>
      <c r="L161" s="105" t="s">
        <v>182</v>
      </c>
      <c r="M161" s="1353">
        <v>770</v>
      </c>
      <c r="N161" s="123" t="s">
        <v>182</v>
      </c>
      <c r="O161" s="123">
        <v>7</v>
      </c>
      <c r="P161" s="124" t="s">
        <v>184</v>
      </c>
      <c r="Q161" s="105" t="s">
        <v>182</v>
      </c>
      <c r="R161" s="1353">
        <v>3330</v>
      </c>
      <c r="S161" s="123" t="s">
        <v>182</v>
      </c>
      <c r="T161" s="123">
        <v>30</v>
      </c>
      <c r="U161" s="124" t="s">
        <v>184</v>
      </c>
      <c r="V161" s="105" t="s">
        <v>182</v>
      </c>
      <c r="W161" s="342">
        <v>7500</v>
      </c>
      <c r="X161" s="126">
        <v>70</v>
      </c>
      <c r="Y161" s="122" t="s">
        <v>183</v>
      </c>
      <c r="AA161" s="344"/>
      <c r="AF161" s="344" t="s">
        <v>185</v>
      </c>
      <c r="AJ161" s="105" t="s">
        <v>182</v>
      </c>
      <c r="AK161" s="1356">
        <v>640</v>
      </c>
      <c r="AL161" s="106" t="s">
        <v>182</v>
      </c>
      <c r="AM161" s="106">
        <v>6</v>
      </c>
      <c r="AN161" s="131" t="s">
        <v>184</v>
      </c>
      <c r="AP161" s="349" t="s">
        <v>211</v>
      </c>
      <c r="AQ161" s="106" t="s">
        <v>182</v>
      </c>
      <c r="AR161" s="106">
        <v>30</v>
      </c>
      <c r="AS161" s="131" t="s">
        <v>187</v>
      </c>
      <c r="AT161" s="105" t="s">
        <v>182</v>
      </c>
      <c r="AU161" s="1353">
        <v>570</v>
      </c>
      <c r="AV161" s="123" t="s">
        <v>182</v>
      </c>
      <c r="AW161" s="123">
        <v>5</v>
      </c>
      <c r="AX161" s="124" t="s">
        <v>184</v>
      </c>
      <c r="AY161" s="105" t="s">
        <v>182</v>
      </c>
      <c r="AZ161" s="352">
        <v>370</v>
      </c>
      <c r="BA161" s="1355" t="s">
        <v>664</v>
      </c>
      <c r="BB161" s="127">
        <v>3</v>
      </c>
      <c r="BC161" s="1355" t="s">
        <v>664</v>
      </c>
      <c r="BD161" s="352">
        <v>60</v>
      </c>
      <c r="BE161" s="1355" t="s">
        <v>664</v>
      </c>
      <c r="BF161" s="352">
        <v>1</v>
      </c>
      <c r="BH161" s="139" t="s">
        <v>777</v>
      </c>
      <c r="BI161" s="2" t="s">
        <v>182</v>
      </c>
      <c r="BJ161" s="121">
        <v>235</v>
      </c>
      <c r="BK161" s="105" t="s">
        <v>188</v>
      </c>
      <c r="BL161" s="125">
        <v>830</v>
      </c>
      <c r="BM161" s="150" t="s">
        <v>189</v>
      </c>
      <c r="BN161" s="150">
        <v>8</v>
      </c>
      <c r="BO161" s="151" t="s">
        <v>184</v>
      </c>
      <c r="BP161" s="105" t="s">
        <v>188</v>
      </c>
      <c r="BQ161" s="125">
        <v>3330</v>
      </c>
      <c r="BR161" s="150" t="s">
        <v>189</v>
      </c>
      <c r="BS161" s="150">
        <v>30</v>
      </c>
      <c r="BT161" s="150" t="s">
        <v>184</v>
      </c>
      <c r="BU161" s="151" t="s">
        <v>190</v>
      </c>
      <c r="BV161" s="105" t="s">
        <v>188</v>
      </c>
      <c r="BW161" s="132">
        <v>2450</v>
      </c>
      <c r="BX161" s="153" t="s">
        <v>189</v>
      </c>
      <c r="BY161" s="153">
        <v>20</v>
      </c>
      <c r="BZ161" s="153" t="s">
        <v>184</v>
      </c>
      <c r="CA161" s="154" t="s">
        <v>190</v>
      </c>
      <c r="CC161" s="152" t="s">
        <v>191</v>
      </c>
    </row>
    <row r="162" spans="1:81" ht="37.5">
      <c r="A162" s="1403"/>
      <c r="B162" s="103"/>
      <c r="C162" s="104"/>
      <c r="D162" s="122" t="s">
        <v>192</v>
      </c>
      <c r="F162" s="332">
        <v>32700</v>
      </c>
      <c r="G162" s="333"/>
      <c r="H162" s="105" t="s">
        <v>182</v>
      </c>
      <c r="I162" s="334">
        <v>300</v>
      </c>
      <c r="J162" s="335"/>
      <c r="K162" s="336" t="s">
        <v>661</v>
      </c>
      <c r="M162" s="1354"/>
      <c r="N162" s="310"/>
      <c r="O162" s="310"/>
      <c r="P162" s="311"/>
      <c r="R162" s="1354"/>
      <c r="S162" s="310"/>
      <c r="T162" s="310"/>
      <c r="U162" s="311"/>
      <c r="V162" s="105" t="s">
        <v>182</v>
      </c>
      <c r="W162" s="334">
        <v>7500</v>
      </c>
      <c r="X162" s="133">
        <v>70</v>
      </c>
      <c r="Y162" s="122" t="s">
        <v>183</v>
      </c>
      <c r="Z162" s="105" t="s">
        <v>182</v>
      </c>
      <c r="AA162" s="345">
        <v>52550</v>
      </c>
      <c r="AB162" s="134" t="s">
        <v>182</v>
      </c>
      <c r="AC162" s="134">
        <v>520</v>
      </c>
      <c r="AD162" s="135" t="s">
        <v>184</v>
      </c>
      <c r="AE162" s="105" t="s">
        <v>182</v>
      </c>
      <c r="AF162" s="345">
        <v>45050</v>
      </c>
      <c r="AG162" s="134" t="s">
        <v>182</v>
      </c>
      <c r="AH162" s="134">
        <v>450</v>
      </c>
      <c r="AI162" s="135" t="s">
        <v>184</v>
      </c>
      <c r="AK162" s="1357"/>
      <c r="AL162" s="106"/>
      <c r="AM162" s="106"/>
      <c r="AN162" s="131"/>
      <c r="AP162" s="348">
        <v>3330</v>
      </c>
      <c r="AQ162" s="106"/>
      <c r="AR162" s="106"/>
      <c r="AS162" s="131"/>
      <c r="AU162" s="1354"/>
      <c r="AV162" s="110"/>
      <c r="AW162" s="110"/>
      <c r="AX162" s="108"/>
      <c r="AZ162" s="353" t="s">
        <v>766</v>
      </c>
      <c r="BA162" s="1355"/>
      <c r="BB162" s="136" t="s">
        <v>767</v>
      </c>
      <c r="BC162" s="1355"/>
      <c r="BD162" s="353" t="s">
        <v>766</v>
      </c>
      <c r="BE162" s="1355"/>
      <c r="BF162" s="353" t="s">
        <v>663</v>
      </c>
      <c r="BH162" s="140">
        <v>3920</v>
      </c>
      <c r="BJ162" s="104" t="s">
        <v>785</v>
      </c>
      <c r="BL162" s="109"/>
      <c r="BM162" s="146"/>
      <c r="BN162" s="146"/>
      <c r="BO162" s="147"/>
      <c r="BQ162" s="109"/>
      <c r="BR162" s="146"/>
      <c r="BS162" s="146"/>
      <c r="BT162" s="146"/>
      <c r="BU162" s="147"/>
      <c r="BW162" s="132"/>
      <c r="BX162" s="153"/>
      <c r="BY162" s="153"/>
      <c r="BZ162" s="153"/>
      <c r="CA162" s="154"/>
      <c r="CC162" s="152">
        <v>0.96</v>
      </c>
    </row>
    <row r="163" spans="1:81" ht="75">
      <c r="A163" s="1403"/>
      <c r="B163" s="129" t="s">
        <v>212</v>
      </c>
      <c r="C163" s="130" t="s">
        <v>180</v>
      </c>
      <c r="D163" s="122" t="s">
        <v>181</v>
      </c>
      <c r="F163" s="327">
        <v>24630</v>
      </c>
      <c r="G163" s="328">
        <v>32130</v>
      </c>
      <c r="H163" s="105" t="s">
        <v>182</v>
      </c>
      <c r="I163" s="329">
        <v>220</v>
      </c>
      <c r="J163" s="330">
        <v>300</v>
      </c>
      <c r="K163" s="331" t="s">
        <v>661</v>
      </c>
      <c r="L163" s="105" t="s">
        <v>182</v>
      </c>
      <c r="M163" s="1353">
        <v>690</v>
      </c>
      <c r="N163" s="106" t="s">
        <v>182</v>
      </c>
      <c r="O163" s="106">
        <v>6</v>
      </c>
      <c r="P163" s="131" t="s">
        <v>184</v>
      </c>
      <c r="Q163" s="105" t="s">
        <v>182</v>
      </c>
      <c r="R163" s="1353">
        <v>3000</v>
      </c>
      <c r="S163" s="106" t="s">
        <v>182</v>
      </c>
      <c r="T163" s="106">
        <v>30</v>
      </c>
      <c r="U163" s="131" t="s">
        <v>184</v>
      </c>
      <c r="V163" s="105" t="s">
        <v>182</v>
      </c>
      <c r="W163" s="342">
        <v>7500</v>
      </c>
      <c r="X163" s="126">
        <v>70</v>
      </c>
      <c r="Y163" s="122" t="s">
        <v>183</v>
      </c>
      <c r="AA163" s="344"/>
      <c r="AF163" s="344" t="s">
        <v>185</v>
      </c>
      <c r="AJ163" s="105" t="s">
        <v>182</v>
      </c>
      <c r="AK163" s="1356">
        <v>570</v>
      </c>
      <c r="AL163" s="123" t="s">
        <v>182</v>
      </c>
      <c r="AM163" s="123">
        <v>5</v>
      </c>
      <c r="AN163" s="124" t="s">
        <v>184</v>
      </c>
      <c r="AP163" s="349" t="s">
        <v>213</v>
      </c>
      <c r="AQ163" s="106" t="s">
        <v>182</v>
      </c>
      <c r="AR163" s="106">
        <v>30</v>
      </c>
      <c r="AS163" s="131" t="s">
        <v>187</v>
      </c>
      <c r="AT163" s="105" t="s">
        <v>182</v>
      </c>
      <c r="AU163" s="1353">
        <v>520</v>
      </c>
      <c r="AV163" s="106" t="s">
        <v>182</v>
      </c>
      <c r="AW163" s="106">
        <v>5</v>
      </c>
      <c r="AX163" s="131" t="s">
        <v>184</v>
      </c>
      <c r="AY163" s="105" t="s">
        <v>182</v>
      </c>
      <c r="AZ163" s="352">
        <v>350</v>
      </c>
      <c r="BA163" s="1355" t="s">
        <v>664</v>
      </c>
      <c r="BB163" s="127">
        <v>3</v>
      </c>
      <c r="BC163" s="1355" t="s">
        <v>664</v>
      </c>
      <c r="BD163" s="352">
        <v>60</v>
      </c>
      <c r="BE163" s="1355" t="s">
        <v>664</v>
      </c>
      <c r="BF163" s="352">
        <v>1</v>
      </c>
      <c r="BH163" s="139" t="s">
        <v>778</v>
      </c>
      <c r="BI163" s="2" t="s">
        <v>182</v>
      </c>
      <c r="BJ163" s="130">
        <v>235</v>
      </c>
      <c r="BK163" s="105" t="s">
        <v>188</v>
      </c>
      <c r="BL163" s="132">
        <v>750</v>
      </c>
      <c r="BM163" s="153" t="s">
        <v>189</v>
      </c>
      <c r="BN163" s="153">
        <v>8</v>
      </c>
      <c r="BO163" s="154" t="s">
        <v>184</v>
      </c>
      <c r="BP163" s="105" t="s">
        <v>188</v>
      </c>
      <c r="BQ163" s="132">
        <v>3000</v>
      </c>
      <c r="BR163" s="153" t="s">
        <v>189</v>
      </c>
      <c r="BS163" s="153">
        <v>30</v>
      </c>
      <c r="BT163" s="153" t="s">
        <v>184</v>
      </c>
      <c r="BU163" s="154" t="s">
        <v>190</v>
      </c>
      <c r="BV163" s="105" t="s">
        <v>188</v>
      </c>
      <c r="BW163" s="125">
        <v>2200</v>
      </c>
      <c r="BX163" s="150" t="s">
        <v>189</v>
      </c>
      <c r="BY163" s="150">
        <v>20</v>
      </c>
      <c r="BZ163" s="150" t="s">
        <v>184</v>
      </c>
      <c r="CA163" s="151" t="s">
        <v>190</v>
      </c>
      <c r="CC163" s="152" t="s">
        <v>191</v>
      </c>
    </row>
    <row r="164" spans="1:81" ht="37.5">
      <c r="A164" s="1403"/>
      <c r="B164" s="129"/>
      <c r="C164" s="130"/>
      <c r="D164" s="122" t="s">
        <v>192</v>
      </c>
      <c r="F164" s="332">
        <v>32130</v>
      </c>
      <c r="G164" s="333"/>
      <c r="H164" s="105" t="s">
        <v>182</v>
      </c>
      <c r="I164" s="334">
        <v>300</v>
      </c>
      <c r="J164" s="335"/>
      <c r="K164" s="336" t="s">
        <v>661</v>
      </c>
      <c r="M164" s="1354"/>
      <c r="N164" s="106"/>
      <c r="O164" s="106"/>
      <c r="P164" s="131"/>
      <c r="R164" s="1354"/>
      <c r="S164" s="106"/>
      <c r="T164" s="106"/>
      <c r="U164" s="131"/>
      <c r="V164" s="105" t="s">
        <v>182</v>
      </c>
      <c r="W164" s="334">
        <v>7500</v>
      </c>
      <c r="X164" s="133">
        <v>70</v>
      </c>
      <c r="Y164" s="122" t="s">
        <v>183</v>
      </c>
      <c r="Z164" s="105" t="s">
        <v>182</v>
      </c>
      <c r="AA164" s="345">
        <v>52550</v>
      </c>
      <c r="AB164" s="134" t="s">
        <v>182</v>
      </c>
      <c r="AC164" s="134">
        <v>520</v>
      </c>
      <c r="AD164" s="135" t="s">
        <v>184</v>
      </c>
      <c r="AE164" s="105" t="s">
        <v>182</v>
      </c>
      <c r="AF164" s="345">
        <v>45050</v>
      </c>
      <c r="AG164" s="134" t="s">
        <v>182</v>
      </c>
      <c r="AH164" s="134">
        <v>450</v>
      </c>
      <c r="AI164" s="135" t="s">
        <v>184</v>
      </c>
      <c r="AK164" s="1357"/>
      <c r="AL164" s="110"/>
      <c r="AM164" s="110"/>
      <c r="AN164" s="108"/>
      <c r="AP164" s="348">
        <v>3000</v>
      </c>
      <c r="AQ164" s="106"/>
      <c r="AR164" s="106"/>
      <c r="AS164" s="131"/>
      <c r="AU164" s="1354"/>
      <c r="AV164" s="106"/>
      <c r="AW164" s="106"/>
      <c r="AX164" s="131"/>
      <c r="AZ164" s="353" t="s">
        <v>766</v>
      </c>
      <c r="BA164" s="1355"/>
      <c r="BB164" s="136" t="s">
        <v>767</v>
      </c>
      <c r="BC164" s="1355"/>
      <c r="BD164" s="353" t="s">
        <v>766</v>
      </c>
      <c r="BE164" s="1355"/>
      <c r="BF164" s="353" t="s">
        <v>663</v>
      </c>
      <c r="BH164" s="140">
        <v>3660</v>
      </c>
      <c r="BJ164" s="130" t="s">
        <v>785</v>
      </c>
      <c r="BL164" s="132"/>
      <c r="BM164" s="153"/>
      <c r="BN164" s="153"/>
      <c r="BO164" s="154"/>
      <c r="BQ164" s="132"/>
      <c r="BR164" s="153"/>
      <c r="BS164" s="153"/>
      <c r="BT164" s="153"/>
      <c r="BU164" s="154"/>
      <c r="BW164" s="109"/>
      <c r="BX164" s="146"/>
      <c r="BY164" s="146"/>
      <c r="BZ164" s="146"/>
      <c r="CA164" s="147"/>
      <c r="CC164" s="152">
        <v>0.99</v>
      </c>
    </row>
    <row r="165" spans="1:81" ht="75">
      <c r="A165" s="1403"/>
      <c r="B165" s="120" t="s">
        <v>214</v>
      </c>
      <c r="C165" s="121" t="s">
        <v>180</v>
      </c>
      <c r="D165" s="122" t="s">
        <v>181</v>
      </c>
      <c r="F165" s="327">
        <v>23760</v>
      </c>
      <c r="G165" s="328">
        <v>31260</v>
      </c>
      <c r="H165" s="105" t="s">
        <v>182</v>
      </c>
      <c r="I165" s="329">
        <v>220</v>
      </c>
      <c r="J165" s="330">
        <v>290</v>
      </c>
      <c r="K165" s="331" t="s">
        <v>661</v>
      </c>
      <c r="L165" s="105" t="s">
        <v>182</v>
      </c>
      <c r="M165" s="1353">
        <v>580</v>
      </c>
      <c r="N165" s="123" t="s">
        <v>182</v>
      </c>
      <c r="O165" s="123">
        <v>5</v>
      </c>
      <c r="P165" s="124" t="s">
        <v>184</v>
      </c>
      <c r="Q165" s="105" t="s">
        <v>182</v>
      </c>
      <c r="R165" s="1353">
        <v>2500</v>
      </c>
      <c r="S165" s="123" t="s">
        <v>182</v>
      </c>
      <c r="T165" s="123">
        <v>20</v>
      </c>
      <c r="U165" s="124" t="s">
        <v>184</v>
      </c>
      <c r="V165" s="105" t="s">
        <v>182</v>
      </c>
      <c r="W165" s="342">
        <v>7500</v>
      </c>
      <c r="X165" s="126">
        <v>70</v>
      </c>
      <c r="Y165" s="122" t="s">
        <v>183</v>
      </c>
      <c r="AA165" s="344"/>
      <c r="AF165" s="344" t="s">
        <v>185</v>
      </c>
      <c r="AJ165" s="105" t="s">
        <v>182</v>
      </c>
      <c r="AK165" s="1356">
        <v>480</v>
      </c>
      <c r="AL165" s="106" t="s">
        <v>182</v>
      </c>
      <c r="AM165" s="106">
        <v>4</v>
      </c>
      <c r="AN165" s="131" t="s">
        <v>184</v>
      </c>
      <c r="AP165" s="349" t="s">
        <v>215</v>
      </c>
      <c r="AQ165" s="106" t="s">
        <v>182</v>
      </c>
      <c r="AR165" s="106">
        <v>20</v>
      </c>
      <c r="AS165" s="131" t="s">
        <v>187</v>
      </c>
      <c r="AT165" s="105" t="s">
        <v>182</v>
      </c>
      <c r="AU165" s="1353">
        <v>500</v>
      </c>
      <c r="AV165" s="123" t="s">
        <v>182</v>
      </c>
      <c r="AW165" s="123">
        <v>5</v>
      </c>
      <c r="AX165" s="124" t="s">
        <v>184</v>
      </c>
      <c r="AY165" s="105" t="s">
        <v>182</v>
      </c>
      <c r="AZ165" s="352">
        <v>300</v>
      </c>
      <c r="BA165" s="1355" t="s">
        <v>664</v>
      </c>
      <c r="BB165" s="127">
        <v>3</v>
      </c>
      <c r="BC165" s="1355" t="s">
        <v>664</v>
      </c>
      <c r="BD165" s="352">
        <v>50</v>
      </c>
      <c r="BE165" s="1355" t="s">
        <v>664</v>
      </c>
      <c r="BF165" s="352">
        <v>1</v>
      </c>
      <c r="BH165" s="139" t="s">
        <v>779</v>
      </c>
      <c r="BI165" s="2" t="s">
        <v>182</v>
      </c>
      <c r="BJ165" s="121">
        <v>235</v>
      </c>
      <c r="BK165" s="105" t="s">
        <v>188</v>
      </c>
      <c r="BL165" s="125">
        <v>620</v>
      </c>
      <c r="BM165" s="150" t="s">
        <v>189</v>
      </c>
      <c r="BN165" s="150">
        <v>6</v>
      </c>
      <c r="BO165" s="151" t="s">
        <v>184</v>
      </c>
      <c r="BP165" s="105" t="s">
        <v>188</v>
      </c>
      <c r="BQ165" s="125">
        <v>2500</v>
      </c>
      <c r="BR165" s="150" t="s">
        <v>189</v>
      </c>
      <c r="BS165" s="150">
        <v>20</v>
      </c>
      <c r="BT165" s="150" t="s">
        <v>184</v>
      </c>
      <c r="BU165" s="151" t="s">
        <v>190</v>
      </c>
      <c r="BV165" s="105" t="s">
        <v>188</v>
      </c>
      <c r="BW165" s="132">
        <v>1830</v>
      </c>
      <c r="BX165" s="153" t="s">
        <v>189</v>
      </c>
      <c r="BY165" s="153">
        <v>10</v>
      </c>
      <c r="BZ165" s="153" t="s">
        <v>184</v>
      </c>
      <c r="CA165" s="154" t="s">
        <v>190</v>
      </c>
      <c r="CC165" s="152" t="s">
        <v>191</v>
      </c>
    </row>
    <row r="166" spans="1:81" ht="37.5">
      <c r="A166" s="1403"/>
      <c r="B166" s="103"/>
      <c r="C166" s="104"/>
      <c r="D166" s="122" t="s">
        <v>192</v>
      </c>
      <c r="F166" s="332">
        <v>31260</v>
      </c>
      <c r="G166" s="333"/>
      <c r="H166" s="105" t="s">
        <v>182</v>
      </c>
      <c r="I166" s="334">
        <v>290</v>
      </c>
      <c r="J166" s="335"/>
      <c r="K166" s="336" t="s">
        <v>661</v>
      </c>
      <c r="M166" s="1354"/>
      <c r="N166" s="310"/>
      <c r="O166" s="310"/>
      <c r="P166" s="311"/>
      <c r="R166" s="1354"/>
      <c r="S166" s="310"/>
      <c r="T166" s="310"/>
      <c r="U166" s="311"/>
      <c r="V166" s="105" t="s">
        <v>182</v>
      </c>
      <c r="W166" s="334">
        <v>7500</v>
      </c>
      <c r="X166" s="133">
        <v>70</v>
      </c>
      <c r="Y166" s="122" t="s">
        <v>183</v>
      </c>
      <c r="Z166" s="105" t="s">
        <v>182</v>
      </c>
      <c r="AA166" s="345">
        <v>52550</v>
      </c>
      <c r="AB166" s="134" t="s">
        <v>182</v>
      </c>
      <c r="AC166" s="134">
        <v>520</v>
      </c>
      <c r="AD166" s="135" t="s">
        <v>184</v>
      </c>
      <c r="AE166" s="105" t="s">
        <v>182</v>
      </c>
      <c r="AF166" s="345">
        <v>45050</v>
      </c>
      <c r="AG166" s="134" t="s">
        <v>182</v>
      </c>
      <c r="AH166" s="134">
        <v>450</v>
      </c>
      <c r="AI166" s="135" t="s">
        <v>184</v>
      </c>
      <c r="AK166" s="1357"/>
      <c r="AL166" s="106"/>
      <c r="AM166" s="106"/>
      <c r="AN166" s="131"/>
      <c r="AP166" s="348">
        <v>2500</v>
      </c>
      <c r="AQ166" s="106"/>
      <c r="AR166" s="106"/>
      <c r="AS166" s="131"/>
      <c r="AU166" s="1354"/>
      <c r="AV166" s="110"/>
      <c r="AW166" s="110"/>
      <c r="AX166" s="108"/>
      <c r="AZ166" s="353" t="s">
        <v>766</v>
      </c>
      <c r="BA166" s="1355"/>
      <c r="BB166" s="136" t="s">
        <v>767</v>
      </c>
      <c r="BC166" s="1355"/>
      <c r="BD166" s="353" t="s">
        <v>766</v>
      </c>
      <c r="BE166" s="1355"/>
      <c r="BF166" s="353" t="s">
        <v>663</v>
      </c>
      <c r="BH166" s="140">
        <v>3160</v>
      </c>
      <c r="BJ166" s="104" t="s">
        <v>785</v>
      </c>
      <c r="BL166" s="109"/>
      <c r="BM166" s="146"/>
      <c r="BN166" s="146"/>
      <c r="BO166" s="147"/>
      <c r="BQ166" s="109"/>
      <c r="BR166" s="146"/>
      <c r="BS166" s="146"/>
      <c r="BT166" s="146"/>
      <c r="BU166" s="147"/>
      <c r="BW166" s="132"/>
      <c r="BX166" s="153"/>
      <c r="BY166" s="153"/>
      <c r="BZ166" s="153"/>
      <c r="CA166" s="154"/>
      <c r="CC166" s="152">
        <v>0.92</v>
      </c>
    </row>
    <row r="167" spans="1:81" ht="75">
      <c r="A167" s="1403"/>
      <c r="B167" s="129" t="s">
        <v>216</v>
      </c>
      <c r="C167" s="130" t="s">
        <v>180</v>
      </c>
      <c r="D167" s="122" t="s">
        <v>181</v>
      </c>
      <c r="F167" s="327">
        <v>23120</v>
      </c>
      <c r="G167" s="328">
        <v>30620</v>
      </c>
      <c r="H167" s="105" t="s">
        <v>182</v>
      </c>
      <c r="I167" s="329">
        <v>210</v>
      </c>
      <c r="J167" s="330">
        <v>280</v>
      </c>
      <c r="K167" s="331" t="s">
        <v>661</v>
      </c>
      <c r="L167" s="105" t="s">
        <v>182</v>
      </c>
      <c r="M167" s="1353">
        <v>490</v>
      </c>
      <c r="N167" s="106" t="s">
        <v>182</v>
      </c>
      <c r="O167" s="106">
        <v>4</v>
      </c>
      <c r="P167" s="131" t="s">
        <v>184</v>
      </c>
      <c r="Q167" s="105" t="s">
        <v>182</v>
      </c>
      <c r="R167" s="1353">
        <v>2140</v>
      </c>
      <c r="S167" s="106" t="s">
        <v>182</v>
      </c>
      <c r="T167" s="106">
        <v>20</v>
      </c>
      <c r="U167" s="131" t="s">
        <v>184</v>
      </c>
      <c r="V167" s="105" t="s">
        <v>182</v>
      </c>
      <c r="W167" s="342">
        <v>7500</v>
      </c>
      <c r="X167" s="126">
        <v>70</v>
      </c>
      <c r="Y167" s="122" t="s">
        <v>183</v>
      </c>
      <c r="AA167" s="344"/>
      <c r="AF167" s="344" t="s">
        <v>185</v>
      </c>
      <c r="AJ167" s="105" t="s">
        <v>182</v>
      </c>
      <c r="AK167" s="1356">
        <v>410</v>
      </c>
      <c r="AL167" s="123" t="s">
        <v>182</v>
      </c>
      <c r="AM167" s="123">
        <v>4</v>
      </c>
      <c r="AN167" s="124" t="s">
        <v>184</v>
      </c>
      <c r="AP167" s="349" t="s">
        <v>217</v>
      </c>
      <c r="AQ167" s="106" t="s">
        <v>182</v>
      </c>
      <c r="AR167" s="106">
        <v>20</v>
      </c>
      <c r="AS167" s="131" t="s">
        <v>187</v>
      </c>
      <c r="AT167" s="105" t="s">
        <v>182</v>
      </c>
      <c r="AU167" s="1353">
        <v>500</v>
      </c>
      <c r="AV167" s="106" t="s">
        <v>182</v>
      </c>
      <c r="AW167" s="106">
        <v>5</v>
      </c>
      <c r="AX167" s="131" t="s">
        <v>184</v>
      </c>
      <c r="AY167" s="105" t="s">
        <v>182</v>
      </c>
      <c r="AZ167" s="352">
        <v>270</v>
      </c>
      <c r="BA167" s="1355" t="s">
        <v>664</v>
      </c>
      <c r="BB167" s="127">
        <v>2</v>
      </c>
      <c r="BC167" s="1355" t="s">
        <v>664</v>
      </c>
      <c r="BD167" s="352">
        <v>40</v>
      </c>
      <c r="BE167" s="1355" t="s">
        <v>664</v>
      </c>
      <c r="BF167" s="352">
        <v>1</v>
      </c>
      <c r="BH167" s="139" t="s">
        <v>780</v>
      </c>
      <c r="BI167" s="2" t="s">
        <v>182</v>
      </c>
      <c r="BJ167" s="130">
        <v>235</v>
      </c>
      <c r="BK167" s="105" t="s">
        <v>188</v>
      </c>
      <c r="BL167" s="132">
        <v>530</v>
      </c>
      <c r="BM167" s="153" t="s">
        <v>189</v>
      </c>
      <c r="BN167" s="153">
        <v>5</v>
      </c>
      <c r="BO167" s="154" t="s">
        <v>184</v>
      </c>
      <c r="BP167" s="105" t="s">
        <v>188</v>
      </c>
      <c r="BQ167" s="132">
        <v>2140</v>
      </c>
      <c r="BR167" s="153" t="s">
        <v>189</v>
      </c>
      <c r="BS167" s="153">
        <v>20</v>
      </c>
      <c r="BT167" s="153" t="s">
        <v>184</v>
      </c>
      <c r="BU167" s="154" t="s">
        <v>190</v>
      </c>
      <c r="BV167" s="105" t="s">
        <v>188</v>
      </c>
      <c r="BW167" s="125">
        <v>1570</v>
      </c>
      <c r="BX167" s="150" t="s">
        <v>189</v>
      </c>
      <c r="BY167" s="150">
        <v>10</v>
      </c>
      <c r="BZ167" s="150" t="s">
        <v>184</v>
      </c>
      <c r="CA167" s="151" t="s">
        <v>190</v>
      </c>
      <c r="CC167" s="152" t="s">
        <v>191</v>
      </c>
    </row>
    <row r="168" spans="1:81" ht="37.5">
      <c r="A168" s="1403"/>
      <c r="B168" s="129"/>
      <c r="C168" s="130"/>
      <c r="D168" s="122" t="s">
        <v>192</v>
      </c>
      <c r="F168" s="332">
        <v>30620</v>
      </c>
      <c r="G168" s="333"/>
      <c r="H168" s="105" t="s">
        <v>182</v>
      </c>
      <c r="I168" s="334">
        <v>280</v>
      </c>
      <c r="J168" s="335"/>
      <c r="K168" s="336" t="s">
        <v>661</v>
      </c>
      <c r="M168" s="1354"/>
      <c r="N168" s="106"/>
      <c r="O168" s="106"/>
      <c r="P168" s="131"/>
      <c r="R168" s="1354"/>
      <c r="S168" s="106"/>
      <c r="T168" s="106"/>
      <c r="U168" s="131"/>
      <c r="V168" s="105" t="s">
        <v>182</v>
      </c>
      <c r="W168" s="334">
        <v>7500</v>
      </c>
      <c r="X168" s="133">
        <v>70</v>
      </c>
      <c r="Y168" s="122" t="s">
        <v>183</v>
      </c>
      <c r="Z168" s="105" t="s">
        <v>182</v>
      </c>
      <c r="AA168" s="345">
        <v>52550</v>
      </c>
      <c r="AB168" s="134" t="s">
        <v>182</v>
      </c>
      <c r="AC168" s="134">
        <v>520</v>
      </c>
      <c r="AD168" s="135" t="s">
        <v>184</v>
      </c>
      <c r="AE168" s="105" t="s">
        <v>182</v>
      </c>
      <c r="AF168" s="345">
        <v>45050</v>
      </c>
      <c r="AG168" s="134" t="s">
        <v>182</v>
      </c>
      <c r="AH168" s="134">
        <v>450</v>
      </c>
      <c r="AI168" s="135" t="s">
        <v>184</v>
      </c>
      <c r="AK168" s="1357"/>
      <c r="AL168" s="110"/>
      <c r="AM168" s="110"/>
      <c r="AN168" s="108"/>
      <c r="AP168" s="348">
        <v>2140</v>
      </c>
      <c r="AQ168" s="106"/>
      <c r="AR168" s="106"/>
      <c r="AS168" s="131"/>
      <c r="AU168" s="1354"/>
      <c r="AV168" s="106"/>
      <c r="AW168" s="106"/>
      <c r="AX168" s="131"/>
      <c r="AZ168" s="353" t="s">
        <v>766</v>
      </c>
      <c r="BA168" s="1355"/>
      <c r="BB168" s="136" t="s">
        <v>767</v>
      </c>
      <c r="BC168" s="1355"/>
      <c r="BD168" s="353" t="s">
        <v>766</v>
      </c>
      <c r="BE168" s="1355"/>
      <c r="BF168" s="353" t="s">
        <v>663</v>
      </c>
      <c r="BH168" s="140">
        <v>2810</v>
      </c>
      <c r="BJ168" s="130" t="s">
        <v>785</v>
      </c>
      <c r="BL168" s="132"/>
      <c r="BM168" s="153"/>
      <c r="BN168" s="153"/>
      <c r="BO168" s="154"/>
      <c r="BQ168" s="132"/>
      <c r="BR168" s="153"/>
      <c r="BS168" s="153"/>
      <c r="BT168" s="153"/>
      <c r="BU168" s="154"/>
      <c r="BW168" s="109"/>
      <c r="BX168" s="146"/>
      <c r="BY168" s="146"/>
      <c r="BZ168" s="146"/>
      <c r="CA168" s="147"/>
      <c r="CC168" s="152">
        <v>0.95</v>
      </c>
    </row>
    <row r="169" spans="1:81" ht="75">
      <c r="A169" s="1403"/>
      <c r="B169" s="120" t="s">
        <v>218</v>
      </c>
      <c r="C169" s="121" t="s">
        <v>180</v>
      </c>
      <c r="D169" s="122" t="s">
        <v>181</v>
      </c>
      <c r="F169" s="327">
        <v>22650</v>
      </c>
      <c r="G169" s="328">
        <v>30150</v>
      </c>
      <c r="H169" s="105" t="s">
        <v>182</v>
      </c>
      <c r="I169" s="329">
        <v>200</v>
      </c>
      <c r="J169" s="330">
        <v>280</v>
      </c>
      <c r="K169" s="331" t="s">
        <v>661</v>
      </c>
      <c r="L169" s="105" t="s">
        <v>182</v>
      </c>
      <c r="M169" s="1353">
        <v>430</v>
      </c>
      <c r="N169" s="123" t="s">
        <v>182</v>
      </c>
      <c r="O169" s="123">
        <v>4</v>
      </c>
      <c r="P169" s="124" t="s">
        <v>184</v>
      </c>
      <c r="Q169" s="105" t="s">
        <v>182</v>
      </c>
      <c r="R169" s="1353">
        <v>1870</v>
      </c>
      <c r="S169" s="123" t="s">
        <v>182</v>
      </c>
      <c r="T169" s="123">
        <v>10</v>
      </c>
      <c r="U169" s="124" t="s">
        <v>184</v>
      </c>
      <c r="V169" s="105" t="s">
        <v>182</v>
      </c>
      <c r="W169" s="342">
        <v>7500</v>
      </c>
      <c r="X169" s="126">
        <v>70</v>
      </c>
      <c r="Y169" s="122" t="s">
        <v>183</v>
      </c>
      <c r="AA169" s="344"/>
      <c r="AF169" s="344" t="s">
        <v>185</v>
      </c>
      <c r="AJ169" s="105" t="s">
        <v>182</v>
      </c>
      <c r="AK169" s="1356">
        <v>360</v>
      </c>
      <c r="AL169" s="106" t="s">
        <v>182</v>
      </c>
      <c r="AM169" s="106">
        <v>3</v>
      </c>
      <c r="AN169" s="131" t="s">
        <v>184</v>
      </c>
      <c r="AP169" s="349" t="s">
        <v>219</v>
      </c>
      <c r="AQ169" s="106" t="s">
        <v>182</v>
      </c>
      <c r="AR169" s="106">
        <v>10</v>
      </c>
      <c r="AS169" s="131" t="s">
        <v>187</v>
      </c>
      <c r="AT169" s="105" t="s">
        <v>182</v>
      </c>
      <c r="AU169" s="1353">
        <v>500</v>
      </c>
      <c r="AV169" s="123" t="s">
        <v>182</v>
      </c>
      <c r="AW169" s="123">
        <v>5</v>
      </c>
      <c r="AX169" s="124" t="s">
        <v>184</v>
      </c>
      <c r="AY169" s="105" t="s">
        <v>182</v>
      </c>
      <c r="AZ169" s="352">
        <v>250</v>
      </c>
      <c r="BA169" s="1355" t="s">
        <v>664</v>
      </c>
      <c r="BB169" s="127">
        <v>2</v>
      </c>
      <c r="BC169" s="1355" t="s">
        <v>664</v>
      </c>
      <c r="BD169" s="352">
        <v>40</v>
      </c>
      <c r="BE169" s="1355" t="s">
        <v>664</v>
      </c>
      <c r="BF169" s="352">
        <v>1</v>
      </c>
      <c r="BH169" s="139" t="s">
        <v>781</v>
      </c>
      <c r="BI169" s="2" t="s">
        <v>182</v>
      </c>
      <c r="BJ169" s="121">
        <v>235</v>
      </c>
      <c r="BK169" s="105" t="s">
        <v>188</v>
      </c>
      <c r="BL169" s="125">
        <v>460</v>
      </c>
      <c r="BM169" s="150" t="s">
        <v>189</v>
      </c>
      <c r="BN169" s="150">
        <v>5</v>
      </c>
      <c r="BO169" s="151" t="s">
        <v>184</v>
      </c>
      <c r="BP169" s="105" t="s">
        <v>188</v>
      </c>
      <c r="BQ169" s="125">
        <v>1870</v>
      </c>
      <c r="BR169" s="150" t="s">
        <v>189</v>
      </c>
      <c r="BS169" s="150">
        <v>10</v>
      </c>
      <c r="BT169" s="150" t="s">
        <v>184</v>
      </c>
      <c r="BU169" s="151" t="s">
        <v>190</v>
      </c>
      <c r="BV169" s="105" t="s">
        <v>188</v>
      </c>
      <c r="BW169" s="132">
        <v>1370</v>
      </c>
      <c r="BX169" s="153" t="s">
        <v>189</v>
      </c>
      <c r="BY169" s="153">
        <v>10</v>
      </c>
      <c r="BZ169" s="153" t="s">
        <v>184</v>
      </c>
      <c r="CA169" s="154" t="s">
        <v>190</v>
      </c>
      <c r="CC169" s="152" t="s">
        <v>191</v>
      </c>
    </row>
    <row r="170" spans="1:81" ht="37.5">
      <c r="A170" s="1403"/>
      <c r="B170" s="103"/>
      <c r="C170" s="104"/>
      <c r="D170" s="122" t="s">
        <v>192</v>
      </c>
      <c r="F170" s="332">
        <v>30150</v>
      </c>
      <c r="G170" s="333"/>
      <c r="H170" s="105" t="s">
        <v>182</v>
      </c>
      <c r="I170" s="334">
        <v>280</v>
      </c>
      <c r="J170" s="335"/>
      <c r="K170" s="336" t="s">
        <v>661</v>
      </c>
      <c r="M170" s="1354"/>
      <c r="N170" s="310"/>
      <c r="O170" s="310"/>
      <c r="P170" s="311"/>
      <c r="R170" s="1354"/>
      <c r="S170" s="310"/>
      <c r="T170" s="310"/>
      <c r="U170" s="311"/>
      <c r="V170" s="105" t="s">
        <v>182</v>
      </c>
      <c r="W170" s="334">
        <v>7500</v>
      </c>
      <c r="X170" s="133">
        <v>70</v>
      </c>
      <c r="Y170" s="122" t="s">
        <v>183</v>
      </c>
      <c r="Z170" s="105" t="s">
        <v>182</v>
      </c>
      <c r="AA170" s="345">
        <v>52550</v>
      </c>
      <c r="AB170" s="134" t="s">
        <v>182</v>
      </c>
      <c r="AC170" s="134">
        <v>520</v>
      </c>
      <c r="AD170" s="135" t="s">
        <v>184</v>
      </c>
      <c r="AE170" s="105" t="s">
        <v>182</v>
      </c>
      <c r="AF170" s="345">
        <v>45050</v>
      </c>
      <c r="AG170" s="134" t="s">
        <v>182</v>
      </c>
      <c r="AH170" s="134">
        <v>450</v>
      </c>
      <c r="AI170" s="135" t="s">
        <v>184</v>
      </c>
      <c r="AK170" s="1357"/>
      <c r="AL170" s="106"/>
      <c r="AM170" s="106"/>
      <c r="AN170" s="131"/>
      <c r="AP170" s="348">
        <v>1870</v>
      </c>
      <c r="AQ170" s="106"/>
      <c r="AR170" s="106"/>
      <c r="AS170" s="131"/>
      <c r="AU170" s="1354"/>
      <c r="AV170" s="110"/>
      <c r="AW170" s="110"/>
      <c r="AX170" s="108"/>
      <c r="AZ170" s="353" t="s">
        <v>766</v>
      </c>
      <c r="BA170" s="1355"/>
      <c r="BB170" s="136" t="s">
        <v>767</v>
      </c>
      <c r="BC170" s="1355"/>
      <c r="BD170" s="353" t="s">
        <v>766</v>
      </c>
      <c r="BE170" s="1355"/>
      <c r="BF170" s="353" t="s">
        <v>663</v>
      </c>
      <c r="BH170" s="140">
        <v>2540</v>
      </c>
      <c r="BJ170" s="104" t="s">
        <v>785</v>
      </c>
      <c r="BL170" s="109"/>
      <c r="BM170" s="146"/>
      <c r="BN170" s="146"/>
      <c r="BO170" s="147"/>
      <c r="BQ170" s="109"/>
      <c r="BR170" s="146"/>
      <c r="BS170" s="146"/>
      <c r="BT170" s="146"/>
      <c r="BU170" s="147"/>
      <c r="BW170" s="132"/>
      <c r="BX170" s="153"/>
      <c r="BY170" s="153"/>
      <c r="BZ170" s="153"/>
      <c r="CA170" s="154"/>
      <c r="CC170" s="152">
        <v>0.99</v>
      </c>
    </row>
    <row r="171" spans="1:81" ht="75">
      <c r="A171" s="1403"/>
      <c r="B171" s="129" t="s">
        <v>220</v>
      </c>
      <c r="C171" s="130" t="s">
        <v>180</v>
      </c>
      <c r="D171" s="122" t="s">
        <v>181</v>
      </c>
      <c r="F171" s="327">
        <v>22290</v>
      </c>
      <c r="G171" s="328">
        <v>29790</v>
      </c>
      <c r="H171" s="105" t="s">
        <v>182</v>
      </c>
      <c r="I171" s="329">
        <v>200</v>
      </c>
      <c r="J171" s="330">
        <v>280</v>
      </c>
      <c r="K171" s="331" t="s">
        <v>661</v>
      </c>
      <c r="L171" s="105" t="s">
        <v>182</v>
      </c>
      <c r="M171" s="1353">
        <v>380</v>
      </c>
      <c r="N171" s="106" t="s">
        <v>182</v>
      </c>
      <c r="O171" s="106">
        <v>3</v>
      </c>
      <c r="P171" s="131" t="s">
        <v>184</v>
      </c>
      <c r="Q171" s="105" t="s">
        <v>182</v>
      </c>
      <c r="R171" s="1353">
        <v>1660</v>
      </c>
      <c r="S171" s="106" t="s">
        <v>182</v>
      </c>
      <c r="T171" s="106">
        <v>10</v>
      </c>
      <c r="U171" s="131" t="s">
        <v>184</v>
      </c>
      <c r="V171" s="105" t="s">
        <v>182</v>
      </c>
      <c r="W171" s="342">
        <v>7500</v>
      </c>
      <c r="X171" s="126">
        <v>70</v>
      </c>
      <c r="Y171" s="122" t="s">
        <v>183</v>
      </c>
      <c r="AA171" s="344"/>
      <c r="AF171" s="344" t="s">
        <v>185</v>
      </c>
      <c r="AJ171" s="105" t="s">
        <v>182</v>
      </c>
      <c r="AK171" s="1356">
        <v>320</v>
      </c>
      <c r="AL171" s="123" t="s">
        <v>182</v>
      </c>
      <c r="AM171" s="123">
        <v>3</v>
      </c>
      <c r="AN171" s="124" t="s">
        <v>184</v>
      </c>
      <c r="AP171" s="349" t="s">
        <v>221</v>
      </c>
      <c r="AQ171" s="106" t="s">
        <v>182</v>
      </c>
      <c r="AR171" s="106">
        <v>10</v>
      </c>
      <c r="AS171" s="131" t="s">
        <v>187</v>
      </c>
      <c r="AT171" s="105" t="s">
        <v>182</v>
      </c>
      <c r="AU171" s="1353">
        <v>500</v>
      </c>
      <c r="AV171" s="106" t="s">
        <v>182</v>
      </c>
      <c r="AW171" s="106">
        <v>5</v>
      </c>
      <c r="AX171" s="131" t="s">
        <v>184</v>
      </c>
      <c r="AY171" s="105" t="s">
        <v>182</v>
      </c>
      <c r="AZ171" s="352">
        <v>220</v>
      </c>
      <c r="BA171" s="1355" t="s">
        <v>664</v>
      </c>
      <c r="BB171" s="127">
        <v>2</v>
      </c>
      <c r="BC171" s="1355" t="s">
        <v>664</v>
      </c>
      <c r="BD171" s="352">
        <v>40</v>
      </c>
      <c r="BE171" s="1355" t="s">
        <v>664</v>
      </c>
      <c r="BF171" s="352">
        <v>1</v>
      </c>
      <c r="BH171" s="139" t="s">
        <v>782</v>
      </c>
      <c r="BI171" s="2" t="s">
        <v>182</v>
      </c>
      <c r="BJ171" s="130">
        <v>235</v>
      </c>
      <c r="BK171" s="105" t="s">
        <v>188</v>
      </c>
      <c r="BL171" s="132">
        <v>410</v>
      </c>
      <c r="BM171" s="153" t="s">
        <v>189</v>
      </c>
      <c r="BN171" s="153">
        <v>4</v>
      </c>
      <c r="BO171" s="154" t="s">
        <v>184</v>
      </c>
      <c r="BP171" s="105" t="s">
        <v>188</v>
      </c>
      <c r="BQ171" s="132">
        <v>1660</v>
      </c>
      <c r="BR171" s="153" t="s">
        <v>189</v>
      </c>
      <c r="BS171" s="153">
        <v>10</v>
      </c>
      <c r="BT171" s="153" t="s">
        <v>184</v>
      </c>
      <c r="BU171" s="154" t="s">
        <v>190</v>
      </c>
      <c r="BV171" s="105" t="s">
        <v>188</v>
      </c>
      <c r="BW171" s="125">
        <v>1220</v>
      </c>
      <c r="BX171" s="150" t="s">
        <v>189</v>
      </c>
      <c r="BY171" s="150">
        <v>10</v>
      </c>
      <c r="BZ171" s="150" t="s">
        <v>184</v>
      </c>
      <c r="CA171" s="151" t="s">
        <v>190</v>
      </c>
      <c r="CC171" s="152" t="s">
        <v>191</v>
      </c>
    </row>
    <row r="172" spans="1:81" ht="37.5">
      <c r="A172" s="1403"/>
      <c r="B172" s="129"/>
      <c r="C172" s="130"/>
      <c r="D172" s="122" t="s">
        <v>192</v>
      </c>
      <c r="F172" s="332">
        <v>29790</v>
      </c>
      <c r="G172" s="333"/>
      <c r="H172" s="105" t="s">
        <v>182</v>
      </c>
      <c r="I172" s="334">
        <v>280</v>
      </c>
      <c r="J172" s="335"/>
      <c r="K172" s="336" t="s">
        <v>661</v>
      </c>
      <c r="M172" s="1354"/>
      <c r="N172" s="106"/>
      <c r="O172" s="106"/>
      <c r="P172" s="131"/>
      <c r="R172" s="1354"/>
      <c r="S172" s="106"/>
      <c r="T172" s="106"/>
      <c r="U172" s="131"/>
      <c r="V172" s="105" t="s">
        <v>182</v>
      </c>
      <c r="W172" s="334">
        <v>7500</v>
      </c>
      <c r="X172" s="133">
        <v>70</v>
      </c>
      <c r="Y172" s="122" t="s">
        <v>183</v>
      </c>
      <c r="Z172" s="105" t="s">
        <v>182</v>
      </c>
      <c r="AA172" s="345">
        <v>52550</v>
      </c>
      <c r="AB172" s="134" t="s">
        <v>182</v>
      </c>
      <c r="AC172" s="134">
        <v>520</v>
      </c>
      <c r="AD172" s="135" t="s">
        <v>184</v>
      </c>
      <c r="AE172" s="105" t="s">
        <v>182</v>
      </c>
      <c r="AF172" s="345">
        <v>45050</v>
      </c>
      <c r="AG172" s="134" t="s">
        <v>182</v>
      </c>
      <c r="AH172" s="134">
        <v>450</v>
      </c>
      <c r="AI172" s="135" t="s">
        <v>184</v>
      </c>
      <c r="AK172" s="1357"/>
      <c r="AL172" s="110"/>
      <c r="AM172" s="110"/>
      <c r="AN172" s="108"/>
      <c r="AP172" s="348">
        <v>1660</v>
      </c>
      <c r="AQ172" s="106"/>
      <c r="AR172" s="106"/>
      <c r="AS172" s="131"/>
      <c r="AU172" s="1354"/>
      <c r="AV172" s="106"/>
      <c r="AW172" s="106"/>
      <c r="AX172" s="131"/>
      <c r="AZ172" s="353" t="s">
        <v>766</v>
      </c>
      <c r="BA172" s="1355"/>
      <c r="BB172" s="136" t="s">
        <v>767</v>
      </c>
      <c r="BC172" s="1355"/>
      <c r="BD172" s="353" t="s">
        <v>766</v>
      </c>
      <c r="BE172" s="1355"/>
      <c r="BF172" s="353" t="s">
        <v>663</v>
      </c>
      <c r="BH172" s="140">
        <v>2440</v>
      </c>
      <c r="BJ172" s="130" t="s">
        <v>785</v>
      </c>
      <c r="BL172" s="132"/>
      <c r="BM172" s="153"/>
      <c r="BN172" s="153"/>
      <c r="BO172" s="154"/>
      <c r="BQ172" s="132"/>
      <c r="BR172" s="153"/>
      <c r="BS172" s="153"/>
      <c r="BT172" s="153"/>
      <c r="BU172" s="154"/>
      <c r="BW172" s="109"/>
      <c r="BX172" s="146"/>
      <c r="BY172" s="146"/>
      <c r="BZ172" s="146"/>
      <c r="CA172" s="147"/>
      <c r="CC172" s="152">
        <v>0.99</v>
      </c>
    </row>
    <row r="173" spans="1:81" ht="75">
      <c r="A173" s="1403"/>
      <c r="B173" s="120" t="s">
        <v>222</v>
      </c>
      <c r="C173" s="121" t="s">
        <v>180</v>
      </c>
      <c r="D173" s="122" t="s">
        <v>181</v>
      </c>
      <c r="F173" s="327">
        <v>22000</v>
      </c>
      <c r="G173" s="328">
        <v>29500</v>
      </c>
      <c r="H173" s="105" t="s">
        <v>182</v>
      </c>
      <c r="I173" s="329">
        <v>200</v>
      </c>
      <c r="J173" s="330">
        <v>270</v>
      </c>
      <c r="K173" s="331" t="s">
        <v>661</v>
      </c>
      <c r="L173" s="105" t="s">
        <v>182</v>
      </c>
      <c r="M173" s="1353">
        <v>340</v>
      </c>
      <c r="N173" s="123" t="s">
        <v>182</v>
      </c>
      <c r="O173" s="123">
        <v>3</v>
      </c>
      <c r="P173" s="124" t="s">
        <v>184</v>
      </c>
      <c r="Q173" s="105" t="s">
        <v>182</v>
      </c>
      <c r="R173" s="1353">
        <v>1500</v>
      </c>
      <c r="S173" s="123" t="s">
        <v>182</v>
      </c>
      <c r="T173" s="123">
        <v>10</v>
      </c>
      <c r="U173" s="124" t="s">
        <v>184</v>
      </c>
      <c r="V173" s="105" t="s">
        <v>182</v>
      </c>
      <c r="W173" s="342">
        <v>7500</v>
      </c>
      <c r="X173" s="126">
        <v>70</v>
      </c>
      <c r="Y173" s="122" t="s">
        <v>183</v>
      </c>
      <c r="AA173" s="344"/>
      <c r="AF173" s="344" t="s">
        <v>185</v>
      </c>
      <c r="AJ173" s="105" t="s">
        <v>182</v>
      </c>
      <c r="AK173" s="1356">
        <v>280</v>
      </c>
      <c r="AL173" s="106" t="s">
        <v>182</v>
      </c>
      <c r="AM173" s="106">
        <v>2</v>
      </c>
      <c r="AN173" s="131" t="s">
        <v>184</v>
      </c>
      <c r="AP173" s="349" t="s">
        <v>223</v>
      </c>
      <c r="AQ173" s="106" t="s">
        <v>182</v>
      </c>
      <c r="AR173" s="106">
        <v>10</v>
      </c>
      <c r="AS173" s="131" t="s">
        <v>187</v>
      </c>
      <c r="AT173" s="105" t="s">
        <v>182</v>
      </c>
      <c r="AU173" s="1353">
        <v>500</v>
      </c>
      <c r="AV173" s="123" t="s">
        <v>182</v>
      </c>
      <c r="AW173" s="123">
        <v>5</v>
      </c>
      <c r="AX173" s="124" t="s">
        <v>184</v>
      </c>
      <c r="AY173" s="105" t="s">
        <v>182</v>
      </c>
      <c r="AZ173" s="352">
        <v>200</v>
      </c>
      <c r="BA173" s="1355" t="s">
        <v>664</v>
      </c>
      <c r="BB173" s="127">
        <v>2</v>
      </c>
      <c r="BC173" s="1355" t="s">
        <v>664</v>
      </c>
      <c r="BD173" s="352">
        <v>30</v>
      </c>
      <c r="BE173" s="1355" t="s">
        <v>664</v>
      </c>
      <c r="BF173" s="352">
        <v>1</v>
      </c>
      <c r="BH173" s="139" t="s">
        <v>783</v>
      </c>
      <c r="BI173" s="2" t="s">
        <v>182</v>
      </c>
      <c r="BJ173" s="121">
        <v>235</v>
      </c>
      <c r="BK173" s="105" t="s">
        <v>188</v>
      </c>
      <c r="BL173" s="125">
        <v>370</v>
      </c>
      <c r="BM173" s="150" t="s">
        <v>189</v>
      </c>
      <c r="BN173" s="150">
        <v>4</v>
      </c>
      <c r="BO173" s="151" t="s">
        <v>184</v>
      </c>
      <c r="BP173" s="105" t="s">
        <v>188</v>
      </c>
      <c r="BQ173" s="125">
        <v>1500</v>
      </c>
      <c r="BR173" s="150" t="s">
        <v>189</v>
      </c>
      <c r="BS173" s="150">
        <v>10</v>
      </c>
      <c r="BT173" s="150" t="s">
        <v>184</v>
      </c>
      <c r="BU173" s="151" t="s">
        <v>190</v>
      </c>
      <c r="BV173" s="105" t="s">
        <v>188</v>
      </c>
      <c r="BW173" s="132">
        <v>1100</v>
      </c>
      <c r="BX173" s="153" t="s">
        <v>189</v>
      </c>
      <c r="BY173" s="153">
        <v>10</v>
      </c>
      <c r="BZ173" s="153" t="s">
        <v>184</v>
      </c>
      <c r="CA173" s="154" t="s">
        <v>190</v>
      </c>
      <c r="CC173" s="152" t="s">
        <v>191</v>
      </c>
    </row>
    <row r="174" spans="1:81" ht="37.5">
      <c r="A174" s="1403"/>
      <c r="B174" s="103"/>
      <c r="C174" s="104"/>
      <c r="D174" s="122" t="s">
        <v>192</v>
      </c>
      <c r="F174" s="332">
        <v>29500</v>
      </c>
      <c r="G174" s="333"/>
      <c r="H174" s="105" t="s">
        <v>182</v>
      </c>
      <c r="I174" s="334">
        <v>270</v>
      </c>
      <c r="J174" s="335"/>
      <c r="K174" s="336" t="s">
        <v>661</v>
      </c>
      <c r="M174" s="1354"/>
      <c r="N174" s="310"/>
      <c r="O174" s="310"/>
      <c r="P174" s="311"/>
      <c r="R174" s="1354"/>
      <c r="S174" s="310"/>
      <c r="T174" s="310"/>
      <c r="U174" s="311"/>
      <c r="V174" s="105" t="s">
        <v>182</v>
      </c>
      <c r="W174" s="334">
        <v>7500</v>
      </c>
      <c r="X174" s="133">
        <v>70</v>
      </c>
      <c r="Y174" s="122" t="s">
        <v>183</v>
      </c>
      <c r="Z174" s="105" t="s">
        <v>182</v>
      </c>
      <c r="AA174" s="345">
        <v>52550</v>
      </c>
      <c r="AB174" s="134" t="s">
        <v>182</v>
      </c>
      <c r="AC174" s="134">
        <v>520</v>
      </c>
      <c r="AD174" s="135" t="s">
        <v>184</v>
      </c>
      <c r="AE174" s="105" t="s">
        <v>182</v>
      </c>
      <c r="AF174" s="345">
        <v>45050</v>
      </c>
      <c r="AG174" s="134" t="s">
        <v>182</v>
      </c>
      <c r="AH174" s="134">
        <v>450</v>
      </c>
      <c r="AI174" s="135" t="s">
        <v>184</v>
      </c>
      <c r="AK174" s="1357"/>
      <c r="AL174" s="106"/>
      <c r="AM174" s="106"/>
      <c r="AN174" s="131"/>
      <c r="AP174" s="348">
        <v>1500</v>
      </c>
      <c r="AQ174" s="106"/>
      <c r="AR174" s="106"/>
      <c r="AS174" s="131"/>
      <c r="AU174" s="1354"/>
      <c r="AV174" s="110"/>
      <c r="AW174" s="110"/>
      <c r="AX174" s="108"/>
      <c r="AZ174" s="353" t="s">
        <v>766</v>
      </c>
      <c r="BA174" s="1355"/>
      <c r="BB174" s="136" t="s">
        <v>767</v>
      </c>
      <c r="BC174" s="1355"/>
      <c r="BD174" s="353" t="s">
        <v>766</v>
      </c>
      <c r="BE174" s="1355"/>
      <c r="BF174" s="353" t="s">
        <v>663</v>
      </c>
      <c r="BH174" s="140">
        <v>2360</v>
      </c>
      <c r="BJ174" s="104" t="s">
        <v>785</v>
      </c>
      <c r="BL174" s="109"/>
      <c r="BM174" s="146"/>
      <c r="BN174" s="146"/>
      <c r="BO174" s="147"/>
      <c r="BQ174" s="109"/>
      <c r="BR174" s="146"/>
      <c r="BS174" s="146"/>
      <c r="BT174" s="146"/>
      <c r="BU174" s="147"/>
      <c r="BW174" s="132"/>
      <c r="BX174" s="153"/>
      <c r="BY174" s="153"/>
      <c r="BZ174" s="153"/>
      <c r="CA174" s="154"/>
      <c r="CC174" s="152">
        <v>0.99</v>
      </c>
    </row>
    <row r="175" spans="1:81" ht="37.5">
      <c r="A175" s="1403"/>
      <c r="B175" s="120" t="s">
        <v>224</v>
      </c>
      <c r="C175" s="121" t="s">
        <v>180</v>
      </c>
      <c r="D175" s="122" t="s">
        <v>181</v>
      </c>
      <c r="F175" s="327">
        <v>21760</v>
      </c>
      <c r="G175" s="328">
        <v>29260</v>
      </c>
      <c r="H175" s="105" t="s">
        <v>182</v>
      </c>
      <c r="I175" s="329">
        <v>200</v>
      </c>
      <c r="J175" s="330">
        <v>270</v>
      </c>
      <c r="K175" s="331" t="s">
        <v>661</v>
      </c>
      <c r="L175" s="105" t="s">
        <v>182</v>
      </c>
      <c r="M175" s="1353">
        <v>310</v>
      </c>
      <c r="N175" s="106" t="s">
        <v>182</v>
      </c>
      <c r="O175" s="106">
        <v>3</v>
      </c>
      <c r="P175" s="131" t="s">
        <v>184</v>
      </c>
      <c r="R175" s="1358"/>
      <c r="S175" s="106"/>
      <c r="T175" s="106"/>
      <c r="U175" s="131"/>
      <c r="V175" s="105" t="s">
        <v>182</v>
      </c>
      <c r="W175" s="342">
        <v>7500</v>
      </c>
      <c r="X175" s="126">
        <v>70</v>
      </c>
      <c r="Y175" s="122" t="s">
        <v>183</v>
      </c>
      <c r="AA175" s="344"/>
      <c r="AF175" s="344" t="s">
        <v>185</v>
      </c>
      <c r="AJ175" s="105" t="s">
        <v>182</v>
      </c>
      <c r="AK175" s="1356">
        <v>260</v>
      </c>
      <c r="AL175" s="123" t="s">
        <v>182</v>
      </c>
      <c r="AM175" s="123">
        <v>2</v>
      </c>
      <c r="AN175" s="124" t="s">
        <v>184</v>
      </c>
      <c r="AP175" s="349" t="s">
        <v>225</v>
      </c>
      <c r="AQ175" s="106" t="s">
        <v>182</v>
      </c>
      <c r="AR175" s="106">
        <v>10</v>
      </c>
      <c r="AS175" s="131" t="s">
        <v>187</v>
      </c>
      <c r="AT175" s="105" t="s">
        <v>182</v>
      </c>
      <c r="AU175" s="1353">
        <v>500</v>
      </c>
      <c r="AV175" s="106" t="s">
        <v>182</v>
      </c>
      <c r="AW175" s="106">
        <v>5</v>
      </c>
      <c r="AX175" s="131" t="s">
        <v>184</v>
      </c>
      <c r="AY175" s="105" t="s">
        <v>182</v>
      </c>
      <c r="AZ175" s="352">
        <v>180</v>
      </c>
      <c r="BA175" s="1355" t="s">
        <v>664</v>
      </c>
      <c r="BB175" s="127">
        <v>1</v>
      </c>
      <c r="BC175" s="1355" t="s">
        <v>664</v>
      </c>
      <c r="BD175" s="352">
        <v>30</v>
      </c>
      <c r="BE175" s="1355" t="s">
        <v>664</v>
      </c>
      <c r="BF175" s="352">
        <v>1</v>
      </c>
      <c r="BH175" s="139" t="s">
        <v>784</v>
      </c>
      <c r="BI175" s="2" t="s">
        <v>182</v>
      </c>
      <c r="BJ175" s="130">
        <v>235</v>
      </c>
      <c r="BK175" s="105" t="s">
        <v>188</v>
      </c>
      <c r="BL175" s="132">
        <v>340</v>
      </c>
      <c r="BM175" s="153" t="s">
        <v>189</v>
      </c>
      <c r="BN175" s="153">
        <v>3</v>
      </c>
      <c r="BO175" s="154" t="s">
        <v>184</v>
      </c>
      <c r="BP175" s="105" t="s">
        <v>188</v>
      </c>
      <c r="BQ175" s="132">
        <v>1360</v>
      </c>
      <c r="BR175" s="153" t="s">
        <v>189</v>
      </c>
      <c r="BS175" s="153">
        <v>10</v>
      </c>
      <c r="BT175" s="153" t="s">
        <v>184</v>
      </c>
      <c r="BU175" s="154" t="s">
        <v>190</v>
      </c>
      <c r="BV175" s="105" t="s">
        <v>188</v>
      </c>
      <c r="BW175" s="125">
        <v>1000</v>
      </c>
      <c r="BX175" s="150" t="s">
        <v>189</v>
      </c>
      <c r="BY175" s="150">
        <v>10</v>
      </c>
      <c r="BZ175" s="150" t="s">
        <v>184</v>
      </c>
      <c r="CA175" s="151" t="s">
        <v>190</v>
      </c>
      <c r="CC175" s="152" t="s">
        <v>191</v>
      </c>
    </row>
    <row r="176" spans="1:81" ht="37.5">
      <c r="A176" s="1403"/>
      <c r="B176" s="103"/>
      <c r="C176" s="104"/>
      <c r="D176" s="122" t="s">
        <v>192</v>
      </c>
      <c r="F176" s="332">
        <v>29260</v>
      </c>
      <c r="G176" s="333"/>
      <c r="H176" s="105" t="s">
        <v>182</v>
      </c>
      <c r="I176" s="334">
        <v>270</v>
      </c>
      <c r="J176" s="335"/>
      <c r="K176" s="336" t="s">
        <v>661</v>
      </c>
      <c r="M176" s="1354"/>
      <c r="N176" s="106"/>
      <c r="O176" s="106"/>
      <c r="P176" s="131"/>
      <c r="R176" s="1358"/>
      <c r="S176" s="106"/>
      <c r="T176" s="106"/>
      <c r="U176" s="131"/>
      <c r="V176" s="105" t="s">
        <v>182</v>
      </c>
      <c r="W176" s="334">
        <v>7500</v>
      </c>
      <c r="X176" s="133">
        <v>70</v>
      </c>
      <c r="Y176" s="122" t="s">
        <v>183</v>
      </c>
      <c r="Z176" s="105" t="s">
        <v>182</v>
      </c>
      <c r="AA176" s="345">
        <v>52550</v>
      </c>
      <c r="AB176" s="134" t="s">
        <v>182</v>
      </c>
      <c r="AC176" s="134">
        <v>520</v>
      </c>
      <c r="AD176" s="135" t="s">
        <v>184</v>
      </c>
      <c r="AE176" s="105" t="s">
        <v>182</v>
      </c>
      <c r="AF176" s="345">
        <v>45050</v>
      </c>
      <c r="AG176" s="134" t="s">
        <v>182</v>
      </c>
      <c r="AH176" s="134">
        <v>450</v>
      </c>
      <c r="AI176" s="135" t="s">
        <v>184</v>
      </c>
      <c r="AK176" s="1357"/>
      <c r="AL176" s="110"/>
      <c r="AM176" s="110"/>
      <c r="AN176" s="108"/>
      <c r="AP176" s="350">
        <v>1360</v>
      </c>
      <c r="AQ176" s="110"/>
      <c r="AR176" s="110"/>
      <c r="AS176" s="108"/>
      <c r="AU176" s="1354"/>
      <c r="AV176" s="106"/>
      <c r="AW176" s="106"/>
      <c r="AX176" s="131"/>
      <c r="AZ176" s="353" t="s">
        <v>766</v>
      </c>
      <c r="BA176" s="1355"/>
      <c r="BB176" s="136" t="s">
        <v>767</v>
      </c>
      <c r="BC176" s="1355"/>
      <c r="BD176" s="353" t="s">
        <v>766</v>
      </c>
      <c r="BE176" s="1355"/>
      <c r="BF176" s="353" t="s">
        <v>663</v>
      </c>
      <c r="BH176" s="141">
        <v>2150</v>
      </c>
      <c r="BJ176" s="130" t="s">
        <v>785</v>
      </c>
      <c r="BL176" s="132"/>
      <c r="BM176" s="153"/>
      <c r="BN176" s="153"/>
      <c r="BO176" s="154"/>
      <c r="BQ176" s="132"/>
      <c r="BR176" s="153"/>
      <c r="BS176" s="153"/>
      <c r="BT176" s="153"/>
      <c r="BU176" s="154"/>
      <c r="BW176" s="109"/>
      <c r="BX176" s="146"/>
      <c r="BY176" s="146"/>
      <c r="BZ176" s="146"/>
      <c r="CA176" s="147"/>
      <c r="CC176" s="152">
        <v>0.99</v>
      </c>
    </row>
    <row r="177" spans="1:81" ht="37.5">
      <c r="A177" s="1403" t="s">
        <v>230</v>
      </c>
      <c r="B177" s="129" t="s">
        <v>179</v>
      </c>
      <c r="C177" s="130" t="s">
        <v>180</v>
      </c>
      <c r="D177" s="122" t="s">
        <v>181</v>
      </c>
      <c r="F177" s="327">
        <v>79830</v>
      </c>
      <c r="G177" s="328">
        <v>87090</v>
      </c>
      <c r="H177" s="105" t="s">
        <v>182</v>
      </c>
      <c r="I177" s="329">
        <v>780</v>
      </c>
      <c r="J177" s="330">
        <v>850</v>
      </c>
      <c r="K177" s="331" t="s">
        <v>661</v>
      </c>
      <c r="L177" s="105" t="s">
        <v>182</v>
      </c>
      <c r="M177" s="1353">
        <v>6700</v>
      </c>
      <c r="N177" s="123" t="s">
        <v>182</v>
      </c>
      <c r="O177" s="123">
        <v>60</v>
      </c>
      <c r="P177" s="124" t="s">
        <v>184</v>
      </c>
      <c r="Q177" s="105" t="s">
        <v>182</v>
      </c>
      <c r="R177" s="1353">
        <v>29040</v>
      </c>
      <c r="S177" s="123" t="s">
        <v>182</v>
      </c>
      <c r="T177" s="123">
        <v>290</v>
      </c>
      <c r="U177" s="124" t="s">
        <v>184</v>
      </c>
      <c r="V177" s="105" t="s">
        <v>182</v>
      </c>
      <c r="W177" s="342">
        <v>7260</v>
      </c>
      <c r="X177" s="126">
        <v>70</v>
      </c>
      <c r="Y177" s="122" t="s">
        <v>183</v>
      </c>
      <c r="AA177" s="344"/>
      <c r="AF177" s="344" t="s">
        <v>185</v>
      </c>
      <c r="AJ177" s="105" t="s">
        <v>182</v>
      </c>
      <c r="AK177" s="1356">
        <v>5780</v>
      </c>
      <c r="AL177" s="106" t="s">
        <v>182</v>
      </c>
      <c r="AM177" s="106">
        <v>50</v>
      </c>
      <c r="AN177" s="131" t="s">
        <v>184</v>
      </c>
      <c r="AO177" s="105" t="s">
        <v>182</v>
      </c>
      <c r="AP177" s="347" t="s">
        <v>186</v>
      </c>
      <c r="AQ177" s="106" t="s">
        <v>182</v>
      </c>
      <c r="AR177" s="106">
        <v>290</v>
      </c>
      <c r="AS177" s="131" t="s">
        <v>187</v>
      </c>
      <c r="AT177" s="105" t="s">
        <v>182</v>
      </c>
      <c r="AU177" s="1353">
        <v>3640</v>
      </c>
      <c r="AV177" s="123" t="s">
        <v>182</v>
      </c>
      <c r="AW177" s="123">
        <v>30</v>
      </c>
      <c r="AX177" s="124" t="s">
        <v>184</v>
      </c>
      <c r="AY177" s="105" t="s">
        <v>182</v>
      </c>
      <c r="AZ177" s="352">
        <v>2730</v>
      </c>
      <c r="BA177" s="1355" t="s">
        <v>664</v>
      </c>
      <c r="BB177" s="127">
        <v>20</v>
      </c>
      <c r="BC177" s="1355" t="s">
        <v>664</v>
      </c>
      <c r="BD177" s="352">
        <v>480</v>
      </c>
      <c r="BE177" s="1355" t="s">
        <v>664</v>
      </c>
      <c r="BF177" s="352">
        <v>4</v>
      </c>
      <c r="BG177" s="105" t="s">
        <v>182</v>
      </c>
      <c r="BH177" s="142" t="s">
        <v>768</v>
      </c>
      <c r="BI177" s="2" t="s">
        <v>182</v>
      </c>
      <c r="BJ177" s="121">
        <v>235</v>
      </c>
      <c r="BK177" s="105" t="s">
        <v>188</v>
      </c>
      <c r="BL177" s="125">
        <v>7500</v>
      </c>
      <c r="BM177" s="150" t="s">
        <v>189</v>
      </c>
      <c r="BN177" s="150">
        <v>70</v>
      </c>
      <c r="BO177" s="151" t="s">
        <v>184</v>
      </c>
      <c r="BP177" s="105" t="s">
        <v>188</v>
      </c>
      <c r="BQ177" s="125">
        <v>29040</v>
      </c>
      <c r="BR177" s="150" t="s">
        <v>189</v>
      </c>
      <c r="BS177" s="150">
        <v>290</v>
      </c>
      <c r="BT177" s="150" t="s">
        <v>184</v>
      </c>
      <c r="BU177" s="151" t="s">
        <v>190</v>
      </c>
      <c r="BV177" s="105" t="s">
        <v>188</v>
      </c>
      <c r="BW177" s="132">
        <v>21050</v>
      </c>
      <c r="BX177" s="153" t="s">
        <v>189</v>
      </c>
      <c r="BY177" s="153">
        <v>210</v>
      </c>
      <c r="BZ177" s="153" t="s">
        <v>184</v>
      </c>
      <c r="CA177" s="154" t="s">
        <v>190</v>
      </c>
      <c r="CC177" s="152" t="s">
        <v>191</v>
      </c>
    </row>
    <row r="178" spans="1:81" ht="37.5">
      <c r="A178" s="1403"/>
      <c r="B178" s="129"/>
      <c r="C178" s="130"/>
      <c r="D178" s="122" t="s">
        <v>192</v>
      </c>
      <c r="F178" s="332">
        <v>87090</v>
      </c>
      <c r="G178" s="333"/>
      <c r="H178" s="105" t="s">
        <v>182</v>
      </c>
      <c r="I178" s="334">
        <v>850</v>
      </c>
      <c r="J178" s="335"/>
      <c r="K178" s="336" t="s">
        <v>661</v>
      </c>
      <c r="M178" s="1354"/>
      <c r="N178" s="310"/>
      <c r="O178" s="310"/>
      <c r="P178" s="311"/>
      <c r="R178" s="1354"/>
      <c r="S178" s="310"/>
      <c r="T178" s="310"/>
      <c r="U178" s="311"/>
      <c r="V178" s="105" t="s">
        <v>182</v>
      </c>
      <c r="W178" s="334">
        <v>7260</v>
      </c>
      <c r="X178" s="133">
        <v>70</v>
      </c>
      <c r="Y178" s="122" t="s">
        <v>183</v>
      </c>
      <c r="Z178" s="105" t="s">
        <v>182</v>
      </c>
      <c r="AA178" s="345">
        <v>50820</v>
      </c>
      <c r="AB178" s="134" t="s">
        <v>182</v>
      </c>
      <c r="AC178" s="134">
        <v>500</v>
      </c>
      <c r="AD178" s="135" t="s">
        <v>184</v>
      </c>
      <c r="AE178" s="105" t="s">
        <v>182</v>
      </c>
      <c r="AF178" s="345">
        <v>43560</v>
      </c>
      <c r="AG178" s="134" t="s">
        <v>182</v>
      </c>
      <c r="AH178" s="134">
        <v>430</v>
      </c>
      <c r="AI178" s="135" t="s">
        <v>184</v>
      </c>
      <c r="AK178" s="1357"/>
      <c r="AL178" s="106"/>
      <c r="AM178" s="106"/>
      <c r="AN178" s="131"/>
      <c r="AP178" s="348">
        <v>29040</v>
      </c>
      <c r="AQ178" s="106"/>
      <c r="AR178" s="106"/>
      <c r="AS178" s="131"/>
      <c r="AU178" s="1354"/>
      <c r="AV178" s="110"/>
      <c r="AW178" s="110"/>
      <c r="AX178" s="108"/>
      <c r="AZ178" s="353" t="s">
        <v>766</v>
      </c>
      <c r="BA178" s="1355"/>
      <c r="BB178" s="136" t="s">
        <v>767</v>
      </c>
      <c r="BC178" s="1355"/>
      <c r="BD178" s="353" t="s">
        <v>766</v>
      </c>
      <c r="BE178" s="1355"/>
      <c r="BF178" s="353" t="s">
        <v>663</v>
      </c>
      <c r="BH178" s="140">
        <v>27330</v>
      </c>
      <c r="BJ178" s="104" t="s">
        <v>785</v>
      </c>
      <c r="BL178" s="109"/>
      <c r="BM178" s="146"/>
      <c r="BN178" s="146"/>
      <c r="BO178" s="147"/>
      <c r="BQ178" s="109"/>
      <c r="BR178" s="146"/>
      <c r="BS178" s="146"/>
      <c r="BT178" s="146"/>
      <c r="BU178" s="147"/>
      <c r="BW178" s="132"/>
      <c r="BX178" s="153"/>
      <c r="BY178" s="153"/>
      <c r="BZ178" s="153"/>
      <c r="CA178" s="154"/>
      <c r="CC178" s="152">
        <v>0.63</v>
      </c>
    </row>
    <row r="179" spans="1:81" ht="75">
      <c r="A179" s="1403"/>
      <c r="B179" s="120" t="s">
        <v>193</v>
      </c>
      <c r="C179" s="121" t="s">
        <v>180</v>
      </c>
      <c r="D179" s="122" t="s">
        <v>181</v>
      </c>
      <c r="F179" s="327">
        <v>49630</v>
      </c>
      <c r="G179" s="328">
        <v>56890</v>
      </c>
      <c r="H179" s="105" t="s">
        <v>182</v>
      </c>
      <c r="I179" s="329">
        <v>470</v>
      </c>
      <c r="J179" s="330">
        <v>550</v>
      </c>
      <c r="K179" s="331" t="s">
        <v>661</v>
      </c>
      <c r="L179" s="105" t="s">
        <v>182</v>
      </c>
      <c r="M179" s="1353">
        <v>4020</v>
      </c>
      <c r="N179" s="106" t="s">
        <v>182</v>
      </c>
      <c r="O179" s="106">
        <v>40</v>
      </c>
      <c r="P179" s="131" t="s">
        <v>184</v>
      </c>
      <c r="Q179" s="105" t="s">
        <v>182</v>
      </c>
      <c r="R179" s="1353">
        <v>17420</v>
      </c>
      <c r="S179" s="106" t="s">
        <v>182</v>
      </c>
      <c r="T179" s="106">
        <v>170</v>
      </c>
      <c r="U179" s="131" t="s">
        <v>184</v>
      </c>
      <c r="V179" s="105" t="s">
        <v>182</v>
      </c>
      <c r="W179" s="342">
        <v>7260</v>
      </c>
      <c r="X179" s="126">
        <v>70</v>
      </c>
      <c r="Y179" s="122" t="s">
        <v>183</v>
      </c>
      <c r="AA179" s="344"/>
      <c r="AF179" s="344" t="s">
        <v>185</v>
      </c>
      <c r="AJ179" s="105" t="s">
        <v>182</v>
      </c>
      <c r="AK179" s="1356">
        <v>3470</v>
      </c>
      <c r="AL179" s="123" t="s">
        <v>182</v>
      </c>
      <c r="AM179" s="123">
        <v>30</v>
      </c>
      <c r="AN179" s="124" t="s">
        <v>184</v>
      </c>
      <c r="AP179" s="349" t="s">
        <v>194</v>
      </c>
      <c r="AQ179" s="106" t="s">
        <v>182</v>
      </c>
      <c r="AR179" s="106">
        <v>170</v>
      </c>
      <c r="AS179" s="131" t="s">
        <v>187</v>
      </c>
      <c r="AT179" s="105" t="s">
        <v>182</v>
      </c>
      <c r="AU179" s="1353">
        <v>2490</v>
      </c>
      <c r="AV179" s="106" t="s">
        <v>182</v>
      </c>
      <c r="AW179" s="106">
        <v>20</v>
      </c>
      <c r="AX179" s="131" t="s">
        <v>184</v>
      </c>
      <c r="AY179" s="105" t="s">
        <v>182</v>
      </c>
      <c r="AZ179" s="352">
        <v>1630</v>
      </c>
      <c r="BA179" s="1355" t="s">
        <v>664</v>
      </c>
      <c r="BB179" s="127">
        <v>10</v>
      </c>
      <c r="BC179" s="1355" t="s">
        <v>664</v>
      </c>
      <c r="BD179" s="352">
        <v>290</v>
      </c>
      <c r="BE179" s="1355" t="s">
        <v>664</v>
      </c>
      <c r="BF179" s="352">
        <v>2</v>
      </c>
      <c r="BH179" s="139" t="s">
        <v>769</v>
      </c>
      <c r="BI179" s="2" t="s">
        <v>182</v>
      </c>
      <c r="BJ179" s="130">
        <v>235</v>
      </c>
      <c r="BK179" s="105" t="s">
        <v>188</v>
      </c>
      <c r="BL179" s="132">
        <v>4500</v>
      </c>
      <c r="BM179" s="153" t="s">
        <v>189</v>
      </c>
      <c r="BN179" s="153">
        <v>40</v>
      </c>
      <c r="BO179" s="154" t="s">
        <v>184</v>
      </c>
      <c r="BP179" s="105" t="s">
        <v>188</v>
      </c>
      <c r="BQ179" s="132">
        <v>17420</v>
      </c>
      <c r="BR179" s="153" t="s">
        <v>189</v>
      </c>
      <c r="BS179" s="153">
        <v>170</v>
      </c>
      <c r="BT179" s="153" t="s">
        <v>184</v>
      </c>
      <c r="BU179" s="154" t="s">
        <v>190</v>
      </c>
      <c r="BV179" s="105" t="s">
        <v>188</v>
      </c>
      <c r="BW179" s="125">
        <v>12630</v>
      </c>
      <c r="BX179" s="150" t="s">
        <v>189</v>
      </c>
      <c r="BY179" s="150">
        <v>120</v>
      </c>
      <c r="BZ179" s="150" t="s">
        <v>184</v>
      </c>
      <c r="CA179" s="151" t="s">
        <v>190</v>
      </c>
      <c r="CC179" s="152" t="s">
        <v>191</v>
      </c>
    </row>
    <row r="180" spans="1:81" ht="37.5">
      <c r="A180" s="1403"/>
      <c r="B180" s="103"/>
      <c r="C180" s="104"/>
      <c r="D180" s="122" t="s">
        <v>192</v>
      </c>
      <c r="F180" s="332">
        <v>56890</v>
      </c>
      <c r="G180" s="333"/>
      <c r="H180" s="105" t="s">
        <v>182</v>
      </c>
      <c r="I180" s="334">
        <v>550</v>
      </c>
      <c r="J180" s="335"/>
      <c r="K180" s="336" t="s">
        <v>661</v>
      </c>
      <c r="M180" s="1354"/>
      <c r="N180" s="106"/>
      <c r="O180" s="106"/>
      <c r="P180" s="131"/>
      <c r="R180" s="1354"/>
      <c r="S180" s="106"/>
      <c r="T180" s="106"/>
      <c r="U180" s="131"/>
      <c r="V180" s="105" t="s">
        <v>182</v>
      </c>
      <c r="W180" s="334">
        <v>7260</v>
      </c>
      <c r="X180" s="133">
        <v>70</v>
      </c>
      <c r="Y180" s="122" t="s">
        <v>183</v>
      </c>
      <c r="Z180" s="105" t="s">
        <v>182</v>
      </c>
      <c r="AA180" s="345">
        <v>50820</v>
      </c>
      <c r="AB180" s="134" t="s">
        <v>182</v>
      </c>
      <c r="AC180" s="134">
        <v>500</v>
      </c>
      <c r="AD180" s="135" t="s">
        <v>184</v>
      </c>
      <c r="AE180" s="105" t="s">
        <v>182</v>
      </c>
      <c r="AF180" s="345">
        <v>43560</v>
      </c>
      <c r="AG180" s="134" t="s">
        <v>182</v>
      </c>
      <c r="AH180" s="134">
        <v>430</v>
      </c>
      <c r="AI180" s="135" t="s">
        <v>184</v>
      </c>
      <c r="AK180" s="1357"/>
      <c r="AL180" s="110"/>
      <c r="AM180" s="110"/>
      <c r="AN180" s="108"/>
      <c r="AP180" s="348">
        <v>17420</v>
      </c>
      <c r="AQ180" s="106"/>
      <c r="AR180" s="106"/>
      <c r="AS180" s="131"/>
      <c r="AU180" s="1354"/>
      <c r="AV180" s="106"/>
      <c r="AW180" s="106"/>
      <c r="AX180" s="131"/>
      <c r="AZ180" s="353" t="s">
        <v>766</v>
      </c>
      <c r="BA180" s="1355"/>
      <c r="BB180" s="136" t="s">
        <v>767</v>
      </c>
      <c r="BC180" s="1355"/>
      <c r="BD180" s="353" t="s">
        <v>766</v>
      </c>
      <c r="BE180" s="1355"/>
      <c r="BF180" s="353" t="s">
        <v>663</v>
      </c>
      <c r="BH180" s="140">
        <v>16800</v>
      </c>
      <c r="BJ180" s="130" t="s">
        <v>785</v>
      </c>
      <c r="BL180" s="132"/>
      <c r="BM180" s="153"/>
      <c r="BN180" s="153"/>
      <c r="BO180" s="154"/>
      <c r="BQ180" s="132"/>
      <c r="BR180" s="153"/>
      <c r="BS180" s="153"/>
      <c r="BT180" s="153"/>
      <c r="BU180" s="154"/>
      <c r="BW180" s="109"/>
      <c r="BX180" s="146"/>
      <c r="BY180" s="146"/>
      <c r="BZ180" s="146"/>
      <c r="CA180" s="147"/>
      <c r="CC180" s="152">
        <v>0.78</v>
      </c>
    </row>
    <row r="181" spans="1:81" ht="75">
      <c r="A181" s="1403"/>
      <c r="B181" s="129" t="s">
        <v>195</v>
      </c>
      <c r="C181" s="130" t="s">
        <v>180</v>
      </c>
      <c r="D181" s="122" t="s">
        <v>181</v>
      </c>
      <c r="F181" s="327">
        <v>38790</v>
      </c>
      <c r="G181" s="328">
        <v>46050</v>
      </c>
      <c r="H181" s="105" t="s">
        <v>182</v>
      </c>
      <c r="I181" s="329">
        <v>370</v>
      </c>
      <c r="J181" s="330">
        <v>440</v>
      </c>
      <c r="K181" s="331" t="s">
        <v>661</v>
      </c>
      <c r="L181" s="105" t="s">
        <v>182</v>
      </c>
      <c r="M181" s="1353">
        <v>2870</v>
      </c>
      <c r="N181" s="123" t="s">
        <v>182</v>
      </c>
      <c r="O181" s="123">
        <v>20</v>
      </c>
      <c r="P181" s="124" t="s">
        <v>184</v>
      </c>
      <c r="Q181" s="105" t="s">
        <v>182</v>
      </c>
      <c r="R181" s="1353">
        <v>12440</v>
      </c>
      <c r="S181" s="123" t="s">
        <v>182</v>
      </c>
      <c r="T181" s="123">
        <v>120</v>
      </c>
      <c r="U181" s="124" t="s">
        <v>184</v>
      </c>
      <c r="V181" s="105" t="s">
        <v>182</v>
      </c>
      <c r="W181" s="342">
        <v>7260</v>
      </c>
      <c r="X181" s="126">
        <v>70</v>
      </c>
      <c r="Y181" s="122" t="s">
        <v>183</v>
      </c>
      <c r="AA181" s="344"/>
      <c r="AF181" s="344" t="s">
        <v>185</v>
      </c>
      <c r="AJ181" s="105" t="s">
        <v>182</v>
      </c>
      <c r="AK181" s="1356">
        <v>2480</v>
      </c>
      <c r="AL181" s="106" t="s">
        <v>182</v>
      </c>
      <c r="AM181" s="106">
        <v>20</v>
      </c>
      <c r="AN181" s="131" t="s">
        <v>184</v>
      </c>
      <c r="AP181" s="349" t="s">
        <v>196</v>
      </c>
      <c r="AQ181" s="106" t="s">
        <v>182</v>
      </c>
      <c r="AR181" s="106">
        <v>120</v>
      </c>
      <c r="AS181" s="131" t="s">
        <v>187</v>
      </c>
      <c r="AT181" s="105" t="s">
        <v>182</v>
      </c>
      <c r="AU181" s="1353">
        <v>2000</v>
      </c>
      <c r="AV181" s="123" t="s">
        <v>182</v>
      </c>
      <c r="AW181" s="123">
        <v>20</v>
      </c>
      <c r="AX181" s="124" t="s">
        <v>184</v>
      </c>
      <c r="AY181" s="105" t="s">
        <v>182</v>
      </c>
      <c r="AZ181" s="352">
        <v>1170</v>
      </c>
      <c r="BA181" s="1355" t="s">
        <v>664</v>
      </c>
      <c r="BB181" s="127">
        <v>10</v>
      </c>
      <c r="BC181" s="1355" t="s">
        <v>664</v>
      </c>
      <c r="BD181" s="352">
        <v>200</v>
      </c>
      <c r="BE181" s="1355" t="s">
        <v>664</v>
      </c>
      <c r="BF181" s="352">
        <v>2</v>
      </c>
      <c r="BH181" s="139" t="s">
        <v>770</v>
      </c>
      <c r="BI181" s="2" t="s">
        <v>182</v>
      </c>
      <c r="BJ181" s="121">
        <v>235</v>
      </c>
      <c r="BK181" s="105" t="s">
        <v>188</v>
      </c>
      <c r="BL181" s="125">
        <v>3210</v>
      </c>
      <c r="BM181" s="150" t="s">
        <v>189</v>
      </c>
      <c r="BN181" s="150">
        <v>30</v>
      </c>
      <c r="BO181" s="151" t="s">
        <v>184</v>
      </c>
      <c r="BP181" s="105" t="s">
        <v>188</v>
      </c>
      <c r="BQ181" s="125">
        <v>12440</v>
      </c>
      <c r="BR181" s="150" t="s">
        <v>189</v>
      </c>
      <c r="BS181" s="150">
        <v>120</v>
      </c>
      <c r="BT181" s="150" t="s">
        <v>184</v>
      </c>
      <c r="BU181" s="151" t="s">
        <v>190</v>
      </c>
      <c r="BV181" s="105" t="s">
        <v>188</v>
      </c>
      <c r="BW181" s="132">
        <v>9020</v>
      </c>
      <c r="BX181" s="153" t="s">
        <v>189</v>
      </c>
      <c r="BY181" s="153">
        <v>90</v>
      </c>
      <c r="BZ181" s="153" t="s">
        <v>184</v>
      </c>
      <c r="CA181" s="154" t="s">
        <v>190</v>
      </c>
      <c r="CC181" s="152" t="s">
        <v>191</v>
      </c>
    </row>
    <row r="182" spans="1:81" ht="37.5">
      <c r="A182" s="1403"/>
      <c r="B182" s="129"/>
      <c r="C182" s="130"/>
      <c r="D182" s="122" t="s">
        <v>192</v>
      </c>
      <c r="F182" s="332">
        <v>46050</v>
      </c>
      <c r="G182" s="333"/>
      <c r="H182" s="105" t="s">
        <v>182</v>
      </c>
      <c r="I182" s="334">
        <v>440</v>
      </c>
      <c r="J182" s="335"/>
      <c r="K182" s="336" t="s">
        <v>661</v>
      </c>
      <c r="M182" s="1354"/>
      <c r="N182" s="310"/>
      <c r="O182" s="310"/>
      <c r="P182" s="311"/>
      <c r="R182" s="1354"/>
      <c r="S182" s="310"/>
      <c r="T182" s="310"/>
      <c r="U182" s="311"/>
      <c r="V182" s="105" t="s">
        <v>182</v>
      </c>
      <c r="W182" s="334">
        <v>7260</v>
      </c>
      <c r="X182" s="133">
        <v>70</v>
      </c>
      <c r="Y182" s="122" t="s">
        <v>183</v>
      </c>
      <c r="Z182" s="105" t="s">
        <v>182</v>
      </c>
      <c r="AA182" s="345">
        <v>50820</v>
      </c>
      <c r="AB182" s="134" t="s">
        <v>182</v>
      </c>
      <c r="AC182" s="134">
        <v>500</v>
      </c>
      <c r="AD182" s="135" t="s">
        <v>184</v>
      </c>
      <c r="AE182" s="105" t="s">
        <v>182</v>
      </c>
      <c r="AF182" s="345">
        <v>43560</v>
      </c>
      <c r="AG182" s="134" t="s">
        <v>182</v>
      </c>
      <c r="AH182" s="134">
        <v>430</v>
      </c>
      <c r="AI182" s="135" t="s">
        <v>184</v>
      </c>
      <c r="AK182" s="1357"/>
      <c r="AL182" s="106"/>
      <c r="AM182" s="106"/>
      <c r="AN182" s="131"/>
      <c r="AP182" s="348">
        <v>12440</v>
      </c>
      <c r="AQ182" s="106"/>
      <c r="AR182" s="106"/>
      <c r="AS182" s="131"/>
      <c r="AU182" s="1354"/>
      <c r="AV182" s="110"/>
      <c r="AW182" s="110"/>
      <c r="AX182" s="108"/>
      <c r="AZ182" s="353" t="s">
        <v>766</v>
      </c>
      <c r="BA182" s="1355"/>
      <c r="BB182" s="136" t="s">
        <v>767</v>
      </c>
      <c r="BC182" s="1355"/>
      <c r="BD182" s="353" t="s">
        <v>766</v>
      </c>
      <c r="BE182" s="1355"/>
      <c r="BF182" s="353" t="s">
        <v>663</v>
      </c>
      <c r="BH182" s="140">
        <v>12280</v>
      </c>
      <c r="BJ182" s="104" t="s">
        <v>785</v>
      </c>
      <c r="BL182" s="109"/>
      <c r="BM182" s="146"/>
      <c r="BN182" s="146"/>
      <c r="BO182" s="147"/>
      <c r="BQ182" s="109"/>
      <c r="BR182" s="146"/>
      <c r="BS182" s="146"/>
      <c r="BT182" s="146"/>
      <c r="BU182" s="147"/>
      <c r="BW182" s="132"/>
      <c r="BX182" s="153"/>
      <c r="BY182" s="153"/>
      <c r="BZ182" s="153"/>
      <c r="CA182" s="154"/>
      <c r="CC182" s="152">
        <v>0.86</v>
      </c>
    </row>
    <row r="183" spans="1:81" ht="75">
      <c r="A183" s="1403"/>
      <c r="B183" s="120" t="s">
        <v>197</v>
      </c>
      <c r="C183" s="121" t="s">
        <v>180</v>
      </c>
      <c r="D183" s="122" t="s">
        <v>181</v>
      </c>
      <c r="F183" s="327">
        <v>34410</v>
      </c>
      <c r="G183" s="328">
        <v>41670</v>
      </c>
      <c r="H183" s="105" t="s">
        <v>182</v>
      </c>
      <c r="I183" s="329">
        <v>320</v>
      </c>
      <c r="J183" s="330">
        <v>390</v>
      </c>
      <c r="K183" s="331" t="s">
        <v>661</v>
      </c>
      <c r="L183" s="105" t="s">
        <v>182</v>
      </c>
      <c r="M183" s="1353">
        <v>2230</v>
      </c>
      <c r="N183" s="106" t="s">
        <v>182</v>
      </c>
      <c r="O183" s="106">
        <v>20</v>
      </c>
      <c r="P183" s="131" t="s">
        <v>184</v>
      </c>
      <c r="Q183" s="105" t="s">
        <v>182</v>
      </c>
      <c r="R183" s="1353">
        <v>9680</v>
      </c>
      <c r="S183" s="106" t="s">
        <v>182</v>
      </c>
      <c r="T183" s="106">
        <v>90</v>
      </c>
      <c r="U183" s="131" t="s">
        <v>184</v>
      </c>
      <c r="V183" s="105" t="s">
        <v>182</v>
      </c>
      <c r="W183" s="342">
        <v>7260</v>
      </c>
      <c r="X183" s="126">
        <v>70</v>
      </c>
      <c r="Y183" s="122" t="s">
        <v>183</v>
      </c>
      <c r="AA183" s="344"/>
      <c r="AF183" s="344" t="s">
        <v>185</v>
      </c>
      <c r="AJ183" s="105" t="s">
        <v>182</v>
      </c>
      <c r="AK183" s="1356" t="s">
        <v>188</v>
      </c>
      <c r="AL183" s="123" t="s">
        <v>182</v>
      </c>
      <c r="AM183" s="123" t="s">
        <v>188</v>
      </c>
      <c r="AN183" s="124"/>
      <c r="AP183" s="349" t="s">
        <v>198</v>
      </c>
      <c r="AQ183" s="106" t="s">
        <v>182</v>
      </c>
      <c r="AR183" s="106">
        <v>90</v>
      </c>
      <c r="AS183" s="131" t="s">
        <v>187</v>
      </c>
      <c r="AT183" s="105" t="s">
        <v>182</v>
      </c>
      <c r="AU183" s="1353">
        <v>1730</v>
      </c>
      <c r="AV183" s="106" t="s">
        <v>182</v>
      </c>
      <c r="AW183" s="106">
        <v>10</v>
      </c>
      <c r="AX183" s="131" t="s">
        <v>184</v>
      </c>
      <c r="AY183" s="105" t="s">
        <v>182</v>
      </c>
      <c r="AZ183" s="352">
        <v>910</v>
      </c>
      <c r="BA183" s="1355" t="s">
        <v>664</v>
      </c>
      <c r="BB183" s="127">
        <v>9</v>
      </c>
      <c r="BC183" s="1355" t="s">
        <v>664</v>
      </c>
      <c r="BD183" s="352">
        <v>160</v>
      </c>
      <c r="BE183" s="1355" t="s">
        <v>664</v>
      </c>
      <c r="BF183" s="352">
        <v>1</v>
      </c>
      <c r="BH183" s="139" t="s">
        <v>771</v>
      </c>
      <c r="BI183" s="2" t="s">
        <v>182</v>
      </c>
      <c r="BJ183" s="130">
        <v>235</v>
      </c>
      <c r="BK183" s="105" t="s">
        <v>188</v>
      </c>
      <c r="BL183" s="132">
        <v>2500</v>
      </c>
      <c r="BM183" s="153" t="s">
        <v>189</v>
      </c>
      <c r="BN183" s="153">
        <v>20</v>
      </c>
      <c r="BO183" s="154" t="s">
        <v>184</v>
      </c>
      <c r="BP183" s="105" t="s">
        <v>188</v>
      </c>
      <c r="BQ183" s="132">
        <v>9680</v>
      </c>
      <c r="BR183" s="153" t="s">
        <v>189</v>
      </c>
      <c r="BS183" s="153">
        <v>90</v>
      </c>
      <c r="BT183" s="153" t="s">
        <v>184</v>
      </c>
      <c r="BU183" s="154" t="s">
        <v>190</v>
      </c>
      <c r="BV183" s="105" t="s">
        <v>188</v>
      </c>
      <c r="BW183" s="125">
        <v>7010</v>
      </c>
      <c r="BX183" s="150" t="s">
        <v>189</v>
      </c>
      <c r="BY183" s="150">
        <v>70</v>
      </c>
      <c r="BZ183" s="150" t="s">
        <v>184</v>
      </c>
      <c r="CA183" s="151" t="s">
        <v>190</v>
      </c>
      <c r="CC183" s="152" t="s">
        <v>191</v>
      </c>
    </row>
    <row r="184" spans="1:81" ht="37.5">
      <c r="A184" s="1403"/>
      <c r="B184" s="103"/>
      <c r="C184" s="104"/>
      <c r="D184" s="122" t="s">
        <v>192</v>
      </c>
      <c r="F184" s="332">
        <v>41670</v>
      </c>
      <c r="G184" s="333"/>
      <c r="H184" s="105" t="s">
        <v>182</v>
      </c>
      <c r="I184" s="334">
        <v>390</v>
      </c>
      <c r="J184" s="335"/>
      <c r="K184" s="336" t="s">
        <v>661</v>
      </c>
      <c r="M184" s="1354"/>
      <c r="N184" s="106"/>
      <c r="O184" s="106"/>
      <c r="P184" s="131"/>
      <c r="R184" s="1354"/>
      <c r="S184" s="106"/>
      <c r="T184" s="106"/>
      <c r="U184" s="131"/>
      <c r="V184" s="105" t="s">
        <v>182</v>
      </c>
      <c r="W184" s="334">
        <v>7260</v>
      </c>
      <c r="X184" s="133">
        <v>70</v>
      </c>
      <c r="Y184" s="122" t="s">
        <v>183</v>
      </c>
      <c r="Z184" s="105" t="s">
        <v>182</v>
      </c>
      <c r="AA184" s="345">
        <v>50820</v>
      </c>
      <c r="AB184" s="134" t="s">
        <v>182</v>
      </c>
      <c r="AC184" s="134">
        <v>500</v>
      </c>
      <c r="AD184" s="135" t="s">
        <v>184</v>
      </c>
      <c r="AE184" s="105" t="s">
        <v>182</v>
      </c>
      <c r="AF184" s="345">
        <v>43560</v>
      </c>
      <c r="AG184" s="134" t="s">
        <v>182</v>
      </c>
      <c r="AH184" s="134">
        <v>430</v>
      </c>
      <c r="AI184" s="135" t="s">
        <v>184</v>
      </c>
      <c r="AK184" s="1357"/>
      <c r="AL184" s="106"/>
      <c r="AM184" s="106"/>
      <c r="AN184" s="131"/>
      <c r="AP184" s="348">
        <v>9680</v>
      </c>
      <c r="AQ184" s="106"/>
      <c r="AR184" s="106"/>
      <c r="AS184" s="131"/>
      <c r="AU184" s="1354"/>
      <c r="AV184" s="106"/>
      <c r="AW184" s="106"/>
      <c r="AX184" s="131"/>
      <c r="AZ184" s="353" t="s">
        <v>766</v>
      </c>
      <c r="BA184" s="1355"/>
      <c r="BB184" s="136" t="s">
        <v>767</v>
      </c>
      <c r="BC184" s="1355"/>
      <c r="BD184" s="353" t="s">
        <v>766</v>
      </c>
      <c r="BE184" s="1355"/>
      <c r="BF184" s="353" t="s">
        <v>663</v>
      </c>
      <c r="BH184" s="140">
        <v>9770</v>
      </c>
      <c r="BJ184" s="130" t="s">
        <v>785</v>
      </c>
      <c r="BL184" s="132"/>
      <c r="BM184" s="153"/>
      <c r="BN184" s="153"/>
      <c r="BO184" s="154"/>
      <c r="BQ184" s="132"/>
      <c r="BR184" s="153"/>
      <c r="BS184" s="153"/>
      <c r="BT184" s="153"/>
      <c r="BU184" s="154"/>
      <c r="BW184" s="109"/>
      <c r="BX184" s="146"/>
      <c r="BY184" s="146"/>
      <c r="BZ184" s="146"/>
      <c r="CA184" s="147"/>
      <c r="CC184" s="152">
        <v>0.95</v>
      </c>
    </row>
    <row r="185" spans="1:81" ht="75">
      <c r="A185" s="1403"/>
      <c r="B185" s="129" t="s">
        <v>200</v>
      </c>
      <c r="C185" s="130" t="s">
        <v>180</v>
      </c>
      <c r="D185" s="122" t="s">
        <v>181</v>
      </c>
      <c r="F185" s="327">
        <v>30500</v>
      </c>
      <c r="G185" s="328">
        <v>37760</v>
      </c>
      <c r="H185" s="105" t="s">
        <v>182</v>
      </c>
      <c r="I185" s="329">
        <v>280</v>
      </c>
      <c r="J185" s="330">
        <v>360</v>
      </c>
      <c r="K185" s="331" t="s">
        <v>661</v>
      </c>
      <c r="L185" s="105" t="s">
        <v>182</v>
      </c>
      <c r="M185" s="1353">
        <v>1670</v>
      </c>
      <c r="N185" s="123" t="s">
        <v>182</v>
      </c>
      <c r="O185" s="123">
        <v>10</v>
      </c>
      <c r="P185" s="124" t="s">
        <v>184</v>
      </c>
      <c r="Q185" s="105" t="s">
        <v>182</v>
      </c>
      <c r="R185" s="1353">
        <v>7260</v>
      </c>
      <c r="S185" s="123" t="s">
        <v>182</v>
      </c>
      <c r="T185" s="123">
        <v>70</v>
      </c>
      <c r="U185" s="124" t="s">
        <v>184</v>
      </c>
      <c r="V185" s="105" t="s">
        <v>182</v>
      </c>
      <c r="W185" s="342">
        <v>7260</v>
      </c>
      <c r="X185" s="126">
        <v>70</v>
      </c>
      <c r="Y185" s="122" t="s">
        <v>183</v>
      </c>
      <c r="AA185" s="344"/>
      <c r="AF185" s="344" t="s">
        <v>185</v>
      </c>
      <c r="AJ185" s="105" t="s">
        <v>182</v>
      </c>
      <c r="AK185" s="1356" t="s">
        <v>188</v>
      </c>
      <c r="AL185" s="106" t="s">
        <v>182</v>
      </c>
      <c r="AM185" s="106" t="s">
        <v>188</v>
      </c>
      <c r="AN185" s="131"/>
      <c r="AP185" s="349" t="s">
        <v>201</v>
      </c>
      <c r="AQ185" s="106" t="s">
        <v>182</v>
      </c>
      <c r="AR185" s="106">
        <v>70</v>
      </c>
      <c r="AS185" s="131" t="s">
        <v>187</v>
      </c>
      <c r="AT185" s="105" t="s">
        <v>182</v>
      </c>
      <c r="AU185" s="1353">
        <v>1300</v>
      </c>
      <c r="AV185" s="123" t="s">
        <v>182</v>
      </c>
      <c r="AW185" s="123">
        <v>10</v>
      </c>
      <c r="AX185" s="124" t="s">
        <v>184</v>
      </c>
      <c r="AY185" s="105" t="s">
        <v>182</v>
      </c>
      <c r="AZ185" s="352">
        <v>680</v>
      </c>
      <c r="BA185" s="1355" t="s">
        <v>664</v>
      </c>
      <c r="BB185" s="127">
        <v>6</v>
      </c>
      <c r="BC185" s="1355" t="s">
        <v>664</v>
      </c>
      <c r="BD185" s="352">
        <v>120</v>
      </c>
      <c r="BE185" s="1355" t="s">
        <v>664</v>
      </c>
      <c r="BF185" s="352">
        <v>1</v>
      </c>
      <c r="BH185" s="139" t="s">
        <v>772</v>
      </c>
      <c r="BI185" s="2" t="s">
        <v>182</v>
      </c>
      <c r="BJ185" s="121">
        <v>235</v>
      </c>
      <c r="BK185" s="105" t="s">
        <v>188</v>
      </c>
      <c r="BL185" s="125">
        <v>1870</v>
      </c>
      <c r="BM185" s="150" t="s">
        <v>189</v>
      </c>
      <c r="BN185" s="150">
        <v>10</v>
      </c>
      <c r="BO185" s="151" t="s">
        <v>184</v>
      </c>
      <c r="BP185" s="105" t="s">
        <v>188</v>
      </c>
      <c r="BQ185" s="125">
        <v>7260</v>
      </c>
      <c r="BR185" s="150" t="s">
        <v>189</v>
      </c>
      <c r="BS185" s="150">
        <v>70</v>
      </c>
      <c r="BT185" s="150" t="s">
        <v>184</v>
      </c>
      <c r="BU185" s="151" t="s">
        <v>190</v>
      </c>
      <c r="BV185" s="105" t="s">
        <v>188</v>
      </c>
      <c r="BW185" s="132">
        <v>5260</v>
      </c>
      <c r="BX185" s="153" t="s">
        <v>189</v>
      </c>
      <c r="BY185" s="153">
        <v>50</v>
      </c>
      <c r="BZ185" s="153" t="s">
        <v>184</v>
      </c>
      <c r="CA185" s="154" t="s">
        <v>190</v>
      </c>
      <c r="CC185" s="152" t="s">
        <v>191</v>
      </c>
    </row>
    <row r="186" spans="1:81" ht="37.5">
      <c r="A186" s="1403"/>
      <c r="B186" s="129"/>
      <c r="C186" s="130"/>
      <c r="D186" s="122" t="s">
        <v>192</v>
      </c>
      <c r="F186" s="332">
        <v>37760</v>
      </c>
      <c r="G186" s="333"/>
      <c r="H186" s="105" t="s">
        <v>182</v>
      </c>
      <c r="I186" s="334">
        <v>360</v>
      </c>
      <c r="J186" s="335"/>
      <c r="K186" s="336" t="s">
        <v>661</v>
      </c>
      <c r="M186" s="1354"/>
      <c r="N186" s="310"/>
      <c r="O186" s="310"/>
      <c r="P186" s="311"/>
      <c r="R186" s="1354"/>
      <c r="S186" s="310"/>
      <c r="T186" s="310"/>
      <c r="U186" s="311"/>
      <c r="V186" s="105" t="s">
        <v>182</v>
      </c>
      <c r="W186" s="334">
        <v>7260</v>
      </c>
      <c r="X186" s="133">
        <v>70</v>
      </c>
      <c r="Y186" s="122" t="s">
        <v>183</v>
      </c>
      <c r="Z186" s="105" t="s">
        <v>182</v>
      </c>
      <c r="AA186" s="345">
        <v>50820</v>
      </c>
      <c r="AB186" s="134" t="s">
        <v>182</v>
      </c>
      <c r="AC186" s="134">
        <v>500</v>
      </c>
      <c r="AD186" s="135" t="s">
        <v>184</v>
      </c>
      <c r="AE186" s="105" t="s">
        <v>182</v>
      </c>
      <c r="AF186" s="345">
        <v>43560</v>
      </c>
      <c r="AG186" s="134" t="s">
        <v>182</v>
      </c>
      <c r="AH186" s="134">
        <v>430</v>
      </c>
      <c r="AI186" s="135" t="s">
        <v>184</v>
      </c>
      <c r="AK186" s="1357"/>
      <c r="AL186" s="106"/>
      <c r="AM186" s="106"/>
      <c r="AN186" s="131"/>
      <c r="AP186" s="348">
        <v>7260</v>
      </c>
      <c r="AQ186" s="106"/>
      <c r="AR186" s="106"/>
      <c r="AS186" s="131"/>
      <c r="AU186" s="1354"/>
      <c r="AV186" s="110"/>
      <c r="AW186" s="110"/>
      <c r="AX186" s="108"/>
      <c r="AZ186" s="353" t="s">
        <v>766</v>
      </c>
      <c r="BA186" s="1355"/>
      <c r="BB186" s="136" t="s">
        <v>767</v>
      </c>
      <c r="BC186" s="1355"/>
      <c r="BD186" s="353" t="s">
        <v>766</v>
      </c>
      <c r="BE186" s="1355"/>
      <c r="BF186" s="353" t="s">
        <v>663</v>
      </c>
      <c r="BH186" s="140">
        <v>7500</v>
      </c>
      <c r="BJ186" s="104" t="s">
        <v>785</v>
      </c>
      <c r="BL186" s="109"/>
      <c r="BM186" s="146"/>
      <c r="BN186" s="146"/>
      <c r="BO186" s="147"/>
      <c r="BQ186" s="109"/>
      <c r="BR186" s="146"/>
      <c r="BS186" s="146"/>
      <c r="BT186" s="146"/>
      <c r="BU186" s="147"/>
      <c r="BW186" s="132"/>
      <c r="BX186" s="153"/>
      <c r="BY186" s="153"/>
      <c r="BZ186" s="153"/>
      <c r="CA186" s="154"/>
      <c r="CC186" s="152">
        <v>0.89</v>
      </c>
    </row>
    <row r="187" spans="1:81" ht="75">
      <c r="A187" s="1403"/>
      <c r="B187" s="120" t="s">
        <v>202</v>
      </c>
      <c r="C187" s="121" t="s">
        <v>180</v>
      </c>
      <c r="D187" s="122" t="s">
        <v>181</v>
      </c>
      <c r="F187" s="327">
        <v>28200</v>
      </c>
      <c r="G187" s="328">
        <v>35460</v>
      </c>
      <c r="H187" s="105" t="s">
        <v>182</v>
      </c>
      <c r="I187" s="329">
        <v>260</v>
      </c>
      <c r="J187" s="330">
        <v>330</v>
      </c>
      <c r="K187" s="331" t="s">
        <v>661</v>
      </c>
      <c r="L187" s="105" t="s">
        <v>182</v>
      </c>
      <c r="M187" s="1353">
        <v>1340</v>
      </c>
      <c r="N187" s="106" t="s">
        <v>182</v>
      </c>
      <c r="O187" s="106">
        <v>10</v>
      </c>
      <c r="P187" s="131" t="s">
        <v>184</v>
      </c>
      <c r="Q187" s="105" t="s">
        <v>182</v>
      </c>
      <c r="R187" s="1353">
        <v>5800</v>
      </c>
      <c r="S187" s="106" t="s">
        <v>182</v>
      </c>
      <c r="T187" s="106">
        <v>50</v>
      </c>
      <c r="U187" s="131" t="s">
        <v>184</v>
      </c>
      <c r="V187" s="105" t="s">
        <v>182</v>
      </c>
      <c r="W187" s="342">
        <v>7260</v>
      </c>
      <c r="X187" s="126">
        <v>70</v>
      </c>
      <c r="Y187" s="122" t="s">
        <v>183</v>
      </c>
      <c r="AA187" s="344"/>
      <c r="AF187" s="344" t="s">
        <v>185</v>
      </c>
      <c r="AJ187" s="105" t="s">
        <v>182</v>
      </c>
      <c r="AK187" s="1356" t="s">
        <v>188</v>
      </c>
      <c r="AL187" s="106" t="s">
        <v>182</v>
      </c>
      <c r="AM187" s="106" t="s">
        <v>188</v>
      </c>
      <c r="AN187" s="131"/>
      <c r="AP187" s="349" t="s">
        <v>203</v>
      </c>
      <c r="AQ187" s="106" t="s">
        <v>182</v>
      </c>
      <c r="AR187" s="106">
        <v>50</v>
      </c>
      <c r="AS187" s="131" t="s">
        <v>187</v>
      </c>
      <c r="AT187" s="105" t="s">
        <v>182</v>
      </c>
      <c r="AU187" s="1353">
        <v>1040</v>
      </c>
      <c r="AV187" s="106" t="s">
        <v>182</v>
      </c>
      <c r="AW187" s="106">
        <v>10</v>
      </c>
      <c r="AX187" s="131" t="s">
        <v>184</v>
      </c>
      <c r="AY187" s="105" t="s">
        <v>182</v>
      </c>
      <c r="AZ187" s="352">
        <v>570</v>
      </c>
      <c r="BA187" s="1355" t="s">
        <v>664</v>
      </c>
      <c r="BB187" s="127">
        <v>5</v>
      </c>
      <c r="BC187" s="1355" t="s">
        <v>664</v>
      </c>
      <c r="BD187" s="352">
        <v>100</v>
      </c>
      <c r="BE187" s="1355" t="s">
        <v>664</v>
      </c>
      <c r="BF187" s="352">
        <v>1</v>
      </c>
      <c r="BH187" s="139" t="s">
        <v>773</v>
      </c>
      <c r="BI187" s="2" t="s">
        <v>182</v>
      </c>
      <c r="BJ187" s="130">
        <v>235</v>
      </c>
      <c r="BK187" s="105" t="s">
        <v>188</v>
      </c>
      <c r="BL187" s="132">
        <v>1500</v>
      </c>
      <c r="BM187" s="153" t="s">
        <v>189</v>
      </c>
      <c r="BN187" s="153">
        <v>10</v>
      </c>
      <c r="BO187" s="154" t="s">
        <v>184</v>
      </c>
      <c r="BP187" s="105" t="s">
        <v>188</v>
      </c>
      <c r="BQ187" s="132">
        <v>5800</v>
      </c>
      <c r="BR187" s="153" t="s">
        <v>189</v>
      </c>
      <c r="BS187" s="153">
        <v>50</v>
      </c>
      <c r="BT187" s="153" t="s">
        <v>184</v>
      </c>
      <c r="BU187" s="154" t="s">
        <v>190</v>
      </c>
      <c r="BV187" s="105" t="s">
        <v>188</v>
      </c>
      <c r="BW187" s="125">
        <v>4210</v>
      </c>
      <c r="BX187" s="150" t="s">
        <v>189</v>
      </c>
      <c r="BY187" s="150">
        <v>40</v>
      </c>
      <c r="BZ187" s="150" t="s">
        <v>184</v>
      </c>
      <c r="CA187" s="151" t="s">
        <v>190</v>
      </c>
      <c r="CC187" s="152" t="s">
        <v>191</v>
      </c>
    </row>
    <row r="188" spans="1:81" ht="37.5">
      <c r="A188" s="1403"/>
      <c r="B188" s="103"/>
      <c r="C188" s="104"/>
      <c r="D188" s="122" t="s">
        <v>192</v>
      </c>
      <c r="F188" s="332">
        <v>35460</v>
      </c>
      <c r="G188" s="333"/>
      <c r="H188" s="105" t="s">
        <v>182</v>
      </c>
      <c r="I188" s="334">
        <v>330</v>
      </c>
      <c r="J188" s="335"/>
      <c r="K188" s="336" t="s">
        <v>661</v>
      </c>
      <c r="M188" s="1354"/>
      <c r="N188" s="106"/>
      <c r="O188" s="106"/>
      <c r="P188" s="131"/>
      <c r="R188" s="1354"/>
      <c r="S188" s="106"/>
      <c r="T188" s="106"/>
      <c r="U188" s="131"/>
      <c r="V188" s="105" t="s">
        <v>182</v>
      </c>
      <c r="W188" s="334">
        <v>7260</v>
      </c>
      <c r="X188" s="133">
        <v>70</v>
      </c>
      <c r="Y188" s="122" t="s">
        <v>183</v>
      </c>
      <c r="Z188" s="105" t="s">
        <v>182</v>
      </c>
      <c r="AA188" s="345">
        <v>50820</v>
      </c>
      <c r="AB188" s="134" t="s">
        <v>182</v>
      </c>
      <c r="AC188" s="134">
        <v>500</v>
      </c>
      <c r="AD188" s="135" t="s">
        <v>184</v>
      </c>
      <c r="AE188" s="105" t="s">
        <v>182</v>
      </c>
      <c r="AF188" s="345">
        <v>43560</v>
      </c>
      <c r="AG188" s="134" t="s">
        <v>182</v>
      </c>
      <c r="AH188" s="134">
        <v>430</v>
      </c>
      <c r="AI188" s="135" t="s">
        <v>184</v>
      </c>
      <c r="AK188" s="1357"/>
      <c r="AL188" s="106"/>
      <c r="AM188" s="106"/>
      <c r="AN188" s="131"/>
      <c r="AP188" s="348">
        <v>5800</v>
      </c>
      <c r="AQ188" s="106"/>
      <c r="AR188" s="106"/>
      <c r="AS188" s="131"/>
      <c r="AU188" s="1354"/>
      <c r="AV188" s="106"/>
      <c r="AW188" s="106"/>
      <c r="AX188" s="131"/>
      <c r="AZ188" s="353" t="s">
        <v>766</v>
      </c>
      <c r="BA188" s="1355"/>
      <c r="BB188" s="136" t="s">
        <v>767</v>
      </c>
      <c r="BC188" s="1355"/>
      <c r="BD188" s="353" t="s">
        <v>766</v>
      </c>
      <c r="BE188" s="1355"/>
      <c r="BF188" s="353" t="s">
        <v>663</v>
      </c>
      <c r="BH188" s="140">
        <v>6130</v>
      </c>
      <c r="BJ188" s="130" t="s">
        <v>785</v>
      </c>
      <c r="BL188" s="132"/>
      <c r="BM188" s="153"/>
      <c r="BN188" s="153"/>
      <c r="BO188" s="154"/>
      <c r="BQ188" s="132"/>
      <c r="BR188" s="153"/>
      <c r="BS188" s="153"/>
      <c r="BT188" s="153"/>
      <c r="BU188" s="154"/>
      <c r="BW188" s="109"/>
      <c r="BX188" s="146"/>
      <c r="BY188" s="146"/>
      <c r="BZ188" s="146"/>
      <c r="CA188" s="147"/>
      <c r="CC188" s="152">
        <v>0.92</v>
      </c>
    </row>
    <row r="189" spans="1:81" ht="75">
      <c r="A189" s="1403"/>
      <c r="B189" s="129" t="s">
        <v>204</v>
      </c>
      <c r="C189" s="130" t="s">
        <v>180</v>
      </c>
      <c r="D189" s="122" t="s">
        <v>181</v>
      </c>
      <c r="F189" s="327">
        <v>26630</v>
      </c>
      <c r="G189" s="328">
        <v>33890</v>
      </c>
      <c r="H189" s="105" t="s">
        <v>182</v>
      </c>
      <c r="I189" s="329">
        <v>240</v>
      </c>
      <c r="J189" s="330">
        <v>320</v>
      </c>
      <c r="K189" s="331" t="s">
        <v>661</v>
      </c>
      <c r="L189" s="105" t="s">
        <v>182</v>
      </c>
      <c r="M189" s="1353">
        <v>1110</v>
      </c>
      <c r="N189" s="123" t="s">
        <v>182</v>
      </c>
      <c r="O189" s="123">
        <v>10</v>
      </c>
      <c r="P189" s="124" t="s">
        <v>184</v>
      </c>
      <c r="Q189" s="105" t="s">
        <v>182</v>
      </c>
      <c r="R189" s="1353">
        <v>4840</v>
      </c>
      <c r="S189" s="123" t="s">
        <v>182</v>
      </c>
      <c r="T189" s="123">
        <v>40</v>
      </c>
      <c r="U189" s="124" t="s">
        <v>184</v>
      </c>
      <c r="V189" s="105" t="s">
        <v>182</v>
      </c>
      <c r="W189" s="342">
        <v>7260</v>
      </c>
      <c r="X189" s="126">
        <v>70</v>
      </c>
      <c r="Y189" s="122" t="s">
        <v>183</v>
      </c>
      <c r="AA189" s="344"/>
      <c r="AF189" s="344" t="s">
        <v>185</v>
      </c>
      <c r="AJ189" s="105" t="s">
        <v>182</v>
      </c>
      <c r="AK189" s="1356" t="s">
        <v>188</v>
      </c>
      <c r="AL189" s="106" t="s">
        <v>182</v>
      </c>
      <c r="AM189" s="106" t="s">
        <v>188</v>
      </c>
      <c r="AN189" s="131"/>
      <c r="AP189" s="349" t="s">
        <v>205</v>
      </c>
      <c r="AQ189" s="106" t="s">
        <v>182</v>
      </c>
      <c r="AR189" s="106">
        <v>40</v>
      </c>
      <c r="AS189" s="131" t="s">
        <v>187</v>
      </c>
      <c r="AT189" s="105" t="s">
        <v>182</v>
      </c>
      <c r="AU189" s="1353">
        <v>860</v>
      </c>
      <c r="AV189" s="123" t="s">
        <v>182</v>
      </c>
      <c r="AW189" s="123">
        <v>8</v>
      </c>
      <c r="AX189" s="124" t="s">
        <v>184</v>
      </c>
      <c r="AY189" s="105" t="s">
        <v>182</v>
      </c>
      <c r="AZ189" s="352">
        <v>500</v>
      </c>
      <c r="BA189" s="1355" t="s">
        <v>664</v>
      </c>
      <c r="BB189" s="127">
        <v>5</v>
      </c>
      <c r="BC189" s="1355" t="s">
        <v>664</v>
      </c>
      <c r="BD189" s="352">
        <v>80</v>
      </c>
      <c r="BE189" s="1355" t="s">
        <v>664</v>
      </c>
      <c r="BF189" s="352">
        <v>1</v>
      </c>
      <c r="BH189" s="139" t="s">
        <v>774</v>
      </c>
      <c r="BI189" s="2" t="s">
        <v>182</v>
      </c>
      <c r="BJ189" s="121">
        <v>235</v>
      </c>
      <c r="BK189" s="105" t="s">
        <v>188</v>
      </c>
      <c r="BL189" s="125">
        <v>1250</v>
      </c>
      <c r="BM189" s="150" t="s">
        <v>189</v>
      </c>
      <c r="BN189" s="150">
        <v>10</v>
      </c>
      <c r="BO189" s="151" t="s">
        <v>184</v>
      </c>
      <c r="BP189" s="105" t="s">
        <v>188</v>
      </c>
      <c r="BQ189" s="125">
        <v>4840</v>
      </c>
      <c r="BR189" s="150" t="s">
        <v>189</v>
      </c>
      <c r="BS189" s="150">
        <v>40</v>
      </c>
      <c r="BT189" s="150" t="s">
        <v>184</v>
      </c>
      <c r="BU189" s="151" t="s">
        <v>190</v>
      </c>
      <c r="BV189" s="105" t="s">
        <v>188</v>
      </c>
      <c r="BW189" s="132">
        <v>3500</v>
      </c>
      <c r="BX189" s="153" t="s">
        <v>189</v>
      </c>
      <c r="BY189" s="153">
        <v>30</v>
      </c>
      <c r="BZ189" s="153" t="s">
        <v>184</v>
      </c>
      <c r="CA189" s="154" t="s">
        <v>190</v>
      </c>
      <c r="CC189" s="152" t="s">
        <v>191</v>
      </c>
    </row>
    <row r="190" spans="1:81" ht="37.5">
      <c r="A190" s="1403"/>
      <c r="B190" s="129"/>
      <c r="C190" s="130"/>
      <c r="D190" s="122" t="s">
        <v>192</v>
      </c>
      <c r="F190" s="332">
        <v>33890</v>
      </c>
      <c r="G190" s="333"/>
      <c r="H190" s="105" t="s">
        <v>182</v>
      </c>
      <c r="I190" s="334">
        <v>320</v>
      </c>
      <c r="J190" s="335"/>
      <c r="K190" s="336" t="s">
        <v>661</v>
      </c>
      <c r="M190" s="1354"/>
      <c r="N190" s="310"/>
      <c r="O190" s="310"/>
      <c r="P190" s="311"/>
      <c r="R190" s="1354"/>
      <c r="S190" s="310"/>
      <c r="T190" s="310"/>
      <c r="U190" s="311"/>
      <c r="V190" s="105" t="s">
        <v>182</v>
      </c>
      <c r="W190" s="334">
        <v>7260</v>
      </c>
      <c r="X190" s="133">
        <v>70</v>
      </c>
      <c r="Y190" s="122" t="s">
        <v>183</v>
      </c>
      <c r="Z190" s="105" t="s">
        <v>182</v>
      </c>
      <c r="AA190" s="345">
        <v>50820</v>
      </c>
      <c r="AB190" s="134" t="s">
        <v>182</v>
      </c>
      <c r="AC190" s="134">
        <v>500</v>
      </c>
      <c r="AD190" s="135" t="s">
        <v>184</v>
      </c>
      <c r="AE190" s="105" t="s">
        <v>182</v>
      </c>
      <c r="AF190" s="345">
        <v>43560</v>
      </c>
      <c r="AG190" s="134" t="s">
        <v>182</v>
      </c>
      <c r="AH190" s="134">
        <v>430</v>
      </c>
      <c r="AI190" s="135" t="s">
        <v>184</v>
      </c>
      <c r="AK190" s="1357"/>
      <c r="AL190" s="106"/>
      <c r="AM190" s="106"/>
      <c r="AN190" s="131"/>
      <c r="AP190" s="348">
        <v>4840</v>
      </c>
      <c r="AQ190" s="106"/>
      <c r="AR190" s="106"/>
      <c r="AS190" s="131"/>
      <c r="AU190" s="1354"/>
      <c r="AV190" s="110"/>
      <c r="AW190" s="110"/>
      <c r="AX190" s="108"/>
      <c r="AZ190" s="353" t="s">
        <v>766</v>
      </c>
      <c r="BA190" s="1355"/>
      <c r="BB190" s="136" t="s">
        <v>767</v>
      </c>
      <c r="BC190" s="1355"/>
      <c r="BD190" s="353" t="s">
        <v>766</v>
      </c>
      <c r="BE190" s="1355"/>
      <c r="BF190" s="353" t="s">
        <v>663</v>
      </c>
      <c r="BH190" s="140">
        <v>5220</v>
      </c>
      <c r="BJ190" s="104" t="s">
        <v>785</v>
      </c>
      <c r="BL190" s="109"/>
      <c r="BM190" s="146"/>
      <c r="BN190" s="146"/>
      <c r="BO190" s="147"/>
      <c r="BQ190" s="109"/>
      <c r="BR190" s="146"/>
      <c r="BS190" s="146"/>
      <c r="BT190" s="146"/>
      <c r="BU190" s="147"/>
      <c r="BW190" s="132"/>
      <c r="BX190" s="153"/>
      <c r="BY190" s="153"/>
      <c r="BZ190" s="153"/>
      <c r="CA190" s="154"/>
      <c r="CC190" s="152">
        <v>0.9</v>
      </c>
    </row>
    <row r="191" spans="1:81" ht="75">
      <c r="A191" s="1403"/>
      <c r="B191" s="120" t="s">
        <v>206</v>
      </c>
      <c r="C191" s="121" t="s">
        <v>180</v>
      </c>
      <c r="D191" s="122" t="s">
        <v>181</v>
      </c>
      <c r="F191" s="327">
        <v>26180</v>
      </c>
      <c r="G191" s="328">
        <v>33440</v>
      </c>
      <c r="H191" s="105" t="s">
        <v>182</v>
      </c>
      <c r="I191" s="329">
        <v>240</v>
      </c>
      <c r="J191" s="330">
        <v>310</v>
      </c>
      <c r="K191" s="331" t="s">
        <v>661</v>
      </c>
      <c r="L191" s="105" t="s">
        <v>182</v>
      </c>
      <c r="M191" s="1353">
        <v>950</v>
      </c>
      <c r="N191" s="106" t="s">
        <v>182</v>
      </c>
      <c r="O191" s="106">
        <v>9</v>
      </c>
      <c r="P191" s="131" t="s">
        <v>184</v>
      </c>
      <c r="Q191" s="105" t="s">
        <v>182</v>
      </c>
      <c r="R191" s="1353">
        <v>4140</v>
      </c>
      <c r="S191" s="106" t="s">
        <v>182</v>
      </c>
      <c r="T191" s="106">
        <v>40</v>
      </c>
      <c r="U191" s="131" t="s">
        <v>184</v>
      </c>
      <c r="V191" s="105" t="s">
        <v>182</v>
      </c>
      <c r="W191" s="342">
        <v>7260</v>
      </c>
      <c r="X191" s="126">
        <v>70</v>
      </c>
      <c r="Y191" s="122" t="s">
        <v>183</v>
      </c>
      <c r="AA191" s="344"/>
      <c r="AF191" s="344" t="s">
        <v>185</v>
      </c>
      <c r="AJ191" s="105" t="s">
        <v>182</v>
      </c>
      <c r="AK191" s="1356" t="s">
        <v>188</v>
      </c>
      <c r="AL191" s="106" t="s">
        <v>182</v>
      </c>
      <c r="AM191" s="106" t="s">
        <v>188</v>
      </c>
      <c r="AN191" s="131"/>
      <c r="AP191" s="349" t="s">
        <v>207</v>
      </c>
      <c r="AQ191" s="106" t="s">
        <v>182</v>
      </c>
      <c r="AR191" s="106">
        <v>40</v>
      </c>
      <c r="AS191" s="131" t="s">
        <v>187</v>
      </c>
      <c r="AT191" s="105" t="s">
        <v>182</v>
      </c>
      <c r="AU191" s="1353">
        <v>740</v>
      </c>
      <c r="AV191" s="106" t="s">
        <v>182</v>
      </c>
      <c r="AW191" s="106">
        <v>7</v>
      </c>
      <c r="AX191" s="131" t="s">
        <v>184</v>
      </c>
      <c r="AY191" s="105" t="s">
        <v>182</v>
      </c>
      <c r="AZ191" s="352">
        <v>440</v>
      </c>
      <c r="BA191" s="1355" t="s">
        <v>664</v>
      </c>
      <c r="BB191" s="127">
        <v>4</v>
      </c>
      <c r="BC191" s="1355" t="s">
        <v>664</v>
      </c>
      <c r="BD191" s="352">
        <v>80</v>
      </c>
      <c r="BE191" s="1355" t="s">
        <v>664</v>
      </c>
      <c r="BF191" s="352">
        <v>1</v>
      </c>
      <c r="BH191" s="139" t="s">
        <v>775</v>
      </c>
      <c r="BI191" s="2" t="s">
        <v>182</v>
      </c>
      <c r="BJ191" s="130">
        <v>235</v>
      </c>
      <c r="BK191" s="105" t="s">
        <v>188</v>
      </c>
      <c r="BL191" s="132">
        <v>1070</v>
      </c>
      <c r="BM191" s="153" t="s">
        <v>189</v>
      </c>
      <c r="BN191" s="153">
        <v>10</v>
      </c>
      <c r="BO191" s="154" t="s">
        <v>184</v>
      </c>
      <c r="BP191" s="105" t="s">
        <v>188</v>
      </c>
      <c r="BQ191" s="132">
        <v>4140</v>
      </c>
      <c r="BR191" s="153" t="s">
        <v>189</v>
      </c>
      <c r="BS191" s="153">
        <v>40</v>
      </c>
      <c r="BT191" s="153" t="s">
        <v>184</v>
      </c>
      <c r="BU191" s="154" t="s">
        <v>190</v>
      </c>
      <c r="BV191" s="105" t="s">
        <v>188</v>
      </c>
      <c r="BW191" s="125">
        <v>3000</v>
      </c>
      <c r="BX191" s="150" t="s">
        <v>189</v>
      </c>
      <c r="BY191" s="150">
        <v>30</v>
      </c>
      <c r="BZ191" s="150" t="s">
        <v>184</v>
      </c>
      <c r="CA191" s="151" t="s">
        <v>190</v>
      </c>
      <c r="CC191" s="152" t="s">
        <v>191</v>
      </c>
    </row>
    <row r="192" spans="1:81" ht="37.5">
      <c r="A192" s="1403"/>
      <c r="B192" s="103"/>
      <c r="C192" s="104"/>
      <c r="D192" s="122" t="s">
        <v>192</v>
      </c>
      <c r="F192" s="332">
        <v>33440</v>
      </c>
      <c r="G192" s="333"/>
      <c r="H192" s="105" t="s">
        <v>182</v>
      </c>
      <c r="I192" s="334">
        <v>310</v>
      </c>
      <c r="J192" s="335"/>
      <c r="K192" s="336" t="s">
        <v>661</v>
      </c>
      <c r="M192" s="1354"/>
      <c r="N192" s="106"/>
      <c r="O192" s="106"/>
      <c r="P192" s="131"/>
      <c r="R192" s="1354"/>
      <c r="S192" s="106"/>
      <c r="T192" s="106"/>
      <c r="U192" s="131"/>
      <c r="V192" s="105" t="s">
        <v>182</v>
      </c>
      <c r="W192" s="334">
        <v>7260</v>
      </c>
      <c r="X192" s="133">
        <v>70</v>
      </c>
      <c r="Y192" s="122" t="s">
        <v>183</v>
      </c>
      <c r="Z192" s="105" t="s">
        <v>182</v>
      </c>
      <c r="AA192" s="345">
        <v>50820</v>
      </c>
      <c r="AB192" s="134" t="s">
        <v>182</v>
      </c>
      <c r="AC192" s="134">
        <v>500</v>
      </c>
      <c r="AD192" s="135" t="s">
        <v>184</v>
      </c>
      <c r="AE192" s="105" t="s">
        <v>182</v>
      </c>
      <c r="AF192" s="345">
        <v>43560</v>
      </c>
      <c r="AG192" s="134" t="s">
        <v>182</v>
      </c>
      <c r="AH192" s="134">
        <v>430</v>
      </c>
      <c r="AI192" s="135" t="s">
        <v>184</v>
      </c>
      <c r="AK192" s="1357"/>
      <c r="AL192" s="106"/>
      <c r="AM192" s="106"/>
      <c r="AN192" s="131"/>
      <c r="AP192" s="348">
        <v>4140</v>
      </c>
      <c r="AQ192" s="106"/>
      <c r="AR192" s="106"/>
      <c r="AS192" s="131"/>
      <c r="AU192" s="1354"/>
      <c r="AV192" s="106"/>
      <c r="AW192" s="106"/>
      <c r="AX192" s="131"/>
      <c r="AZ192" s="353" t="s">
        <v>766</v>
      </c>
      <c r="BA192" s="1355"/>
      <c r="BB192" s="136" t="s">
        <v>767</v>
      </c>
      <c r="BC192" s="1355"/>
      <c r="BD192" s="353" t="s">
        <v>766</v>
      </c>
      <c r="BE192" s="1355"/>
      <c r="BF192" s="353" t="s">
        <v>663</v>
      </c>
      <c r="BH192" s="140">
        <v>4660</v>
      </c>
      <c r="BJ192" s="130" t="s">
        <v>785</v>
      </c>
      <c r="BL192" s="132"/>
      <c r="BM192" s="153"/>
      <c r="BN192" s="153"/>
      <c r="BO192" s="154"/>
      <c r="BQ192" s="132"/>
      <c r="BR192" s="153"/>
      <c r="BS192" s="153"/>
      <c r="BT192" s="153"/>
      <c r="BU192" s="154"/>
      <c r="BW192" s="109"/>
      <c r="BX192" s="146"/>
      <c r="BY192" s="146"/>
      <c r="BZ192" s="146"/>
      <c r="CA192" s="147"/>
      <c r="CC192" s="152">
        <v>0.91</v>
      </c>
    </row>
    <row r="193" spans="1:81" ht="75">
      <c r="A193" s="1403"/>
      <c r="B193" s="129" t="s">
        <v>208</v>
      </c>
      <c r="C193" s="130" t="s">
        <v>180</v>
      </c>
      <c r="D193" s="122" t="s">
        <v>181</v>
      </c>
      <c r="F193" s="327">
        <v>25290</v>
      </c>
      <c r="G193" s="328">
        <v>32550</v>
      </c>
      <c r="H193" s="105" t="s">
        <v>182</v>
      </c>
      <c r="I193" s="329">
        <v>230</v>
      </c>
      <c r="J193" s="330">
        <v>300</v>
      </c>
      <c r="K193" s="331" t="s">
        <v>661</v>
      </c>
      <c r="L193" s="105" t="s">
        <v>182</v>
      </c>
      <c r="M193" s="1353">
        <v>830</v>
      </c>
      <c r="N193" s="123" t="s">
        <v>182</v>
      </c>
      <c r="O193" s="123">
        <v>8</v>
      </c>
      <c r="P193" s="124" t="s">
        <v>184</v>
      </c>
      <c r="Q193" s="105" t="s">
        <v>182</v>
      </c>
      <c r="R193" s="1353">
        <v>3630</v>
      </c>
      <c r="S193" s="123" t="s">
        <v>182</v>
      </c>
      <c r="T193" s="123">
        <v>30</v>
      </c>
      <c r="U193" s="124" t="s">
        <v>184</v>
      </c>
      <c r="V193" s="105" t="s">
        <v>182</v>
      </c>
      <c r="W193" s="342">
        <v>7260</v>
      </c>
      <c r="X193" s="126">
        <v>70</v>
      </c>
      <c r="Y193" s="122" t="s">
        <v>183</v>
      </c>
      <c r="AA193" s="344"/>
      <c r="AF193" s="344" t="s">
        <v>185</v>
      </c>
      <c r="AJ193" s="105" t="s">
        <v>182</v>
      </c>
      <c r="AK193" s="1356" t="s">
        <v>188</v>
      </c>
      <c r="AL193" s="106" t="s">
        <v>182</v>
      </c>
      <c r="AM193" s="106" t="s">
        <v>188</v>
      </c>
      <c r="AN193" s="131"/>
      <c r="AP193" s="349" t="s">
        <v>209</v>
      </c>
      <c r="AQ193" s="106" t="s">
        <v>182</v>
      </c>
      <c r="AR193" s="106">
        <v>30</v>
      </c>
      <c r="AS193" s="131" t="s">
        <v>187</v>
      </c>
      <c r="AT193" s="105" t="s">
        <v>182</v>
      </c>
      <c r="AU193" s="1353">
        <v>650</v>
      </c>
      <c r="AV193" s="123" t="s">
        <v>182</v>
      </c>
      <c r="AW193" s="123">
        <v>6</v>
      </c>
      <c r="AX193" s="124" t="s">
        <v>184</v>
      </c>
      <c r="AY193" s="105" t="s">
        <v>182</v>
      </c>
      <c r="AZ193" s="352">
        <v>410</v>
      </c>
      <c r="BA193" s="1355" t="s">
        <v>664</v>
      </c>
      <c r="BB193" s="127">
        <v>4</v>
      </c>
      <c r="BC193" s="1355" t="s">
        <v>664</v>
      </c>
      <c r="BD193" s="352">
        <v>70</v>
      </c>
      <c r="BE193" s="1355" t="s">
        <v>664</v>
      </c>
      <c r="BF193" s="352">
        <v>1</v>
      </c>
      <c r="BH193" s="139" t="s">
        <v>776</v>
      </c>
      <c r="BI193" s="2" t="s">
        <v>182</v>
      </c>
      <c r="BJ193" s="121">
        <v>235</v>
      </c>
      <c r="BK193" s="105" t="s">
        <v>188</v>
      </c>
      <c r="BL193" s="125">
        <v>930</v>
      </c>
      <c r="BM193" s="150" t="s">
        <v>189</v>
      </c>
      <c r="BN193" s="150">
        <v>9</v>
      </c>
      <c r="BO193" s="151" t="s">
        <v>184</v>
      </c>
      <c r="BP193" s="105" t="s">
        <v>188</v>
      </c>
      <c r="BQ193" s="125">
        <v>3630</v>
      </c>
      <c r="BR193" s="150" t="s">
        <v>189</v>
      </c>
      <c r="BS193" s="150">
        <v>30</v>
      </c>
      <c r="BT193" s="150" t="s">
        <v>184</v>
      </c>
      <c r="BU193" s="151" t="s">
        <v>190</v>
      </c>
      <c r="BV193" s="105" t="s">
        <v>188</v>
      </c>
      <c r="BW193" s="132">
        <v>2630</v>
      </c>
      <c r="BX193" s="153" t="s">
        <v>189</v>
      </c>
      <c r="BY193" s="153">
        <v>20</v>
      </c>
      <c r="BZ193" s="153" t="s">
        <v>184</v>
      </c>
      <c r="CA193" s="154" t="s">
        <v>190</v>
      </c>
      <c r="CC193" s="152" t="s">
        <v>191</v>
      </c>
    </row>
    <row r="194" spans="1:81" ht="37.5">
      <c r="A194" s="1403"/>
      <c r="B194" s="129"/>
      <c r="C194" s="130"/>
      <c r="D194" s="122" t="s">
        <v>192</v>
      </c>
      <c r="F194" s="332">
        <v>32550</v>
      </c>
      <c r="G194" s="333"/>
      <c r="H194" s="105" t="s">
        <v>182</v>
      </c>
      <c r="I194" s="334">
        <v>300</v>
      </c>
      <c r="J194" s="335"/>
      <c r="K194" s="336" t="s">
        <v>661</v>
      </c>
      <c r="M194" s="1354"/>
      <c r="N194" s="310"/>
      <c r="O194" s="310"/>
      <c r="P194" s="311"/>
      <c r="R194" s="1354"/>
      <c r="S194" s="310"/>
      <c r="T194" s="310"/>
      <c r="U194" s="311"/>
      <c r="V194" s="105" t="s">
        <v>182</v>
      </c>
      <c r="W194" s="334">
        <v>7260</v>
      </c>
      <c r="X194" s="133">
        <v>70</v>
      </c>
      <c r="Y194" s="122" t="s">
        <v>183</v>
      </c>
      <c r="Z194" s="105" t="s">
        <v>182</v>
      </c>
      <c r="AA194" s="345">
        <v>50820</v>
      </c>
      <c r="AB194" s="134" t="s">
        <v>182</v>
      </c>
      <c r="AC194" s="134">
        <v>500</v>
      </c>
      <c r="AD194" s="135" t="s">
        <v>184</v>
      </c>
      <c r="AE194" s="105" t="s">
        <v>182</v>
      </c>
      <c r="AF194" s="345">
        <v>43560</v>
      </c>
      <c r="AG194" s="134" t="s">
        <v>182</v>
      </c>
      <c r="AH194" s="134">
        <v>430</v>
      </c>
      <c r="AI194" s="135" t="s">
        <v>184</v>
      </c>
      <c r="AK194" s="1357"/>
      <c r="AL194" s="110"/>
      <c r="AM194" s="110"/>
      <c r="AN194" s="108"/>
      <c r="AP194" s="348">
        <v>3630</v>
      </c>
      <c r="AQ194" s="106"/>
      <c r="AR194" s="106"/>
      <c r="AS194" s="131"/>
      <c r="AU194" s="1354"/>
      <c r="AV194" s="110"/>
      <c r="AW194" s="110"/>
      <c r="AX194" s="108"/>
      <c r="AZ194" s="353" t="s">
        <v>766</v>
      </c>
      <c r="BA194" s="1355"/>
      <c r="BB194" s="136" t="s">
        <v>767</v>
      </c>
      <c r="BC194" s="1355"/>
      <c r="BD194" s="353" t="s">
        <v>766</v>
      </c>
      <c r="BE194" s="1355"/>
      <c r="BF194" s="353" t="s">
        <v>663</v>
      </c>
      <c r="BH194" s="140">
        <v>4250</v>
      </c>
      <c r="BJ194" s="104" t="s">
        <v>785</v>
      </c>
      <c r="BL194" s="109"/>
      <c r="BM194" s="146"/>
      <c r="BN194" s="146"/>
      <c r="BO194" s="147"/>
      <c r="BQ194" s="109"/>
      <c r="BR194" s="146"/>
      <c r="BS194" s="146"/>
      <c r="BT194" s="146"/>
      <c r="BU194" s="147"/>
      <c r="BW194" s="132"/>
      <c r="BX194" s="153"/>
      <c r="BY194" s="153"/>
      <c r="BZ194" s="153"/>
      <c r="CA194" s="154"/>
      <c r="CC194" s="152">
        <v>0.92</v>
      </c>
    </row>
    <row r="195" spans="1:81" ht="75">
      <c r="A195" s="1403"/>
      <c r="B195" s="120" t="s">
        <v>210</v>
      </c>
      <c r="C195" s="121" t="s">
        <v>180</v>
      </c>
      <c r="D195" s="122" t="s">
        <v>181</v>
      </c>
      <c r="F195" s="327">
        <v>24560</v>
      </c>
      <c r="G195" s="328">
        <v>31820</v>
      </c>
      <c r="H195" s="105" t="s">
        <v>182</v>
      </c>
      <c r="I195" s="329">
        <v>220</v>
      </c>
      <c r="J195" s="330">
        <v>300</v>
      </c>
      <c r="K195" s="331" t="s">
        <v>661</v>
      </c>
      <c r="L195" s="105" t="s">
        <v>182</v>
      </c>
      <c r="M195" s="1353">
        <v>740</v>
      </c>
      <c r="N195" s="106" t="s">
        <v>182</v>
      </c>
      <c r="O195" s="106">
        <v>7</v>
      </c>
      <c r="P195" s="131" t="s">
        <v>184</v>
      </c>
      <c r="Q195" s="105" t="s">
        <v>182</v>
      </c>
      <c r="R195" s="1353">
        <v>3220</v>
      </c>
      <c r="S195" s="106" t="s">
        <v>182</v>
      </c>
      <c r="T195" s="106">
        <v>30</v>
      </c>
      <c r="U195" s="131" t="s">
        <v>184</v>
      </c>
      <c r="V195" s="105" t="s">
        <v>182</v>
      </c>
      <c r="W195" s="342">
        <v>7260</v>
      </c>
      <c r="X195" s="126">
        <v>70</v>
      </c>
      <c r="Y195" s="122" t="s">
        <v>183</v>
      </c>
      <c r="AA195" s="344"/>
      <c r="AF195" s="344" t="s">
        <v>185</v>
      </c>
      <c r="AJ195" s="105" t="s">
        <v>182</v>
      </c>
      <c r="AK195" s="1356">
        <v>640</v>
      </c>
      <c r="AL195" s="106" t="s">
        <v>182</v>
      </c>
      <c r="AM195" s="106">
        <v>6</v>
      </c>
      <c r="AN195" s="131" t="s">
        <v>184</v>
      </c>
      <c r="AP195" s="349" t="s">
        <v>211</v>
      </c>
      <c r="AQ195" s="106" t="s">
        <v>182</v>
      </c>
      <c r="AR195" s="106">
        <v>30</v>
      </c>
      <c r="AS195" s="131" t="s">
        <v>187</v>
      </c>
      <c r="AT195" s="105" t="s">
        <v>182</v>
      </c>
      <c r="AU195" s="1353">
        <v>570</v>
      </c>
      <c r="AV195" s="106" t="s">
        <v>182</v>
      </c>
      <c r="AW195" s="106">
        <v>5</v>
      </c>
      <c r="AX195" s="131" t="s">
        <v>184</v>
      </c>
      <c r="AY195" s="105" t="s">
        <v>182</v>
      </c>
      <c r="AZ195" s="352">
        <v>370</v>
      </c>
      <c r="BA195" s="1355" t="s">
        <v>664</v>
      </c>
      <c r="BB195" s="127">
        <v>3</v>
      </c>
      <c r="BC195" s="1355" t="s">
        <v>664</v>
      </c>
      <c r="BD195" s="352">
        <v>60</v>
      </c>
      <c r="BE195" s="1355" t="s">
        <v>664</v>
      </c>
      <c r="BF195" s="352">
        <v>1</v>
      </c>
      <c r="BH195" s="139" t="s">
        <v>777</v>
      </c>
      <c r="BI195" s="2" t="s">
        <v>182</v>
      </c>
      <c r="BJ195" s="130">
        <v>235</v>
      </c>
      <c r="BK195" s="105" t="s">
        <v>188</v>
      </c>
      <c r="BL195" s="132">
        <v>830</v>
      </c>
      <c r="BM195" s="153" t="s">
        <v>189</v>
      </c>
      <c r="BN195" s="153">
        <v>8</v>
      </c>
      <c r="BO195" s="154" t="s">
        <v>184</v>
      </c>
      <c r="BP195" s="105" t="s">
        <v>188</v>
      </c>
      <c r="BQ195" s="132">
        <v>3220</v>
      </c>
      <c r="BR195" s="153" t="s">
        <v>189</v>
      </c>
      <c r="BS195" s="153">
        <v>30</v>
      </c>
      <c r="BT195" s="153" t="s">
        <v>184</v>
      </c>
      <c r="BU195" s="154" t="s">
        <v>190</v>
      </c>
      <c r="BV195" s="105" t="s">
        <v>188</v>
      </c>
      <c r="BW195" s="125">
        <v>2340</v>
      </c>
      <c r="BX195" s="150" t="s">
        <v>189</v>
      </c>
      <c r="BY195" s="150">
        <v>20</v>
      </c>
      <c r="BZ195" s="150" t="s">
        <v>184</v>
      </c>
      <c r="CA195" s="151" t="s">
        <v>190</v>
      </c>
      <c r="CC195" s="152" t="s">
        <v>191</v>
      </c>
    </row>
    <row r="196" spans="1:81" ht="37.5">
      <c r="A196" s="1403"/>
      <c r="B196" s="103"/>
      <c r="C196" s="104"/>
      <c r="D196" s="122" t="s">
        <v>192</v>
      </c>
      <c r="F196" s="332">
        <v>31820</v>
      </c>
      <c r="G196" s="333"/>
      <c r="H196" s="105" t="s">
        <v>182</v>
      </c>
      <c r="I196" s="334">
        <v>300</v>
      </c>
      <c r="J196" s="335"/>
      <c r="K196" s="336" t="s">
        <v>661</v>
      </c>
      <c r="M196" s="1354"/>
      <c r="N196" s="106"/>
      <c r="O196" s="106"/>
      <c r="P196" s="131"/>
      <c r="R196" s="1354"/>
      <c r="S196" s="106"/>
      <c r="T196" s="106"/>
      <c r="U196" s="131"/>
      <c r="V196" s="105" t="s">
        <v>182</v>
      </c>
      <c r="W196" s="334">
        <v>7260</v>
      </c>
      <c r="X196" s="133">
        <v>70</v>
      </c>
      <c r="Y196" s="122" t="s">
        <v>183</v>
      </c>
      <c r="Z196" s="105" t="s">
        <v>182</v>
      </c>
      <c r="AA196" s="345">
        <v>50820</v>
      </c>
      <c r="AB196" s="134" t="s">
        <v>182</v>
      </c>
      <c r="AC196" s="134">
        <v>500</v>
      </c>
      <c r="AD196" s="135" t="s">
        <v>184</v>
      </c>
      <c r="AE196" s="105" t="s">
        <v>182</v>
      </c>
      <c r="AF196" s="345">
        <v>43560</v>
      </c>
      <c r="AG196" s="134" t="s">
        <v>182</v>
      </c>
      <c r="AH196" s="134">
        <v>430</v>
      </c>
      <c r="AI196" s="135" t="s">
        <v>184</v>
      </c>
      <c r="AK196" s="1357"/>
      <c r="AL196" s="106"/>
      <c r="AM196" s="106"/>
      <c r="AN196" s="131"/>
      <c r="AP196" s="348">
        <v>3220</v>
      </c>
      <c r="AQ196" s="106"/>
      <c r="AR196" s="106"/>
      <c r="AS196" s="131"/>
      <c r="AU196" s="1354"/>
      <c r="AV196" s="106"/>
      <c r="AW196" s="106"/>
      <c r="AX196" s="131"/>
      <c r="AZ196" s="353" t="s">
        <v>766</v>
      </c>
      <c r="BA196" s="1355"/>
      <c r="BB196" s="136" t="s">
        <v>767</v>
      </c>
      <c r="BC196" s="1355"/>
      <c r="BD196" s="353" t="s">
        <v>766</v>
      </c>
      <c r="BE196" s="1355"/>
      <c r="BF196" s="353" t="s">
        <v>663</v>
      </c>
      <c r="BH196" s="140">
        <v>3920</v>
      </c>
      <c r="BJ196" s="130" t="s">
        <v>785</v>
      </c>
      <c r="BL196" s="132"/>
      <c r="BM196" s="153"/>
      <c r="BN196" s="153"/>
      <c r="BO196" s="154"/>
      <c r="BQ196" s="132"/>
      <c r="BR196" s="153"/>
      <c r="BS196" s="153"/>
      <c r="BT196" s="153"/>
      <c r="BU196" s="154"/>
      <c r="BW196" s="109"/>
      <c r="BX196" s="146"/>
      <c r="BY196" s="146"/>
      <c r="BZ196" s="146"/>
      <c r="CA196" s="147"/>
      <c r="CC196" s="152">
        <v>0.96</v>
      </c>
    </row>
    <row r="197" spans="1:81" ht="75">
      <c r="A197" s="1403"/>
      <c r="B197" s="129" t="s">
        <v>212</v>
      </c>
      <c r="C197" s="130" t="s">
        <v>180</v>
      </c>
      <c r="D197" s="122" t="s">
        <v>181</v>
      </c>
      <c r="F197" s="327">
        <v>24010</v>
      </c>
      <c r="G197" s="328">
        <v>31270</v>
      </c>
      <c r="H197" s="105" t="s">
        <v>182</v>
      </c>
      <c r="I197" s="329">
        <v>220</v>
      </c>
      <c r="J197" s="330">
        <v>290</v>
      </c>
      <c r="K197" s="331" t="s">
        <v>661</v>
      </c>
      <c r="L197" s="105" t="s">
        <v>182</v>
      </c>
      <c r="M197" s="1353">
        <v>670</v>
      </c>
      <c r="N197" s="123" t="s">
        <v>182</v>
      </c>
      <c r="O197" s="123">
        <v>6</v>
      </c>
      <c r="P197" s="124" t="s">
        <v>184</v>
      </c>
      <c r="Q197" s="105" t="s">
        <v>182</v>
      </c>
      <c r="R197" s="1353">
        <v>2900</v>
      </c>
      <c r="S197" s="123" t="s">
        <v>182</v>
      </c>
      <c r="T197" s="123">
        <v>20</v>
      </c>
      <c r="U197" s="124" t="s">
        <v>184</v>
      </c>
      <c r="V197" s="105" t="s">
        <v>182</v>
      </c>
      <c r="W197" s="342">
        <v>7260</v>
      </c>
      <c r="X197" s="126">
        <v>70</v>
      </c>
      <c r="Y197" s="122" t="s">
        <v>183</v>
      </c>
      <c r="AA197" s="344"/>
      <c r="AF197" s="344" t="s">
        <v>185</v>
      </c>
      <c r="AJ197" s="105" t="s">
        <v>182</v>
      </c>
      <c r="AK197" s="1356">
        <v>570</v>
      </c>
      <c r="AL197" s="123" t="s">
        <v>182</v>
      </c>
      <c r="AM197" s="123">
        <v>5</v>
      </c>
      <c r="AN197" s="124" t="s">
        <v>184</v>
      </c>
      <c r="AP197" s="349" t="s">
        <v>213</v>
      </c>
      <c r="AQ197" s="106" t="s">
        <v>182</v>
      </c>
      <c r="AR197" s="106">
        <v>20</v>
      </c>
      <c r="AS197" s="131" t="s">
        <v>187</v>
      </c>
      <c r="AT197" s="105" t="s">
        <v>182</v>
      </c>
      <c r="AU197" s="1353">
        <v>520</v>
      </c>
      <c r="AV197" s="123" t="s">
        <v>182</v>
      </c>
      <c r="AW197" s="123">
        <v>5</v>
      </c>
      <c r="AX197" s="124" t="s">
        <v>184</v>
      </c>
      <c r="AY197" s="105" t="s">
        <v>182</v>
      </c>
      <c r="AZ197" s="352">
        <v>350</v>
      </c>
      <c r="BA197" s="1355" t="s">
        <v>664</v>
      </c>
      <c r="BB197" s="127">
        <v>3</v>
      </c>
      <c r="BC197" s="1355" t="s">
        <v>664</v>
      </c>
      <c r="BD197" s="352">
        <v>60</v>
      </c>
      <c r="BE197" s="1355" t="s">
        <v>664</v>
      </c>
      <c r="BF197" s="352">
        <v>1</v>
      </c>
      <c r="BH197" s="139" t="s">
        <v>778</v>
      </c>
      <c r="BI197" s="2" t="s">
        <v>182</v>
      </c>
      <c r="BJ197" s="121">
        <v>235</v>
      </c>
      <c r="BK197" s="105" t="s">
        <v>188</v>
      </c>
      <c r="BL197" s="125">
        <v>750</v>
      </c>
      <c r="BM197" s="150" t="s">
        <v>189</v>
      </c>
      <c r="BN197" s="150">
        <v>8</v>
      </c>
      <c r="BO197" s="151" t="s">
        <v>184</v>
      </c>
      <c r="BP197" s="105" t="s">
        <v>188</v>
      </c>
      <c r="BQ197" s="125">
        <v>2900</v>
      </c>
      <c r="BR197" s="150" t="s">
        <v>189</v>
      </c>
      <c r="BS197" s="150">
        <v>20</v>
      </c>
      <c r="BT197" s="150" t="s">
        <v>184</v>
      </c>
      <c r="BU197" s="151" t="s">
        <v>190</v>
      </c>
      <c r="BV197" s="105" t="s">
        <v>188</v>
      </c>
      <c r="BW197" s="132">
        <v>2100</v>
      </c>
      <c r="BX197" s="153" t="s">
        <v>189</v>
      </c>
      <c r="BY197" s="153">
        <v>20</v>
      </c>
      <c r="BZ197" s="153" t="s">
        <v>184</v>
      </c>
      <c r="CA197" s="154" t="s">
        <v>190</v>
      </c>
      <c r="CC197" s="152" t="s">
        <v>191</v>
      </c>
    </row>
    <row r="198" spans="1:81" ht="37.5">
      <c r="A198" s="1403"/>
      <c r="B198" s="129"/>
      <c r="C198" s="130"/>
      <c r="D198" s="122" t="s">
        <v>192</v>
      </c>
      <c r="F198" s="332">
        <v>31270</v>
      </c>
      <c r="G198" s="333"/>
      <c r="H198" s="105" t="s">
        <v>182</v>
      </c>
      <c r="I198" s="334">
        <v>290</v>
      </c>
      <c r="J198" s="335"/>
      <c r="K198" s="336" t="s">
        <v>661</v>
      </c>
      <c r="M198" s="1354"/>
      <c r="N198" s="310"/>
      <c r="O198" s="310"/>
      <c r="P198" s="311"/>
      <c r="R198" s="1354"/>
      <c r="S198" s="310"/>
      <c r="T198" s="310"/>
      <c r="U198" s="311"/>
      <c r="V198" s="105" t="s">
        <v>182</v>
      </c>
      <c r="W198" s="334">
        <v>7260</v>
      </c>
      <c r="X198" s="133">
        <v>70</v>
      </c>
      <c r="Y198" s="122" t="s">
        <v>183</v>
      </c>
      <c r="Z198" s="105" t="s">
        <v>182</v>
      </c>
      <c r="AA198" s="345">
        <v>50820</v>
      </c>
      <c r="AB198" s="134" t="s">
        <v>182</v>
      </c>
      <c r="AC198" s="134">
        <v>500</v>
      </c>
      <c r="AD198" s="135" t="s">
        <v>184</v>
      </c>
      <c r="AE198" s="105" t="s">
        <v>182</v>
      </c>
      <c r="AF198" s="345">
        <v>43560</v>
      </c>
      <c r="AG198" s="134" t="s">
        <v>182</v>
      </c>
      <c r="AH198" s="134">
        <v>430</v>
      </c>
      <c r="AI198" s="135" t="s">
        <v>184</v>
      </c>
      <c r="AK198" s="1357"/>
      <c r="AL198" s="110"/>
      <c r="AM198" s="110"/>
      <c r="AN198" s="108"/>
      <c r="AP198" s="348">
        <v>2900</v>
      </c>
      <c r="AQ198" s="106"/>
      <c r="AR198" s="106"/>
      <c r="AS198" s="131"/>
      <c r="AU198" s="1354"/>
      <c r="AV198" s="110"/>
      <c r="AW198" s="110"/>
      <c r="AX198" s="108"/>
      <c r="AZ198" s="353" t="s">
        <v>766</v>
      </c>
      <c r="BA198" s="1355"/>
      <c r="BB198" s="136" t="s">
        <v>767</v>
      </c>
      <c r="BC198" s="1355"/>
      <c r="BD198" s="353" t="s">
        <v>766</v>
      </c>
      <c r="BE198" s="1355"/>
      <c r="BF198" s="353" t="s">
        <v>663</v>
      </c>
      <c r="BH198" s="140">
        <v>3660</v>
      </c>
      <c r="BJ198" s="104" t="s">
        <v>785</v>
      </c>
      <c r="BL198" s="109"/>
      <c r="BM198" s="146"/>
      <c r="BN198" s="146"/>
      <c r="BO198" s="147"/>
      <c r="BQ198" s="109"/>
      <c r="BR198" s="146"/>
      <c r="BS198" s="146"/>
      <c r="BT198" s="146"/>
      <c r="BU198" s="147"/>
      <c r="BW198" s="132"/>
      <c r="BX198" s="153"/>
      <c r="BY198" s="153"/>
      <c r="BZ198" s="153"/>
      <c r="CA198" s="154"/>
      <c r="CC198" s="152">
        <v>0.99</v>
      </c>
    </row>
    <row r="199" spans="1:81" ht="75">
      <c r="A199" s="1403"/>
      <c r="B199" s="120" t="s">
        <v>214</v>
      </c>
      <c r="C199" s="121" t="s">
        <v>180</v>
      </c>
      <c r="D199" s="122" t="s">
        <v>181</v>
      </c>
      <c r="F199" s="327">
        <v>23150</v>
      </c>
      <c r="G199" s="328">
        <v>30410</v>
      </c>
      <c r="H199" s="105" t="s">
        <v>182</v>
      </c>
      <c r="I199" s="329">
        <v>210</v>
      </c>
      <c r="J199" s="330">
        <v>280</v>
      </c>
      <c r="K199" s="331" t="s">
        <v>661</v>
      </c>
      <c r="L199" s="105" t="s">
        <v>182</v>
      </c>
      <c r="M199" s="1353">
        <v>550</v>
      </c>
      <c r="N199" s="106" t="s">
        <v>182</v>
      </c>
      <c r="O199" s="106">
        <v>5</v>
      </c>
      <c r="P199" s="131" t="s">
        <v>184</v>
      </c>
      <c r="Q199" s="105" t="s">
        <v>182</v>
      </c>
      <c r="R199" s="1353">
        <v>2420</v>
      </c>
      <c r="S199" s="106" t="s">
        <v>182</v>
      </c>
      <c r="T199" s="106">
        <v>20</v>
      </c>
      <c r="U199" s="131" t="s">
        <v>184</v>
      </c>
      <c r="V199" s="105" t="s">
        <v>182</v>
      </c>
      <c r="W199" s="342">
        <v>7260</v>
      </c>
      <c r="X199" s="126">
        <v>70</v>
      </c>
      <c r="Y199" s="122" t="s">
        <v>183</v>
      </c>
      <c r="AA199" s="344"/>
      <c r="AF199" s="344" t="s">
        <v>185</v>
      </c>
      <c r="AJ199" s="105" t="s">
        <v>182</v>
      </c>
      <c r="AK199" s="1356">
        <v>480</v>
      </c>
      <c r="AL199" s="106" t="s">
        <v>182</v>
      </c>
      <c r="AM199" s="106">
        <v>4</v>
      </c>
      <c r="AN199" s="131" t="s">
        <v>184</v>
      </c>
      <c r="AP199" s="349" t="s">
        <v>215</v>
      </c>
      <c r="AQ199" s="106" t="s">
        <v>182</v>
      </c>
      <c r="AR199" s="106">
        <v>20</v>
      </c>
      <c r="AS199" s="131" t="s">
        <v>187</v>
      </c>
      <c r="AT199" s="105" t="s">
        <v>182</v>
      </c>
      <c r="AU199" s="1353">
        <v>500</v>
      </c>
      <c r="AV199" s="106" t="s">
        <v>182</v>
      </c>
      <c r="AW199" s="106">
        <v>5</v>
      </c>
      <c r="AX199" s="131" t="s">
        <v>184</v>
      </c>
      <c r="AY199" s="105" t="s">
        <v>182</v>
      </c>
      <c r="AZ199" s="352">
        <v>300</v>
      </c>
      <c r="BA199" s="1355" t="s">
        <v>664</v>
      </c>
      <c r="BB199" s="127">
        <v>3</v>
      </c>
      <c r="BC199" s="1355" t="s">
        <v>664</v>
      </c>
      <c r="BD199" s="352">
        <v>50</v>
      </c>
      <c r="BE199" s="1355" t="s">
        <v>664</v>
      </c>
      <c r="BF199" s="352">
        <v>1</v>
      </c>
      <c r="BH199" s="139" t="s">
        <v>779</v>
      </c>
      <c r="BI199" s="2" t="s">
        <v>182</v>
      </c>
      <c r="BJ199" s="130">
        <v>235</v>
      </c>
      <c r="BK199" s="105" t="s">
        <v>188</v>
      </c>
      <c r="BL199" s="132">
        <v>620</v>
      </c>
      <c r="BM199" s="153" t="s">
        <v>189</v>
      </c>
      <c r="BN199" s="153">
        <v>6</v>
      </c>
      <c r="BO199" s="154" t="s">
        <v>184</v>
      </c>
      <c r="BP199" s="105" t="s">
        <v>188</v>
      </c>
      <c r="BQ199" s="132">
        <v>2420</v>
      </c>
      <c r="BR199" s="153" t="s">
        <v>189</v>
      </c>
      <c r="BS199" s="153">
        <v>20</v>
      </c>
      <c r="BT199" s="153" t="s">
        <v>184</v>
      </c>
      <c r="BU199" s="154" t="s">
        <v>190</v>
      </c>
      <c r="BV199" s="105" t="s">
        <v>188</v>
      </c>
      <c r="BW199" s="125">
        <v>1750</v>
      </c>
      <c r="BX199" s="150" t="s">
        <v>189</v>
      </c>
      <c r="BY199" s="150">
        <v>10</v>
      </c>
      <c r="BZ199" s="150" t="s">
        <v>184</v>
      </c>
      <c r="CA199" s="151" t="s">
        <v>190</v>
      </c>
      <c r="CC199" s="152" t="s">
        <v>191</v>
      </c>
    </row>
    <row r="200" spans="1:81" ht="37.5">
      <c r="A200" s="1403"/>
      <c r="B200" s="103"/>
      <c r="C200" s="104"/>
      <c r="D200" s="122" t="s">
        <v>192</v>
      </c>
      <c r="F200" s="332">
        <v>30410</v>
      </c>
      <c r="G200" s="333"/>
      <c r="H200" s="105" t="s">
        <v>182</v>
      </c>
      <c r="I200" s="334">
        <v>280</v>
      </c>
      <c r="J200" s="335"/>
      <c r="K200" s="336" t="s">
        <v>661</v>
      </c>
      <c r="M200" s="1354"/>
      <c r="N200" s="106"/>
      <c r="O200" s="106"/>
      <c r="P200" s="131"/>
      <c r="R200" s="1354"/>
      <c r="S200" s="106"/>
      <c r="T200" s="106"/>
      <c r="U200" s="131"/>
      <c r="V200" s="105" t="s">
        <v>182</v>
      </c>
      <c r="W200" s="334">
        <v>7260</v>
      </c>
      <c r="X200" s="133">
        <v>70</v>
      </c>
      <c r="Y200" s="122" t="s">
        <v>183</v>
      </c>
      <c r="Z200" s="105" t="s">
        <v>182</v>
      </c>
      <c r="AA200" s="345">
        <v>50820</v>
      </c>
      <c r="AB200" s="134" t="s">
        <v>182</v>
      </c>
      <c r="AC200" s="134">
        <v>500</v>
      </c>
      <c r="AD200" s="135" t="s">
        <v>184</v>
      </c>
      <c r="AE200" s="105" t="s">
        <v>182</v>
      </c>
      <c r="AF200" s="345">
        <v>43560</v>
      </c>
      <c r="AG200" s="134" t="s">
        <v>182</v>
      </c>
      <c r="AH200" s="134">
        <v>430</v>
      </c>
      <c r="AI200" s="135" t="s">
        <v>184</v>
      </c>
      <c r="AK200" s="1357"/>
      <c r="AL200" s="106"/>
      <c r="AM200" s="106"/>
      <c r="AN200" s="131"/>
      <c r="AP200" s="348">
        <v>2420</v>
      </c>
      <c r="AQ200" s="106"/>
      <c r="AR200" s="106"/>
      <c r="AS200" s="131"/>
      <c r="AU200" s="1354"/>
      <c r="AV200" s="106"/>
      <c r="AW200" s="106"/>
      <c r="AX200" s="131"/>
      <c r="AZ200" s="353" t="s">
        <v>766</v>
      </c>
      <c r="BA200" s="1355"/>
      <c r="BB200" s="136" t="s">
        <v>767</v>
      </c>
      <c r="BC200" s="1355"/>
      <c r="BD200" s="353" t="s">
        <v>766</v>
      </c>
      <c r="BE200" s="1355"/>
      <c r="BF200" s="353" t="s">
        <v>663</v>
      </c>
      <c r="BH200" s="140">
        <v>3160</v>
      </c>
      <c r="BJ200" s="130" t="s">
        <v>785</v>
      </c>
      <c r="BL200" s="132"/>
      <c r="BM200" s="153"/>
      <c r="BN200" s="153"/>
      <c r="BO200" s="154"/>
      <c r="BQ200" s="132"/>
      <c r="BR200" s="153"/>
      <c r="BS200" s="153"/>
      <c r="BT200" s="153"/>
      <c r="BU200" s="154"/>
      <c r="BW200" s="109"/>
      <c r="BX200" s="146"/>
      <c r="BY200" s="146"/>
      <c r="BZ200" s="146"/>
      <c r="CA200" s="147"/>
      <c r="CC200" s="152">
        <v>0.92</v>
      </c>
    </row>
    <row r="201" spans="1:81" ht="75">
      <c r="A201" s="1403"/>
      <c r="B201" s="129" t="s">
        <v>216</v>
      </c>
      <c r="C201" s="130" t="s">
        <v>180</v>
      </c>
      <c r="D201" s="122" t="s">
        <v>181</v>
      </c>
      <c r="F201" s="327">
        <v>22530</v>
      </c>
      <c r="G201" s="328">
        <v>29790</v>
      </c>
      <c r="H201" s="105" t="s">
        <v>182</v>
      </c>
      <c r="I201" s="329">
        <v>200</v>
      </c>
      <c r="J201" s="330">
        <v>280</v>
      </c>
      <c r="K201" s="331" t="s">
        <v>661</v>
      </c>
      <c r="L201" s="105" t="s">
        <v>182</v>
      </c>
      <c r="M201" s="1353">
        <v>470</v>
      </c>
      <c r="N201" s="123" t="s">
        <v>182</v>
      </c>
      <c r="O201" s="123">
        <v>4</v>
      </c>
      <c r="P201" s="124" t="s">
        <v>184</v>
      </c>
      <c r="Q201" s="105" t="s">
        <v>182</v>
      </c>
      <c r="R201" s="1353">
        <v>2070</v>
      </c>
      <c r="S201" s="123" t="s">
        <v>182</v>
      </c>
      <c r="T201" s="123">
        <v>20</v>
      </c>
      <c r="U201" s="124" t="s">
        <v>184</v>
      </c>
      <c r="V201" s="105" t="s">
        <v>182</v>
      </c>
      <c r="W201" s="342">
        <v>7260</v>
      </c>
      <c r="X201" s="126">
        <v>70</v>
      </c>
      <c r="Y201" s="122" t="s">
        <v>183</v>
      </c>
      <c r="AA201" s="344"/>
      <c r="AF201" s="344" t="s">
        <v>185</v>
      </c>
      <c r="AJ201" s="105" t="s">
        <v>182</v>
      </c>
      <c r="AK201" s="1356">
        <v>410</v>
      </c>
      <c r="AL201" s="123" t="s">
        <v>182</v>
      </c>
      <c r="AM201" s="123">
        <v>4</v>
      </c>
      <c r="AN201" s="124" t="s">
        <v>184</v>
      </c>
      <c r="AP201" s="349" t="s">
        <v>217</v>
      </c>
      <c r="AQ201" s="106" t="s">
        <v>182</v>
      </c>
      <c r="AR201" s="106">
        <v>20</v>
      </c>
      <c r="AS201" s="131" t="s">
        <v>187</v>
      </c>
      <c r="AT201" s="105" t="s">
        <v>182</v>
      </c>
      <c r="AU201" s="1353">
        <v>500</v>
      </c>
      <c r="AV201" s="123" t="s">
        <v>182</v>
      </c>
      <c r="AW201" s="123">
        <v>5</v>
      </c>
      <c r="AX201" s="124" t="s">
        <v>184</v>
      </c>
      <c r="AY201" s="105" t="s">
        <v>182</v>
      </c>
      <c r="AZ201" s="352">
        <v>270</v>
      </c>
      <c r="BA201" s="1355" t="s">
        <v>664</v>
      </c>
      <c r="BB201" s="127">
        <v>2</v>
      </c>
      <c r="BC201" s="1355" t="s">
        <v>664</v>
      </c>
      <c r="BD201" s="352">
        <v>40</v>
      </c>
      <c r="BE201" s="1355" t="s">
        <v>664</v>
      </c>
      <c r="BF201" s="352">
        <v>1</v>
      </c>
      <c r="BH201" s="139" t="s">
        <v>780</v>
      </c>
      <c r="BI201" s="2" t="s">
        <v>182</v>
      </c>
      <c r="BJ201" s="121">
        <v>235</v>
      </c>
      <c r="BK201" s="105" t="s">
        <v>188</v>
      </c>
      <c r="BL201" s="125">
        <v>530</v>
      </c>
      <c r="BM201" s="150" t="s">
        <v>189</v>
      </c>
      <c r="BN201" s="150">
        <v>5</v>
      </c>
      <c r="BO201" s="151" t="s">
        <v>184</v>
      </c>
      <c r="BP201" s="105" t="s">
        <v>188</v>
      </c>
      <c r="BQ201" s="125">
        <v>2070</v>
      </c>
      <c r="BR201" s="150" t="s">
        <v>189</v>
      </c>
      <c r="BS201" s="150">
        <v>20</v>
      </c>
      <c r="BT201" s="150" t="s">
        <v>184</v>
      </c>
      <c r="BU201" s="151" t="s">
        <v>190</v>
      </c>
      <c r="BV201" s="105" t="s">
        <v>188</v>
      </c>
      <c r="BW201" s="132">
        <v>1500</v>
      </c>
      <c r="BX201" s="153" t="s">
        <v>189</v>
      </c>
      <c r="BY201" s="153">
        <v>10</v>
      </c>
      <c r="BZ201" s="153" t="s">
        <v>184</v>
      </c>
      <c r="CA201" s="154" t="s">
        <v>190</v>
      </c>
      <c r="CC201" s="152" t="s">
        <v>191</v>
      </c>
    </row>
    <row r="202" spans="1:81" ht="37.5">
      <c r="A202" s="1403"/>
      <c r="B202" s="129"/>
      <c r="C202" s="130"/>
      <c r="D202" s="122" t="s">
        <v>192</v>
      </c>
      <c r="F202" s="332">
        <v>29790</v>
      </c>
      <c r="G202" s="333"/>
      <c r="H202" s="105" t="s">
        <v>182</v>
      </c>
      <c r="I202" s="334">
        <v>280</v>
      </c>
      <c r="J202" s="335"/>
      <c r="K202" s="336" t="s">
        <v>661</v>
      </c>
      <c r="M202" s="1354"/>
      <c r="N202" s="310"/>
      <c r="O202" s="310"/>
      <c r="P202" s="311"/>
      <c r="R202" s="1354"/>
      <c r="S202" s="310"/>
      <c r="T202" s="310"/>
      <c r="U202" s="311"/>
      <c r="V202" s="105" t="s">
        <v>182</v>
      </c>
      <c r="W202" s="334">
        <v>7260</v>
      </c>
      <c r="X202" s="133">
        <v>70</v>
      </c>
      <c r="Y202" s="122" t="s">
        <v>183</v>
      </c>
      <c r="Z202" s="105" t="s">
        <v>182</v>
      </c>
      <c r="AA202" s="345">
        <v>50820</v>
      </c>
      <c r="AB202" s="134" t="s">
        <v>182</v>
      </c>
      <c r="AC202" s="134">
        <v>500</v>
      </c>
      <c r="AD202" s="135" t="s">
        <v>184</v>
      </c>
      <c r="AE202" s="105" t="s">
        <v>182</v>
      </c>
      <c r="AF202" s="345">
        <v>43560</v>
      </c>
      <c r="AG202" s="134" t="s">
        <v>182</v>
      </c>
      <c r="AH202" s="134">
        <v>430</v>
      </c>
      <c r="AI202" s="135" t="s">
        <v>184</v>
      </c>
      <c r="AK202" s="1357"/>
      <c r="AL202" s="110"/>
      <c r="AM202" s="110"/>
      <c r="AN202" s="108"/>
      <c r="AP202" s="348">
        <v>2070</v>
      </c>
      <c r="AQ202" s="106"/>
      <c r="AR202" s="106"/>
      <c r="AS202" s="131"/>
      <c r="AU202" s="1354"/>
      <c r="AV202" s="110"/>
      <c r="AW202" s="110"/>
      <c r="AX202" s="108"/>
      <c r="AZ202" s="353" t="s">
        <v>766</v>
      </c>
      <c r="BA202" s="1355"/>
      <c r="BB202" s="136" t="s">
        <v>767</v>
      </c>
      <c r="BC202" s="1355"/>
      <c r="BD202" s="353" t="s">
        <v>766</v>
      </c>
      <c r="BE202" s="1355"/>
      <c r="BF202" s="353" t="s">
        <v>663</v>
      </c>
      <c r="BH202" s="140">
        <v>2810</v>
      </c>
      <c r="BJ202" s="104" t="s">
        <v>785</v>
      </c>
      <c r="BL202" s="109">
        <v>5</v>
      </c>
      <c r="BM202" s="146"/>
      <c r="BN202" s="146"/>
      <c r="BO202" s="147"/>
      <c r="BQ202" s="109"/>
      <c r="BR202" s="146"/>
      <c r="BS202" s="146"/>
      <c r="BT202" s="146"/>
      <c r="BU202" s="147"/>
      <c r="BW202" s="132"/>
      <c r="BX202" s="153"/>
      <c r="BY202" s="153"/>
      <c r="BZ202" s="153"/>
      <c r="CA202" s="154"/>
      <c r="CC202" s="152">
        <v>0.95</v>
      </c>
    </row>
    <row r="203" spans="1:81" ht="75">
      <c r="A203" s="1403"/>
      <c r="B203" s="120" t="s">
        <v>218</v>
      </c>
      <c r="C203" s="121" t="s">
        <v>180</v>
      </c>
      <c r="D203" s="122" t="s">
        <v>181</v>
      </c>
      <c r="F203" s="327">
        <v>22070</v>
      </c>
      <c r="G203" s="328">
        <v>29330</v>
      </c>
      <c r="H203" s="105" t="s">
        <v>182</v>
      </c>
      <c r="I203" s="329">
        <v>200</v>
      </c>
      <c r="J203" s="330">
        <v>270</v>
      </c>
      <c r="K203" s="331" t="s">
        <v>661</v>
      </c>
      <c r="L203" s="105" t="s">
        <v>182</v>
      </c>
      <c r="M203" s="1353">
        <v>410</v>
      </c>
      <c r="N203" s="106" t="s">
        <v>182</v>
      </c>
      <c r="O203" s="106">
        <v>4</v>
      </c>
      <c r="P203" s="131" t="s">
        <v>184</v>
      </c>
      <c r="Q203" s="105" t="s">
        <v>182</v>
      </c>
      <c r="R203" s="1353">
        <v>1810</v>
      </c>
      <c r="S203" s="106" t="s">
        <v>182</v>
      </c>
      <c r="T203" s="106">
        <v>10</v>
      </c>
      <c r="U203" s="131" t="s">
        <v>184</v>
      </c>
      <c r="V203" s="105" t="s">
        <v>182</v>
      </c>
      <c r="W203" s="342">
        <v>7260</v>
      </c>
      <c r="X203" s="126">
        <v>70</v>
      </c>
      <c r="Y203" s="122" t="s">
        <v>183</v>
      </c>
      <c r="AA203" s="344"/>
      <c r="AF203" s="344" t="s">
        <v>185</v>
      </c>
      <c r="AJ203" s="105" t="s">
        <v>182</v>
      </c>
      <c r="AK203" s="1356">
        <v>360</v>
      </c>
      <c r="AL203" s="106" t="s">
        <v>182</v>
      </c>
      <c r="AM203" s="106">
        <v>3</v>
      </c>
      <c r="AN203" s="131" t="s">
        <v>184</v>
      </c>
      <c r="AP203" s="349" t="s">
        <v>219</v>
      </c>
      <c r="AQ203" s="106" t="s">
        <v>182</v>
      </c>
      <c r="AR203" s="106">
        <v>10</v>
      </c>
      <c r="AS203" s="131" t="s">
        <v>187</v>
      </c>
      <c r="AT203" s="105" t="s">
        <v>182</v>
      </c>
      <c r="AU203" s="1353">
        <v>500</v>
      </c>
      <c r="AV203" s="106" t="s">
        <v>182</v>
      </c>
      <c r="AW203" s="106">
        <v>5</v>
      </c>
      <c r="AX203" s="131" t="s">
        <v>184</v>
      </c>
      <c r="AY203" s="105" t="s">
        <v>182</v>
      </c>
      <c r="AZ203" s="352">
        <v>250</v>
      </c>
      <c r="BA203" s="1355" t="s">
        <v>664</v>
      </c>
      <c r="BB203" s="127">
        <v>2</v>
      </c>
      <c r="BC203" s="1355" t="s">
        <v>664</v>
      </c>
      <c r="BD203" s="352">
        <v>40</v>
      </c>
      <c r="BE203" s="1355" t="s">
        <v>664</v>
      </c>
      <c r="BF203" s="352">
        <v>1</v>
      </c>
      <c r="BH203" s="139" t="s">
        <v>781</v>
      </c>
      <c r="BI203" s="2" t="s">
        <v>182</v>
      </c>
      <c r="BJ203" s="130">
        <v>235</v>
      </c>
      <c r="BK203" s="105" t="s">
        <v>188</v>
      </c>
      <c r="BL203" s="132">
        <v>460</v>
      </c>
      <c r="BM203" s="153" t="s">
        <v>189</v>
      </c>
      <c r="BN203" s="153">
        <v>5</v>
      </c>
      <c r="BO203" s="154" t="s">
        <v>184</v>
      </c>
      <c r="BP203" s="105" t="s">
        <v>188</v>
      </c>
      <c r="BQ203" s="132">
        <v>1810</v>
      </c>
      <c r="BR203" s="153" t="s">
        <v>189</v>
      </c>
      <c r="BS203" s="153">
        <v>10</v>
      </c>
      <c r="BT203" s="153" t="s">
        <v>184</v>
      </c>
      <c r="BU203" s="154" t="s">
        <v>190</v>
      </c>
      <c r="BV203" s="105" t="s">
        <v>188</v>
      </c>
      <c r="BW203" s="125">
        <v>1310</v>
      </c>
      <c r="BX203" s="150" t="s">
        <v>189</v>
      </c>
      <c r="BY203" s="150">
        <v>10</v>
      </c>
      <c r="BZ203" s="150" t="s">
        <v>184</v>
      </c>
      <c r="CA203" s="151" t="s">
        <v>190</v>
      </c>
      <c r="CC203" s="152" t="s">
        <v>191</v>
      </c>
    </row>
    <row r="204" spans="1:81" ht="37.5">
      <c r="A204" s="1403"/>
      <c r="B204" s="103"/>
      <c r="C204" s="104"/>
      <c r="D204" s="122" t="s">
        <v>192</v>
      </c>
      <c r="F204" s="332">
        <v>29330</v>
      </c>
      <c r="G204" s="333"/>
      <c r="H204" s="105" t="s">
        <v>182</v>
      </c>
      <c r="I204" s="334">
        <v>270</v>
      </c>
      <c r="J204" s="335"/>
      <c r="K204" s="336" t="s">
        <v>661</v>
      </c>
      <c r="M204" s="1354"/>
      <c r="N204" s="106"/>
      <c r="O204" s="106"/>
      <c r="P204" s="131"/>
      <c r="R204" s="1354"/>
      <c r="S204" s="106"/>
      <c r="T204" s="106"/>
      <c r="U204" s="131"/>
      <c r="V204" s="105" t="s">
        <v>182</v>
      </c>
      <c r="W204" s="334">
        <v>7260</v>
      </c>
      <c r="X204" s="133">
        <v>70</v>
      </c>
      <c r="Y204" s="122" t="s">
        <v>183</v>
      </c>
      <c r="Z204" s="105" t="s">
        <v>182</v>
      </c>
      <c r="AA204" s="345">
        <v>50820</v>
      </c>
      <c r="AB204" s="134" t="s">
        <v>182</v>
      </c>
      <c r="AC204" s="134">
        <v>500</v>
      </c>
      <c r="AD204" s="135" t="s">
        <v>184</v>
      </c>
      <c r="AE204" s="105" t="s">
        <v>182</v>
      </c>
      <c r="AF204" s="345">
        <v>43560</v>
      </c>
      <c r="AG204" s="134" t="s">
        <v>182</v>
      </c>
      <c r="AH204" s="134">
        <v>430</v>
      </c>
      <c r="AI204" s="135" t="s">
        <v>184</v>
      </c>
      <c r="AK204" s="1357"/>
      <c r="AL204" s="106"/>
      <c r="AM204" s="106"/>
      <c r="AN204" s="131"/>
      <c r="AP204" s="348">
        <v>1810</v>
      </c>
      <c r="AQ204" s="106"/>
      <c r="AR204" s="106"/>
      <c r="AS204" s="131"/>
      <c r="AU204" s="1354"/>
      <c r="AV204" s="106"/>
      <c r="AW204" s="106"/>
      <c r="AX204" s="131"/>
      <c r="AZ204" s="353" t="s">
        <v>766</v>
      </c>
      <c r="BA204" s="1355"/>
      <c r="BB204" s="136" t="s">
        <v>767</v>
      </c>
      <c r="BC204" s="1355"/>
      <c r="BD204" s="353" t="s">
        <v>766</v>
      </c>
      <c r="BE204" s="1355"/>
      <c r="BF204" s="353" t="s">
        <v>663</v>
      </c>
      <c r="BH204" s="140">
        <v>2540</v>
      </c>
      <c r="BJ204" s="130" t="s">
        <v>785</v>
      </c>
      <c r="BL204" s="132"/>
      <c r="BM204" s="153"/>
      <c r="BN204" s="153"/>
      <c r="BO204" s="154"/>
      <c r="BQ204" s="132"/>
      <c r="BR204" s="153"/>
      <c r="BS204" s="153"/>
      <c r="BT204" s="153"/>
      <c r="BU204" s="154"/>
      <c r="BW204" s="109"/>
      <c r="BX204" s="146"/>
      <c r="BY204" s="146"/>
      <c r="BZ204" s="146"/>
      <c r="CA204" s="147"/>
      <c r="CC204" s="152">
        <v>0.99</v>
      </c>
    </row>
    <row r="205" spans="1:81" ht="75">
      <c r="A205" s="1403"/>
      <c r="B205" s="129" t="s">
        <v>220</v>
      </c>
      <c r="C205" s="130" t="s">
        <v>180</v>
      </c>
      <c r="D205" s="122" t="s">
        <v>181</v>
      </c>
      <c r="F205" s="327">
        <v>21720</v>
      </c>
      <c r="G205" s="328">
        <v>28980</v>
      </c>
      <c r="H205" s="105" t="s">
        <v>182</v>
      </c>
      <c r="I205" s="329">
        <v>200</v>
      </c>
      <c r="J205" s="330">
        <v>270</v>
      </c>
      <c r="K205" s="331" t="s">
        <v>661</v>
      </c>
      <c r="L205" s="105" t="s">
        <v>182</v>
      </c>
      <c r="M205" s="1353">
        <v>370</v>
      </c>
      <c r="N205" s="123" t="s">
        <v>182</v>
      </c>
      <c r="O205" s="123">
        <v>3</v>
      </c>
      <c r="P205" s="124" t="s">
        <v>184</v>
      </c>
      <c r="Q205" s="105" t="s">
        <v>182</v>
      </c>
      <c r="R205" s="1353">
        <v>1610</v>
      </c>
      <c r="S205" s="123" t="s">
        <v>182</v>
      </c>
      <c r="T205" s="123">
        <v>10</v>
      </c>
      <c r="U205" s="124" t="s">
        <v>184</v>
      </c>
      <c r="V205" s="105" t="s">
        <v>182</v>
      </c>
      <c r="W205" s="342">
        <v>7260</v>
      </c>
      <c r="X205" s="126">
        <v>70</v>
      </c>
      <c r="Y205" s="122" t="s">
        <v>183</v>
      </c>
      <c r="AA205" s="344"/>
      <c r="AF205" s="344" t="s">
        <v>185</v>
      </c>
      <c r="AJ205" s="105" t="s">
        <v>182</v>
      </c>
      <c r="AK205" s="1356">
        <v>320</v>
      </c>
      <c r="AL205" s="123" t="s">
        <v>182</v>
      </c>
      <c r="AM205" s="123">
        <v>3</v>
      </c>
      <c r="AN205" s="124" t="s">
        <v>184</v>
      </c>
      <c r="AP205" s="349" t="s">
        <v>221</v>
      </c>
      <c r="AQ205" s="106" t="s">
        <v>182</v>
      </c>
      <c r="AR205" s="106">
        <v>10</v>
      </c>
      <c r="AS205" s="131" t="s">
        <v>187</v>
      </c>
      <c r="AT205" s="105" t="s">
        <v>182</v>
      </c>
      <c r="AU205" s="1353">
        <v>500</v>
      </c>
      <c r="AV205" s="123" t="s">
        <v>182</v>
      </c>
      <c r="AW205" s="123">
        <v>5</v>
      </c>
      <c r="AX205" s="124" t="s">
        <v>184</v>
      </c>
      <c r="AY205" s="105" t="s">
        <v>182</v>
      </c>
      <c r="AZ205" s="352">
        <v>220</v>
      </c>
      <c r="BA205" s="1355" t="s">
        <v>664</v>
      </c>
      <c r="BB205" s="127">
        <v>2</v>
      </c>
      <c r="BC205" s="1355" t="s">
        <v>664</v>
      </c>
      <c r="BD205" s="352">
        <v>40</v>
      </c>
      <c r="BE205" s="1355" t="s">
        <v>664</v>
      </c>
      <c r="BF205" s="352">
        <v>1</v>
      </c>
      <c r="BH205" s="139" t="s">
        <v>782</v>
      </c>
      <c r="BI205" s="2" t="s">
        <v>182</v>
      </c>
      <c r="BJ205" s="121">
        <v>235</v>
      </c>
      <c r="BK205" s="105" t="s">
        <v>188</v>
      </c>
      <c r="BL205" s="125">
        <v>410</v>
      </c>
      <c r="BM205" s="150" t="s">
        <v>189</v>
      </c>
      <c r="BN205" s="150">
        <v>4</v>
      </c>
      <c r="BO205" s="151" t="s">
        <v>184</v>
      </c>
      <c r="BP205" s="105" t="s">
        <v>188</v>
      </c>
      <c r="BQ205" s="125">
        <v>1610</v>
      </c>
      <c r="BR205" s="150" t="s">
        <v>189</v>
      </c>
      <c r="BS205" s="150">
        <v>10</v>
      </c>
      <c r="BT205" s="150" t="s">
        <v>184</v>
      </c>
      <c r="BU205" s="151" t="s">
        <v>190</v>
      </c>
      <c r="BV205" s="105" t="s">
        <v>188</v>
      </c>
      <c r="BW205" s="132">
        <v>1170</v>
      </c>
      <c r="BX205" s="153" t="s">
        <v>189</v>
      </c>
      <c r="BY205" s="153">
        <v>10</v>
      </c>
      <c r="BZ205" s="153" t="s">
        <v>184</v>
      </c>
      <c r="CA205" s="154" t="s">
        <v>190</v>
      </c>
      <c r="CC205" s="152" t="s">
        <v>191</v>
      </c>
    </row>
    <row r="206" spans="1:81" ht="37.5">
      <c r="A206" s="1403"/>
      <c r="B206" s="129"/>
      <c r="C206" s="130"/>
      <c r="D206" s="122" t="s">
        <v>192</v>
      </c>
      <c r="F206" s="332">
        <v>28980</v>
      </c>
      <c r="G206" s="333"/>
      <c r="H206" s="105" t="s">
        <v>182</v>
      </c>
      <c r="I206" s="334">
        <v>270</v>
      </c>
      <c r="J206" s="335"/>
      <c r="K206" s="336" t="s">
        <v>661</v>
      </c>
      <c r="M206" s="1354"/>
      <c r="N206" s="310"/>
      <c r="O206" s="310"/>
      <c r="P206" s="311"/>
      <c r="R206" s="1354"/>
      <c r="S206" s="310"/>
      <c r="T206" s="310"/>
      <c r="U206" s="311"/>
      <c r="V206" s="105" t="s">
        <v>182</v>
      </c>
      <c r="W206" s="334">
        <v>7260</v>
      </c>
      <c r="X206" s="133">
        <v>70</v>
      </c>
      <c r="Y206" s="122" t="s">
        <v>183</v>
      </c>
      <c r="Z206" s="105" t="s">
        <v>182</v>
      </c>
      <c r="AA206" s="345">
        <v>50820</v>
      </c>
      <c r="AB206" s="134" t="s">
        <v>182</v>
      </c>
      <c r="AC206" s="134">
        <v>500</v>
      </c>
      <c r="AD206" s="135" t="s">
        <v>184</v>
      </c>
      <c r="AE206" s="105" t="s">
        <v>182</v>
      </c>
      <c r="AF206" s="345">
        <v>43560</v>
      </c>
      <c r="AG206" s="134" t="s">
        <v>182</v>
      </c>
      <c r="AH206" s="134">
        <v>430</v>
      </c>
      <c r="AI206" s="135" t="s">
        <v>184</v>
      </c>
      <c r="AK206" s="1357"/>
      <c r="AL206" s="110"/>
      <c r="AM206" s="110"/>
      <c r="AN206" s="108"/>
      <c r="AP206" s="348">
        <v>1610</v>
      </c>
      <c r="AQ206" s="106"/>
      <c r="AR206" s="106"/>
      <c r="AS206" s="131"/>
      <c r="AU206" s="1354"/>
      <c r="AV206" s="110"/>
      <c r="AW206" s="110"/>
      <c r="AX206" s="108"/>
      <c r="AZ206" s="353" t="s">
        <v>766</v>
      </c>
      <c r="BA206" s="1355"/>
      <c r="BB206" s="136" t="s">
        <v>767</v>
      </c>
      <c r="BC206" s="1355"/>
      <c r="BD206" s="353" t="s">
        <v>766</v>
      </c>
      <c r="BE206" s="1355"/>
      <c r="BF206" s="353" t="s">
        <v>663</v>
      </c>
      <c r="BH206" s="140">
        <v>2440</v>
      </c>
      <c r="BJ206" s="104" t="s">
        <v>785</v>
      </c>
      <c r="BL206" s="109"/>
      <c r="BM206" s="146"/>
      <c r="BN206" s="146"/>
      <c r="BO206" s="147"/>
      <c r="BQ206" s="109"/>
      <c r="BR206" s="146"/>
      <c r="BS206" s="146"/>
      <c r="BT206" s="146"/>
      <c r="BU206" s="147"/>
      <c r="BW206" s="132"/>
      <c r="BX206" s="153"/>
      <c r="BY206" s="153"/>
      <c r="BZ206" s="153"/>
      <c r="CA206" s="154"/>
      <c r="CC206" s="152">
        <v>0.99</v>
      </c>
    </row>
    <row r="207" spans="1:81" ht="75">
      <c r="A207" s="1403"/>
      <c r="B207" s="120" t="s">
        <v>222</v>
      </c>
      <c r="C207" s="121" t="s">
        <v>180</v>
      </c>
      <c r="D207" s="122" t="s">
        <v>181</v>
      </c>
      <c r="F207" s="327">
        <v>21440</v>
      </c>
      <c r="G207" s="328">
        <v>28700</v>
      </c>
      <c r="H207" s="105" t="s">
        <v>182</v>
      </c>
      <c r="I207" s="329">
        <v>190</v>
      </c>
      <c r="J207" s="330">
        <v>260</v>
      </c>
      <c r="K207" s="331" t="s">
        <v>661</v>
      </c>
      <c r="L207" s="105" t="s">
        <v>182</v>
      </c>
      <c r="M207" s="1353">
        <v>330</v>
      </c>
      <c r="N207" s="106" t="s">
        <v>182</v>
      </c>
      <c r="O207" s="106">
        <v>3</v>
      </c>
      <c r="P207" s="131" t="s">
        <v>184</v>
      </c>
      <c r="Q207" s="105" t="s">
        <v>182</v>
      </c>
      <c r="R207" s="1353">
        <v>1450</v>
      </c>
      <c r="S207" s="106" t="s">
        <v>182</v>
      </c>
      <c r="T207" s="106">
        <v>10</v>
      </c>
      <c r="U207" s="131" t="s">
        <v>184</v>
      </c>
      <c r="V207" s="105" t="s">
        <v>182</v>
      </c>
      <c r="W207" s="342">
        <v>7260</v>
      </c>
      <c r="X207" s="126">
        <v>70</v>
      </c>
      <c r="Y207" s="122" t="s">
        <v>183</v>
      </c>
      <c r="AA207" s="344"/>
      <c r="AF207" s="344" t="s">
        <v>185</v>
      </c>
      <c r="AJ207" s="105" t="s">
        <v>182</v>
      </c>
      <c r="AK207" s="1356">
        <v>280</v>
      </c>
      <c r="AL207" s="106" t="s">
        <v>182</v>
      </c>
      <c r="AM207" s="106">
        <v>2</v>
      </c>
      <c r="AN207" s="131" t="s">
        <v>184</v>
      </c>
      <c r="AP207" s="349" t="s">
        <v>223</v>
      </c>
      <c r="AQ207" s="106" t="s">
        <v>182</v>
      </c>
      <c r="AR207" s="106">
        <v>10</v>
      </c>
      <c r="AS207" s="131" t="s">
        <v>187</v>
      </c>
      <c r="AT207" s="105" t="s">
        <v>182</v>
      </c>
      <c r="AU207" s="1353">
        <v>500</v>
      </c>
      <c r="AV207" s="106" t="s">
        <v>182</v>
      </c>
      <c r="AW207" s="106">
        <v>5</v>
      </c>
      <c r="AX207" s="131" t="s">
        <v>184</v>
      </c>
      <c r="AY207" s="105" t="s">
        <v>182</v>
      </c>
      <c r="AZ207" s="352">
        <v>200</v>
      </c>
      <c r="BA207" s="1355" t="s">
        <v>664</v>
      </c>
      <c r="BB207" s="127">
        <v>2</v>
      </c>
      <c r="BC207" s="1355" t="s">
        <v>664</v>
      </c>
      <c r="BD207" s="352">
        <v>30</v>
      </c>
      <c r="BE207" s="1355" t="s">
        <v>664</v>
      </c>
      <c r="BF207" s="352">
        <v>1</v>
      </c>
      <c r="BH207" s="139" t="s">
        <v>783</v>
      </c>
      <c r="BI207" s="2" t="s">
        <v>182</v>
      </c>
      <c r="BJ207" s="130">
        <v>235</v>
      </c>
      <c r="BK207" s="105" t="s">
        <v>188</v>
      </c>
      <c r="BL207" s="132">
        <v>370</v>
      </c>
      <c r="BM207" s="153" t="s">
        <v>189</v>
      </c>
      <c r="BN207" s="153">
        <v>4</v>
      </c>
      <c r="BO207" s="154" t="s">
        <v>184</v>
      </c>
      <c r="BP207" s="105" t="s">
        <v>188</v>
      </c>
      <c r="BQ207" s="132">
        <v>1450</v>
      </c>
      <c r="BR207" s="153" t="s">
        <v>189</v>
      </c>
      <c r="BS207" s="153">
        <v>10</v>
      </c>
      <c r="BT207" s="153" t="s">
        <v>184</v>
      </c>
      <c r="BU207" s="154" t="s">
        <v>190</v>
      </c>
      <c r="BV207" s="105" t="s">
        <v>188</v>
      </c>
      <c r="BW207" s="125">
        <v>1050</v>
      </c>
      <c r="BX207" s="150" t="s">
        <v>189</v>
      </c>
      <c r="BY207" s="150">
        <v>10</v>
      </c>
      <c r="BZ207" s="150" t="s">
        <v>184</v>
      </c>
      <c r="CA207" s="151" t="s">
        <v>190</v>
      </c>
      <c r="CC207" s="152" t="s">
        <v>191</v>
      </c>
    </row>
    <row r="208" spans="1:81" ht="37.5">
      <c r="A208" s="1403"/>
      <c r="B208" s="103"/>
      <c r="C208" s="104"/>
      <c r="D208" s="122" t="s">
        <v>192</v>
      </c>
      <c r="F208" s="332">
        <v>28700</v>
      </c>
      <c r="G208" s="333"/>
      <c r="H208" s="105" t="s">
        <v>182</v>
      </c>
      <c r="I208" s="334">
        <v>260</v>
      </c>
      <c r="J208" s="335"/>
      <c r="K208" s="336" t="s">
        <v>661</v>
      </c>
      <c r="M208" s="1354"/>
      <c r="N208" s="106"/>
      <c r="O208" s="106"/>
      <c r="P208" s="131"/>
      <c r="R208" s="1354"/>
      <c r="S208" s="106"/>
      <c r="T208" s="106"/>
      <c r="U208" s="131"/>
      <c r="V208" s="105" t="s">
        <v>182</v>
      </c>
      <c r="W208" s="334">
        <v>7260</v>
      </c>
      <c r="X208" s="133">
        <v>70</v>
      </c>
      <c r="Y208" s="122" t="s">
        <v>183</v>
      </c>
      <c r="Z208" s="105" t="s">
        <v>182</v>
      </c>
      <c r="AA208" s="345">
        <v>50820</v>
      </c>
      <c r="AB208" s="134" t="s">
        <v>182</v>
      </c>
      <c r="AC208" s="134">
        <v>500</v>
      </c>
      <c r="AD208" s="135" t="s">
        <v>184</v>
      </c>
      <c r="AE208" s="105" t="s">
        <v>182</v>
      </c>
      <c r="AF208" s="345">
        <v>43560</v>
      </c>
      <c r="AG208" s="134" t="s">
        <v>182</v>
      </c>
      <c r="AH208" s="134">
        <v>430</v>
      </c>
      <c r="AI208" s="135" t="s">
        <v>184</v>
      </c>
      <c r="AK208" s="1357"/>
      <c r="AL208" s="106"/>
      <c r="AM208" s="106"/>
      <c r="AN208" s="131"/>
      <c r="AP208" s="348">
        <v>1450</v>
      </c>
      <c r="AQ208" s="106"/>
      <c r="AR208" s="106"/>
      <c r="AS208" s="131"/>
      <c r="AU208" s="1354"/>
      <c r="AV208" s="106"/>
      <c r="AW208" s="106"/>
      <c r="AX208" s="131"/>
      <c r="AZ208" s="353" t="s">
        <v>766</v>
      </c>
      <c r="BA208" s="1355"/>
      <c r="BB208" s="136" t="s">
        <v>767</v>
      </c>
      <c r="BC208" s="1355"/>
      <c r="BD208" s="353" t="s">
        <v>766</v>
      </c>
      <c r="BE208" s="1355"/>
      <c r="BF208" s="353" t="s">
        <v>663</v>
      </c>
      <c r="BH208" s="140">
        <v>2360</v>
      </c>
      <c r="BJ208" s="130" t="s">
        <v>785</v>
      </c>
      <c r="BL208" s="132"/>
      <c r="BM208" s="153"/>
      <c r="BN208" s="153"/>
      <c r="BO208" s="154"/>
      <c r="BQ208" s="132"/>
      <c r="BR208" s="153"/>
      <c r="BS208" s="153"/>
      <c r="BT208" s="153"/>
      <c r="BU208" s="154"/>
      <c r="BW208" s="109"/>
      <c r="BX208" s="146"/>
      <c r="BY208" s="146"/>
      <c r="BZ208" s="146"/>
      <c r="CA208" s="147"/>
      <c r="CC208" s="152">
        <v>0.99</v>
      </c>
    </row>
    <row r="209" spans="1:81" ht="37.5">
      <c r="A209" s="1403"/>
      <c r="B209" s="120" t="s">
        <v>224</v>
      </c>
      <c r="C209" s="121" t="s">
        <v>180</v>
      </c>
      <c r="D209" s="122" t="s">
        <v>181</v>
      </c>
      <c r="F209" s="327">
        <v>21200</v>
      </c>
      <c r="G209" s="328">
        <v>28460</v>
      </c>
      <c r="H209" s="105" t="s">
        <v>182</v>
      </c>
      <c r="I209" s="329">
        <v>190</v>
      </c>
      <c r="J209" s="330">
        <v>260</v>
      </c>
      <c r="K209" s="331" t="s">
        <v>661</v>
      </c>
      <c r="L209" s="105" t="s">
        <v>182</v>
      </c>
      <c r="M209" s="1353">
        <v>300</v>
      </c>
      <c r="N209" s="123" t="s">
        <v>182</v>
      </c>
      <c r="O209" s="123">
        <v>3</v>
      </c>
      <c r="P209" s="124" t="s">
        <v>184</v>
      </c>
      <c r="R209" s="1358"/>
      <c r="S209" s="123"/>
      <c r="T209" s="123"/>
      <c r="U209" s="124"/>
      <c r="V209" s="105" t="s">
        <v>182</v>
      </c>
      <c r="W209" s="342">
        <v>7260</v>
      </c>
      <c r="X209" s="126">
        <v>70</v>
      </c>
      <c r="Y209" s="122" t="s">
        <v>183</v>
      </c>
      <c r="AA209" s="344"/>
      <c r="AF209" s="344" t="s">
        <v>185</v>
      </c>
      <c r="AJ209" s="105" t="s">
        <v>182</v>
      </c>
      <c r="AK209" s="1356">
        <v>260</v>
      </c>
      <c r="AL209" s="123" t="s">
        <v>182</v>
      </c>
      <c r="AM209" s="123">
        <v>2</v>
      </c>
      <c r="AN209" s="124" t="s">
        <v>184</v>
      </c>
      <c r="AP209" s="349" t="s">
        <v>225</v>
      </c>
      <c r="AQ209" s="106" t="s">
        <v>182</v>
      </c>
      <c r="AR209" s="106">
        <v>10</v>
      </c>
      <c r="AS209" s="131" t="s">
        <v>187</v>
      </c>
      <c r="AT209" s="105" t="s">
        <v>182</v>
      </c>
      <c r="AU209" s="1353">
        <v>500</v>
      </c>
      <c r="AV209" s="123" t="s">
        <v>182</v>
      </c>
      <c r="AW209" s="123">
        <v>5</v>
      </c>
      <c r="AX209" s="124" t="s">
        <v>184</v>
      </c>
      <c r="AY209" s="105" t="s">
        <v>182</v>
      </c>
      <c r="AZ209" s="352">
        <v>180</v>
      </c>
      <c r="BA209" s="1355" t="s">
        <v>664</v>
      </c>
      <c r="BB209" s="127">
        <v>1</v>
      </c>
      <c r="BC209" s="1355" t="s">
        <v>664</v>
      </c>
      <c r="BD209" s="352">
        <v>30</v>
      </c>
      <c r="BE209" s="1355" t="s">
        <v>664</v>
      </c>
      <c r="BF209" s="352">
        <v>1</v>
      </c>
      <c r="BH209" s="139" t="s">
        <v>784</v>
      </c>
      <c r="BI209" s="2" t="s">
        <v>182</v>
      </c>
      <c r="BJ209" s="121">
        <v>235</v>
      </c>
      <c r="BK209" s="105" t="s">
        <v>188</v>
      </c>
      <c r="BL209" s="125">
        <v>340</v>
      </c>
      <c r="BM209" s="150" t="s">
        <v>189</v>
      </c>
      <c r="BN209" s="150">
        <v>3</v>
      </c>
      <c r="BO209" s="151" t="s">
        <v>184</v>
      </c>
      <c r="BP209" s="105" t="s">
        <v>188</v>
      </c>
      <c r="BQ209" s="125">
        <v>1320</v>
      </c>
      <c r="BR209" s="150" t="s">
        <v>189</v>
      </c>
      <c r="BS209" s="150">
        <v>10</v>
      </c>
      <c r="BT209" s="150" t="s">
        <v>184</v>
      </c>
      <c r="BU209" s="151" t="s">
        <v>190</v>
      </c>
      <c r="BV209" s="105" t="s">
        <v>188</v>
      </c>
      <c r="BW209" s="132">
        <v>950</v>
      </c>
      <c r="BX209" s="153" t="s">
        <v>189</v>
      </c>
      <c r="BY209" s="153">
        <v>10</v>
      </c>
      <c r="BZ209" s="153" t="s">
        <v>184</v>
      </c>
      <c r="CA209" s="154" t="s">
        <v>190</v>
      </c>
      <c r="CC209" s="152" t="s">
        <v>191</v>
      </c>
    </row>
    <row r="210" spans="1:81" ht="37.5">
      <c r="A210" s="1403"/>
      <c r="B210" s="103"/>
      <c r="C210" s="104"/>
      <c r="D210" s="122" t="s">
        <v>192</v>
      </c>
      <c r="F210" s="332">
        <v>28460</v>
      </c>
      <c r="G210" s="333"/>
      <c r="H210" s="105" t="s">
        <v>182</v>
      </c>
      <c r="I210" s="334">
        <v>260</v>
      </c>
      <c r="J210" s="335"/>
      <c r="K210" s="336" t="s">
        <v>661</v>
      </c>
      <c r="M210" s="1354"/>
      <c r="N210" s="310"/>
      <c r="O210" s="310"/>
      <c r="P210" s="311"/>
      <c r="R210" s="1358"/>
      <c r="S210" s="310"/>
      <c r="T210" s="310"/>
      <c r="U210" s="311"/>
      <c r="V210" s="105" t="s">
        <v>182</v>
      </c>
      <c r="W210" s="334">
        <v>7260</v>
      </c>
      <c r="X210" s="133">
        <v>70</v>
      </c>
      <c r="Y210" s="122" t="s">
        <v>183</v>
      </c>
      <c r="Z210" s="105" t="s">
        <v>182</v>
      </c>
      <c r="AA210" s="345">
        <v>50820</v>
      </c>
      <c r="AB210" s="134" t="s">
        <v>182</v>
      </c>
      <c r="AC210" s="134">
        <v>500</v>
      </c>
      <c r="AD210" s="135" t="s">
        <v>184</v>
      </c>
      <c r="AE210" s="105" t="s">
        <v>182</v>
      </c>
      <c r="AF210" s="345">
        <v>43560</v>
      </c>
      <c r="AG210" s="134" t="s">
        <v>182</v>
      </c>
      <c r="AH210" s="134">
        <v>430</v>
      </c>
      <c r="AI210" s="135" t="s">
        <v>184</v>
      </c>
      <c r="AK210" s="1357"/>
      <c r="AL210" s="110"/>
      <c r="AM210" s="110"/>
      <c r="AN210" s="108"/>
      <c r="AP210" s="350">
        <v>1320</v>
      </c>
      <c r="AQ210" s="110"/>
      <c r="AR210" s="110"/>
      <c r="AS210" s="108"/>
      <c r="AU210" s="1354"/>
      <c r="AV210" s="110"/>
      <c r="AW210" s="110"/>
      <c r="AX210" s="108"/>
      <c r="AZ210" s="353" t="s">
        <v>766</v>
      </c>
      <c r="BA210" s="1355"/>
      <c r="BB210" s="136" t="s">
        <v>767</v>
      </c>
      <c r="BC210" s="1355"/>
      <c r="BD210" s="353" t="s">
        <v>766</v>
      </c>
      <c r="BE210" s="1355"/>
      <c r="BF210" s="353" t="s">
        <v>663</v>
      </c>
      <c r="BH210" s="141">
        <v>2150</v>
      </c>
      <c r="BJ210" s="104" t="s">
        <v>785</v>
      </c>
      <c r="BL210" s="109"/>
      <c r="BM210" s="146"/>
      <c r="BN210" s="146"/>
      <c r="BO210" s="147"/>
      <c r="BQ210" s="109"/>
      <c r="BR210" s="146"/>
      <c r="BS210" s="146"/>
      <c r="BT210" s="146"/>
      <c r="BU210" s="147"/>
      <c r="BW210" s="132"/>
      <c r="BX210" s="153"/>
      <c r="BY210" s="153"/>
      <c r="BZ210" s="153"/>
      <c r="CA210" s="154"/>
      <c r="CC210" s="152">
        <v>0.99</v>
      </c>
    </row>
    <row r="211" spans="1:81" ht="37.5">
      <c r="A211" s="1403" t="s">
        <v>231</v>
      </c>
      <c r="B211" s="129" t="s">
        <v>179</v>
      </c>
      <c r="C211" s="130" t="s">
        <v>180</v>
      </c>
      <c r="D211" s="122" t="s">
        <v>181</v>
      </c>
      <c r="F211" s="327">
        <v>78110</v>
      </c>
      <c r="G211" s="328">
        <v>85180</v>
      </c>
      <c r="H211" s="105" t="s">
        <v>182</v>
      </c>
      <c r="I211" s="329">
        <v>760</v>
      </c>
      <c r="J211" s="330">
        <v>830</v>
      </c>
      <c r="K211" s="331" t="s">
        <v>661</v>
      </c>
      <c r="L211" s="105" t="s">
        <v>182</v>
      </c>
      <c r="M211" s="1353">
        <v>6500</v>
      </c>
      <c r="N211" s="106" t="s">
        <v>182</v>
      </c>
      <c r="O211" s="106">
        <v>60</v>
      </c>
      <c r="P211" s="131" t="s">
        <v>184</v>
      </c>
      <c r="Q211" s="105" t="s">
        <v>182</v>
      </c>
      <c r="R211" s="1353">
        <v>28290</v>
      </c>
      <c r="S211" s="106" t="s">
        <v>182</v>
      </c>
      <c r="T211" s="106">
        <v>280</v>
      </c>
      <c r="U211" s="131" t="s">
        <v>184</v>
      </c>
      <c r="V211" s="105" t="s">
        <v>182</v>
      </c>
      <c r="W211" s="342">
        <v>7070</v>
      </c>
      <c r="X211" s="126">
        <v>70</v>
      </c>
      <c r="Y211" s="122" t="s">
        <v>183</v>
      </c>
      <c r="AA211" s="344"/>
      <c r="AF211" s="344" t="s">
        <v>185</v>
      </c>
      <c r="AJ211" s="105" t="s">
        <v>182</v>
      </c>
      <c r="AK211" s="1356">
        <v>5780</v>
      </c>
      <c r="AL211" s="106" t="s">
        <v>182</v>
      </c>
      <c r="AM211" s="106">
        <v>50</v>
      </c>
      <c r="AN211" s="131" t="s">
        <v>184</v>
      </c>
      <c r="AO211" s="105" t="s">
        <v>182</v>
      </c>
      <c r="AP211" s="347" t="s">
        <v>186</v>
      </c>
      <c r="AQ211" s="123" t="s">
        <v>182</v>
      </c>
      <c r="AR211" s="123">
        <v>280</v>
      </c>
      <c r="AS211" s="124" t="s">
        <v>187</v>
      </c>
      <c r="AT211" s="105" t="s">
        <v>182</v>
      </c>
      <c r="AU211" s="1353">
        <v>3640</v>
      </c>
      <c r="AV211" s="106" t="s">
        <v>182</v>
      </c>
      <c r="AW211" s="106">
        <v>30</v>
      </c>
      <c r="AX211" s="131" t="s">
        <v>184</v>
      </c>
      <c r="AY211" s="105" t="s">
        <v>182</v>
      </c>
      <c r="AZ211" s="352">
        <v>2730</v>
      </c>
      <c r="BA211" s="1355" t="s">
        <v>664</v>
      </c>
      <c r="BB211" s="127">
        <v>20</v>
      </c>
      <c r="BC211" s="1355" t="s">
        <v>664</v>
      </c>
      <c r="BD211" s="352">
        <v>480</v>
      </c>
      <c r="BE211" s="1355" t="s">
        <v>664</v>
      </c>
      <c r="BF211" s="352">
        <v>4</v>
      </c>
      <c r="BG211" s="105" t="s">
        <v>182</v>
      </c>
      <c r="BH211" s="142" t="s">
        <v>768</v>
      </c>
      <c r="BI211" s="2" t="s">
        <v>182</v>
      </c>
      <c r="BJ211" s="130">
        <v>235</v>
      </c>
      <c r="BK211" s="105" t="s">
        <v>188</v>
      </c>
      <c r="BL211" s="132">
        <v>7500</v>
      </c>
      <c r="BM211" s="153" t="s">
        <v>189</v>
      </c>
      <c r="BN211" s="153">
        <v>70</v>
      </c>
      <c r="BO211" s="154" t="s">
        <v>184</v>
      </c>
      <c r="BP211" s="105" t="s">
        <v>188</v>
      </c>
      <c r="BQ211" s="132">
        <v>28290</v>
      </c>
      <c r="BR211" s="153" t="s">
        <v>189</v>
      </c>
      <c r="BS211" s="153">
        <v>280</v>
      </c>
      <c r="BT211" s="153" t="s">
        <v>184</v>
      </c>
      <c r="BU211" s="154" t="s">
        <v>190</v>
      </c>
      <c r="BV211" s="105" t="s">
        <v>188</v>
      </c>
      <c r="BW211" s="125">
        <v>20310</v>
      </c>
      <c r="BX211" s="150" t="s">
        <v>189</v>
      </c>
      <c r="BY211" s="150">
        <v>200</v>
      </c>
      <c r="BZ211" s="150" t="s">
        <v>184</v>
      </c>
      <c r="CA211" s="151" t="s">
        <v>190</v>
      </c>
      <c r="CC211" s="152" t="s">
        <v>191</v>
      </c>
    </row>
    <row r="212" spans="1:81" ht="37.5">
      <c r="A212" s="1403"/>
      <c r="B212" s="129"/>
      <c r="C212" s="130"/>
      <c r="D212" s="122" t="s">
        <v>192</v>
      </c>
      <c r="F212" s="332">
        <v>85180</v>
      </c>
      <c r="G212" s="333"/>
      <c r="H212" s="105" t="s">
        <v>182</v>
      </c>
      <c r="I212" s="334">
        <v>830</v>
      </c>
      <c r="J212" s="335"/>
      <c r="K212" s="336" t="s">
        <v>661</v>
      </c>
      <c r="M212" s="1354"/>
      <c r="N212" s="106"/>
      <c r="O212" s="106"/>
      <c r="P212" s="131"/>
      <c r="R212" s="1354"/>
      <c r="S212" s="106"/>
      <c r="T212" s="106"/>
      <c r="U212" s="131"/>
      <c r="V212" s="105" t="s">
        <v>182</v>
      </c>
      <c r="W212" s="334">
        <v>7070</v>
      </c>
      <c r="X212" s="133">
        <v>70</v>
      </c>
      <c r="Y212" s="122" t="s">
        <v>183</v>
      </c>
      <c r="Z212" s="105" t="s">
        <v>182</v>
      </c>
      <c r="AA212" s="345">
        <v>49520</v>
      </c>
      <c r="AB212" s="134" t="s">
        <v>182</v>
      </c>
      <c r="AC212" s="134">
        <v>490</v>
      </c>
      <c r="AD212" s="135" t="s">
        <v>184</v>
      </c>
      <c r="AE212" s="105" t="s">
        <v>182</v>
      </c>
      <c r="AF212" s="345">
        <v>42450</v>
      </c>
      <c r="AG212" s="134" t="s">
        <v>182</v>
      </c>
      <c r="AH212" s="134">
        <v>420</v>
      </c>
      <c r="AI212" s="135" t="s">
        <v>184</v>
      </c>
      <c r="AK212" s="1357"/>
      <c r="AL212" s="106"/>
      <c r="AM212" s="106"/>
      <c r="AN212" s="131"/>
      <c r="AP212" s="348">
        <v>28290</v>
      </c>
      <c r="AQ212" s="106"/>
      <c r="AR212" s="106"/>
      <c r="AS212" s="131"/>
      <c r="AU212" s="1354"/>
      <c r="AV212" s="106"/>
      <c r="AW212" s="106"/>
      <c r="AX212" s="131"/>
      <c r="AZ212" s="353" t="s">
        <v>766</v>
      </c>
      <c r="BA212" s="1355"/>
      <c r="BB212" s="136" t="s">
        <v>767</v>
      </c>
      <c r="BC212" s="1355"/>
      <c r="BD212" s="353" t="s">
        <v>766</v>
      </c>
      <c r="BE212" s="1355"/>
      <c r="BF212" s="353" t="s">
        <v>663</v>
      </c>
      <c r="BH212" s="140">
        <v>27330</v>
      </c>
      <c r="BJ212" s="130" t="s">
        <v>785</v>
      </c>
      <c r="BL212" s="132"/>
      <c r="BM212" s="153"/>
      <c r="BN212" s="153"/>
      <c r="BO212" s="154"/>
      <c r="BQ212" s="132"/>
      <c r="BR212" s="153"/>
      <c r="BS212" s="153"/>
      <c r="BT212" s="153"/>
      <c r="BU212" s="154"/>
      <c r="BW212" s="109"/>
      <c r="BX212" s="146"/>
      <c r="BY212" s="146"/>
      <c r="BZ212" s="146"/>
      <c r="CA212" s="147"/>
      <c r="CC212" s="152">
        <v>0.63</v>
      </c>
    </row>
    <row r="213" spans="1:81" ht="75">
      <c r="A213" s="1403"/>
      <c r="B213" s="120" t="s">
        <v>193</v>
      </c>
      <c r="C213" s="121" t="s">
        <v>180</v>
      </c>
      <c r="D213" s="122" t="s">
        <v>181</v>
      </c>
      <c r="F213" s="327">
        <v>48590</v>
      </c>
      <c r="G213" s="328">
        <v>55660</v>
      </c>
      <c r="H213" s="105" t="s">
        <v>182</v>
      </c>
      <c r="I213" s="329">
        <v>460</v>
      </c>
      <c r="J213" s="330">
        <v>530</v>
      </c>
      <c r="K213" s="331" t="s">
        <v>661</v>
      </c>
      <c r="L213" s="105" t="s">
        <v>182</v>
      </c>
      <c r="M213" s="1353">
        <v>3900</v>
      </c>
      <c r="N213" s="123" t="s">
        <v>182</v>
      </c>
      <c r="O213" s="123">
        <v>30</v>
      </c>
      <c r="P213" s="124" t="s">
        <v>184</v>
      </c>
      <c r="Q213" s="105" t="s">
        <v>182</v>
      </c>
      <c r="R213" s="1353">
        <v>16970</v>
      </c>
      <c r="S213" s="123" t="s">
        <v>182</v>
      </c>
      <c r="T213" s="123">
        <v>160</v>
      </c>
      <c r="U213" s="124" t="s">
        <v>184</v>
      </c>
      <c r="V213" s="105" t="s">
        <v>182</v>
      </c>
      <c r="W213" s="342">
        <v>7070</v>
      </c>
      <c r="X213" s="126">
        <v>70</v>
      </c>
      <c r="Y213" s="122" t="s">
        <v>183</v>
      </c>
      <c r="AA213" s="344"/>
      <c r="AF213" s="344" t="s">
        <v>185</v>
      </c>
      <c r="AJ213" s="105" t="s">
        <v>182</v>
      </c>
      <c r="AK213" s="1356">
        <v>3470</v>
      </c>
      <c r="AL213" s="123" t="s">
        <v>182</v>
      </c>
      <c r="AM213" s="123">
        <v>30</v>
      </c>
      <c r="AN213" s="124" t="s">
        <v>184</v>
      </c>
      <c r="AP213" s="349" t="s">
        <v>194</v>
      </c>
      <c r="AQ213" s="106" t="s">
        <v>182</v>
      </c>
      <c r="AR213" s="106">
        <v>160</v>
      </c>
      <c r="AS213" s="131" t="s">
        <v>187</v>
      </c>
      <c r="AT213" s="105" t="s">
        <v>182</v>
      </c>
      <c r="AU213" s="1353">
        <v>2490</v>
      </c>
      <c r="AV213" s="123" t="s">
        <v>182</v>
      </c>
      <c r="AW213" s="123">
        <v>20</v>
      </c>
      <c r="AX213" s="124" t="s">
        <v>184</v>
      </c>
      <c r="AY213" s="105" t="s">
        <v>182</v>
      </c>
      <c r="AZ213" s="352">
        <v>1630</v>
      </c>
      <c r="BA213" s="1355" t="s">
        <v>664</v>
      </c>
      <c r="BB213" s="127">
        <v>10</v>
      </c>
      <c r="BC213" s="1355" t="s">
        <v>664</v>
      </c>
      <c r="BD213" s="352">
        <v>290</v>
      </c>
      <c r="BE213" s="1355" t="s">
        <v>664</v>
      </c>
      <c r="BF213" s="352">
        <v>2</v>
      </c>
      <c r="BH213" s="139" t="s">
        <v>769</v>
      </c>
      <c r="BI213" s="2" t="s">
        <v>182</v>
      </c>
      <c r="BJ213" s="121">
        <v>235</v>
      </c>
      <c r="BK213" s="105" t="s">
        <v>188</v>
      </c>
      <c r="BL213" s="125">
        <v>4500</v>
      </c>
      <c r="BM213" s="150" t="s">
        <v>189</v>
      </c>
      <c r="BN213" s="150">
        <v>40</v>
      </c>
      <c r="BO213" s="151" t="s">
        <v>184</v>
      </c>
      <c r="BP213" s="105" t="s">
        <v>188</v>
      </c>
      <c r="BQ213" s="125">
        <v>16970</v>
      </c>
      <c r="BR213" s="150" t="s">
        <v>189</v>
      </c>
      <c r="BS213" s="150">
        <v>170</v>
      </c>
      <c r="BT213" s="150" t="s">
        <v>184</v>
      </c>
      <c r="BU213" s="151" t="s">
        <v>190</v>
      </c>
      <c r="BV213" s="105" t="s">
        <v>188</v>
      </c>
      <c r="BW213" s="132">
        <v>12180</v>
      </c>
      <c r="BX213" s="153" t="s">
        <v>189</v>
      </c>
      <c r="BY213" s="153">
        <v>120</v>
      </c>
      <c r="BZ213" s="153" t="s">
        <v>184</v>
      </c>
      <c r="CA213" s="154" t="s">
        <v>190</v>
      </c>
      <c r="CC213" s="152" t="s">
        <v>191</v>
      </c>
    </row>
    <row r="214" spans="1:81" ht="37.5">
      <c r="A214" s="1403"/>
      <c r="B214" s="103"/>
      <c r="C214" s="104"/>
      <c r="D214" s="122" t="s">
        <v>192</v>
      </c>
      <c r="F214" s="332">
        <v>55660</v>
      </c>
      <c r="G214" s="333"/>
      <c r="H214" s="105" t="s">
        <v>182</v>
      </c>
      <c r="I214" s="334">
        <v>530</v>
      </c>
      <c r="J214" s="335"/>
      <c r="K214" s="336" t="s">
        <v>661</v>
      </c>
      <c r="M214" s="1354"/>
      <c r="N214" s="310"/>
      <c r="O214" s="310"/>
      <c r="P214" s="311"/>
      <c r="R214" s="1354"/>
      <c r="S214" s="310"/>
      <c r="T214" s="310"/>
      <c r="U214" s="311"/>
      <c r="V214" s="105" t="s">
        <v>182</v>
      </c>
      <c r="W214" s="334">
        <v>7070</v>
      </c>
      <c r="X214" s="133">
        <v>70</v>
      </c>
      <c r="Y214" s="122" t="s">
        <v>183</v>
      </c>
      <c r="Z214" s="105" t="s">
        <v>182</v>
      </c>
      <c r="AA214" s="345">
        <v>49520</v>
      </c>
      <c r="AB214" s="134" t="s">
        <v>182</v>
      </c>
      <c r="AC214" s="134">
        <v>490</v>
      </c>
      <c r="AD214" s="135" t="s">
        <v>184</v>
      </c>
      <c r="AE214" s="105" t="s">
        <v>182</v>
      </c>
      <c r="AF214" s="345">
        <v>42450</v>
      </c>
      <c r="AG214" s="134" t="s">
        <v>182</v>
      </c>
      <c r="AH214" s="134">
        <v>420</v>
      </c>
      <c r="AI214" s="135" t="s">
        <v>184</v>
      </c>
      <c r="AK214" s="1357"/>
      <c r="AL214" s="110"/>
      <c r="AM214" s="110"/>
      <c r="AN214" s="108"/>
      <c r="AP214" s="348">
        <v>16970</v>
      </c>
      <c r="AQ214" s="106"/>
      <c r="AR214" s="106"/>
      <c r="AS214" s="131"/>
      <c r="AU214" s="1354"/>
      <c r="AV214" s="110"/>
      <c r="AW214" s="110"/>
      <c r="AX214" s="108"/>
      <c r="AZ214" s="353" t="s">
        <v>766</v>
      </c>
      <c r="BA214" s="1355"/>
      <c r="BB214" s="136" t="s">
        <v>767</v>
      </c>
      <c r="BC214" s="1355"/>
      <c r="BD214" s="353" t="s">
        <v>766</v>
      </c>
      <c r="BE214" s="1355"/>
      <c r="BF214" s="353" t="s">
        <v>663</v>
      </c>
      <c r="BH214" s="140">
        <v>16800</v>
      </c>
      <c r="BJ214" s="104" t="s">
        <v>785</v>
      </c>
      <c r="BL214" s="109"/>
      <c r="BM214" s="146"/>
      <c r="BN214" s="146"/>
      <c r="BO214" s="147"/>
      <c r="BQ214" s="109"/>
      <c r="BR214" s="146"/>
      <c r="BS214" s="146"/>
      <c r="BT214" s="146"/>
      <c r="BU214" s="147"/>
      <c r="BW214" s="132"/>
      <c r="BX214" s="153"/>
      <c r="BY214" s="153"/>
      <c r="BZ214" s="153"/>
      <c r="CA214" s="154"/>
      <c r="CC214" s="152">
        <v>0.78</v>
      </c>
    </row>
    <row r="215" spans="1:81" ht="75">
      <c r="A215" s="1403"/>
      <c r="B215" s="129" t="s">
        <v>195</v>
      </c>
      <c r="C215" s="130" t="s">
        <v>180</v>
      </c>
      <c r="D215" s="122" t="s">
        <v>181</v>
      </c>
      <c r="F215" s="327">
        <v>38000</v>
      </c>
      <c r="G215" s="328">
        <v>45070</v>
      </c>
      <c r="H215" s="105" t="s">
        <v>182</v>
      </c>
      <c r="I215" s="329">
        <v>360</v>
      </c>
      <c r="J215" s="330">
        <v>430</v>
      </c>
      <c r="K215" s="331" t="s">
        <v>661</v>
      </c>
      <c r="L215" s="105" t="s">
        <v>182</v>
      </c>
      <c r="M215" s="1353">
        <v>2780</v>
      </c>
      <c r="N215" s="106" t="s">
        <v>182</v>
      </c>
      <c r="O215" s="106">
        <v>20</v>
      </c>
      <c r="P215" s="131" t="s">
        <v>184</v>
      </c>
      <c r="Q215" s="105" t="s">
        <v>182</v>
      </c>
      <c r="R215" s="1353">
        <v>12120</v>
      </c>
      <c r="S215" s="106" t="s">
        <v>182</v>
      </c>
      <c r="T215" s="106">
        <v>120</v>
      </c>
      <c r="U215" s="131" t="s">
        <v>184</v>
      </c>
      <c r="V215" s="105" t="s">
        <v>182</v>
      </c>
      <c r="W215" s="342">
        <v>7070</v>
      </c>
      <c r="X215" s="126">
        <v>70</v>
      </c>
      <c r="Y215" s="122" t="s">
        <v>183</v>
      </c>
      <c r="AA215" s="344"/>
      <c r="AF215" s="344" t="s">
        <v>185</v>
      </c>
      <c r="AJ215" s="105" t="s">
        <v>182</v>
      </c>
      <c r="AK215" s="1356">
        <v>2480</v>
      </c>
      <c r="AL215" s="106" t="s">
        <v>182</v>
      </c>
      <c r="AM215" s="106">
        <v>20</v>
      </c>
      <c r="AN215" s="131" t="s">
        <v>184</v>
      </c>
      <c r="AP215" s="349" t="s">
        <v>196</v>
      </c>
      <c r="AQ215" s="106" t="s">
        <v>182</v>
      </c>
      <c r="AR215" s="106">
        <v>120</v>
      </c>
      <c r="AS215" s="131" t="s">
        <v>187</v>
      </c>
      <c r="AT215" s="105" t="s">
        <v>182</v>
      </c>
      <c r="AU215" s="1353">
        <v>2000</v>
      </c>
      <c r="AV215" s="106" t="s">
        <v>182</v>
      </c>
      <c r="AW215" s="106">
        <v>20</v>
      </c>
      <c r="AX215" s="131" t="s">
        <v>184</v>
      </c>
      <c r="AY215" s="105" t="s">
        <v>182</v>
      </c>
      <c r="AZ215" s="352">
        <v>1170</v>
      </c>
      <c r="BA215" s="1355" t="s">
        <v>664</v>
      </c>
      <c r="BB215" s="127">
        <v>10</v>
      </c>
      <c r="BC215" s="1355" t="s">
        <v>664</v>
      </c>
      <c r="BD215" s="352">
        <v>200</v>
      </c>
      <c r="BE215" s="1355" t="s">
        <v>664</v>
      </c>
      <c r="BF215" s="352">
        <v>2</v>
      </c>
      <c r="BH215" s="139" t="s">
        <v>770</v>
      </c>
      <c r="BI215" s="2" t="s">
        <v>182</v>
      </c>
      <c r="BJ215" s="130">
        <v>235</v>
      </c>
      <c r="BK215" s="105" t="s">
        <v>188</v>
      </c>
      <c r="BL215" s="132">
        <v>3210</v>
      </c>
      <c r="BM215" s="153" t="s">
        <v>189</v>
      </c>
      <c r="BN215" s="153">
        <v>30</v>
      </c>
      <c r="BO215" s="154" t="s">
        <v>184</v>
      </c>
      <c r="BP215" s="105" t="s">
        <v>188</v>
      </c>
      <c r="BQ215" s="132">
        <v>12120</v>
      </c>
      <c r="BR215" s="153" t="s">
        <v>189</v>
      </c>
      <c r="BS215" s="153">
        <v>120</v>
      </c>
      <c r="BT215" s="153" t="s">
        <v>184</v>
      </c>
      <c r="BU215" s="154" t="s">
        <v>190</v>
      </c>
      <c r="BV215" s="105" t="s">
        <v>188</v>
      </c>
      <c r="BW215" s="125">
        <v>8700</v>
      </c>
      <c r="BX215" s="150" t="s">
        <v>189</v>
      </c>
      <c r="BY215" s="150">
        <v>80</v>
      </c>
      <c r="BZ215" s="150" t="s">
        <v>184</v>
      </c>
      <c r="CA215" s="151" t="s">
        <v>190</v>
      </c>
      <c r="CC215" s="152" t="s">
        <v>191</v>
      </c>
    </row>
    <row r="216" spans="1:81" ht="37.5">
      <c r="A216" s="1403"/>
      <c r="B216" s="129"/>
      <c r="C216" s="130"/>
      <c r="D216" s="122" t="s">
        <v>192</v>
      </c>
      <c r="F216" s="332">
        <v>45070</v>
      </c>
      <c r="G216" s="333"/>
      <c r="H216" s="105" t="s">
        <v>182</v>
      </c>
      <c r="I216" s="334">
        <v>430</v>
      </c>
      <c r="J216" s="335"/>
      <c r="K216" s="336" t="s">
        <v>661</v>
      </c>
      <c r="M216" s="1354"/>
      <c r="N216" s="106"/>
      <c r="O216" s="106"/>
      <c r="P216" s="131"/>
      <c r="R216" s="1354"/>
      <c r="S216" s="106"/>
      <c r="T216" s="106"/>
      <c r="U216" s="131"/>
      <c r="V216" s="105" t="s">
        <v>182</v>
      </c>
      <c r="W216" s="334">
        <v>7070</v>
      </c>
      <c r="X216" s="133">
        <v>70</v>
      </c>
      <c r="Y216" s="122" t="s">
        <v>183</v>
      </c>
      <c r="Z216" s="105" t="s">
        <v>182</v>
      </c>
      <c r="AA216" s="345">
        <v>49520</v>
      </c>
      <c r="AB216" s="134" t="s">
        <v>182</v>
      </c>
      <c r="AC216" s="134">
        <v>490</v>
      </c>
      <c r="AD216" s="135" t="s">
        <v>184</v>
      </c>
      <c r="AE216" s="105" t="s">
        <v>182</v>
      </c>
      <c r="AF216" s="345">
        <v>42450</v>
      </c>
      <c r="AG216" s="134" t="s">
        <v>182</v>
      </c>
      <c r="AH216" s="134">
        <v>420</v>
      </c>
      <c r="AI216" s="135" t="s">
        <v>184</v>
      </c>
      <c r="AK216" s="1357"/>
      <c r="AL216" s="106"/>
      <c r="AM216" s="106"/>
      <c r="AN216" s="131"/>
      <c r="AP216" s="348">
        <v>12120</v>
      </c>
      <c r="AQ216" s="106"/>
      <c r="AR216" s="106"/>
      <c r="AS216" s="131"/>
      <c r="AU216" s="1354"/>
      <c r="AV216" s="106"/>
      <c r="AW216" s="106"/>
      <c r="AX216" s="131"/>
      <c r="AZ216" s="353" t="s">
        <v>766</v>
      </c>
      <c r="BA216" s="1355"/>
      <c r="BB216" s="136" t="s">
        <v>767</v>
      </c>
      <c r="BC216" s="1355"/>
      <c r="BD216" s="353" t="s">
        <v>766</v>
      </c>
      <c r="BE216" s="1355"/>
      <c r="BF216" s="353" t="s">
        <v>663</v>
      </c>
      <c r="BH216" s="140">
        <v>12280</v>
      </c>
      <c r="BJ216" s="130" t="s">
        <v>785</v>
      </c>
      <c r="BL216" s="132"/>
      <c r="BM216" s="153"/>
      <c r="BN216" s="153"/>
      <c r="BO216" s="154"/>
      <c r="BQ216" s="132"/>
      <c r="BR216" s="153"/>
      <c r="BS216" s="153"/>
      <c r="BT216" s="153"/>
      <c r="BU216" s="154"/>
      <c r="BW216" s="109"/>
      <c r="BX216" s="146"/>
      <c r="BY216" s="146"/>
      <c r="BZ216" s="146"/>
      <c r="CA216" s="147"/>
      <c r="CC216" s="152">
        <v>0.86</v>
      </c>
    </row>
    <row r="217" spans="1:81" ht="75">
      <c r="A217" s="1403"/>
      <c r="B217" s="120" t="s">
        <v>197</v>
      </c>
      <c r="C217" s="121" t="s">
        <v>180</v>
      </c>
      <c r="D217" s="122" t="s">
        <v>181</v>
      </c>
      <c r="F217" s="327">
        <v>33710</v>
      </c>
      <c r="G217" s="328">
        <v>40780</v>
      </c>
      <c r="H217" s="105" t="s">
        <v>182</v>
      </c>
      <c r="I217" s="329">
        <v>310</v>
      </c>
      <c r="J217" s="330">
        <v>390</v>
      </c>
      <c r="K217" s="331" t="s">
        <v>661</v>
      </c>
      <c r="L217" s="105" t="s">
        <v>182</v>
      </c>
      <c r="M217" s="1353">
        <v>2160</v>
      </c>
      <c r="N217" s="123" t="s">
        <v>182</v>
      </c>
      <c r="O217" s="123">
        <v>20</v>
      </c>
      <c r="P217" s="124" t="s">
        <v>184</v>
      </c>
      <c r="Q217" s="105" t="s">
        <v>182</v>
      </c>
      <c r="R217" s="1353">
        <v>9430</v>
      </c>
      <c r="S217" s="123" t="s">
        <v>182</v>
      </c>
      <c r="T217" s="123">
        <v>90</v>
      </c>
      <c r="U217" s="124" t="s">
        <v>184</v>
      </c>
      <c r="V217" s="105" t="s">
        <v>182</v>
      </c>
      <c r="W217" s="342">
        <v>7070</v>
      </c>
      <c r="X217" s="126">
        <v>70</v>
      </c>
      <c r="Y217" s="122" t="s">
        <v>183</v>
      </c>
      <c r="AA217" s="344"/>
      <c r="AF217" s="344" t="s">
        <v>185</v>
      </c>
      <c r="AJ217" s="105" t="s">
        <v>182</v>
      </c>
      <c r="AK217" s="1356" t="s">
        <v>188</v>
      </c>
      <c r="AL217" s="123" t="s">
        <v>182</v>
      </c>
      <c r="AM217" s="123" t="s">
        <v>188</v>
      </c>
      <c r="AN217" s="124"/>
      <c r="AP217" s="349" t="s">
        <v>198</v>
      </c>
      <c r="AQ217" s="106" t="s">
        <v>182</v>
      </c>
      <c r="AR217" s="106">
        <v>90</v>
      </c>
      <c r="AS217" s="131" t="s">
        <v>187</v>
      </c>
      <c r="AT217" s="105" t="s">
        <v>182</v>
      </c>
      <c r="AU217" s="1353">
        <v>1730</v>
      </c>
      <c r="AV217" s="123" t="s">
        <v>182</v>
      </c>
      <c r="AW217" s="123">
        <v>10</v>
      </c>
      <c r="AX217" s="124" t="s">
        <v>184</v>
      </c>
      <c r="AY217" s="105" t="s">
        <v>182</v>
      </c>
      <c r="AZ217" s="352">
        <v>910</v>
      </c>
      <c r="BA217" s="1355" t="s">
        <v>664</v>
      </c>
      <c r="BB217" s="127">
        <v>9</v>
      </c>
      <c r="BC217" s="1355" t="s">
        <v>664</v>
      </c>
      <c r="BD217" s="352">
        <v>160</v>
      </c>
      <c r="BE217" s="1355" t="s">
        <v>664</v>
      </c>
      <c r="BF217" s="352">
        <v>1</v>
      </c>
      <c r="BH217" s="139" t="s">
        <v>771</v>
      </c>
      <c r="BI217" s="2" t="s">
        <v>182</v>
      </c>
      <c r="BJ217" s="121">
        <v>235</v>
      </c>
      <c r="BK217" s="105" t="s">
        <v>188</v>
      </c>
      <c r="BL217" s="125">
        <v>2500</v>
      </c>
      <c r="BM217" s="150" t="s">
        <v>189</v>
      </c>
      <c r="BN217" s="150">
        <v>20</v>
      </c>
      <c r="BO217" s="151" t="s">
        <v>184</v>
      </c>
      <c r="BP217" s="105" t="s">
        <v>188</v>
      </c>
      <c r="BQ217" s="125">
        <v>9430</v>
      </c>
      <c r="BR217" s="150" t="s">
        <v>189</v>
      </c>
      <c r="BS217" s="150">
        <v>90</v>
      </c>
      <c r="BT217" s="150" t="s">
        <v>184</v>
      </c>
      <c r="BU217" s="151" t="s">
        <v>190</v>
      </c>
      <c r="BV217" s="105" t="s">
        <v>188</v>
      </c>
      <c r="BW217" s="132">
        <v>6770</v>
      </c>
      <c r="BX217" s="153" t="s">
        <v>189</v>
      </c>
      <c r="BY217" s="153">
        <v>60</v>
      </c>
      <c r="BZ217" s="153" t="s">
        <v>184</v>
      </c>
      <c r="CA217" s="154" t="s">
        <v>190</v>
      </c>
      <c r="CC217" s="152" t="s">
        <v>191</v>
      </c>
    </row>
    <row r="218" spans="1:81" ht="37.5">
      <c r="A218" s="1403"/>
      <c r="B218" s="103"/>
      <c r="C218" s="104"/>
      <c r="D218" s="122" t="s">
        <v>192</v>
      </c>
      <c r="F218" s="332">
        <v>40780</v>
      </c>
      <c r="G218" s="333"/>
      <c r="H218" s="105" t="s">
        <v>182</v>
      </c>
      <c r="I218" s="334">
        <v>390</v>
      </c>
      <c r="J218" s="335"/>
      <c r="K218" s="336" t="s">
        <v>661</v>
      </c>
      <c r="M218" s="1354"/>
      <c r="N218" s="310"/>
      <c r="O218" s="310"/>
      <c r="P218" s="311"/>
      <c r="R218" s="1354"/>
      <c r="S218" s="310"/>
      <c r="T218" s="310"/>
      <c r="U218" s="311"/>
      <c r="V218" s="105" t="s">
        <v>182</v>
      </c>
      <c r="W218" s="334">
        <v>7070</v>
      </c>
      <c r="X218" s="133">
        <v>70</v>
      </c>
      <c r="Y218" s="122" t="s">
        <v>183</v>
      </c>
      <c r="Z218" s="105" t="s">
        <v>182</v>
      </c>
      <c r="AA218" s="345">
        <v>49520</v>
      </c>
      <c r="AB218" s="134" t="s">
        <v>182</v>
      </c>
      <c r="AC218" s="134">
        <v>490</v>
      </c>
      <c r="AD218" s="135" t="s">
        <v>184</v>
      </c>
      <c r="AE218" s="105" t="s">
        <v>182</v>
      </c>
      <c r="AF218" s="345">
        <v>42450</v>
      </c>
      <c r="AG218" s="134" t="s">
        <v>182</v>
      </c>
      <c r="AH218" s="134">
        <v>420</v>
      </c>
      <c r="AI218" s="135" t="s">
        <v>184</v>
      </c>
      <c r="AK218" s="1357"/>
      <c r="AL218" s="106"/>
      <c r="AM218" s="106"/>
      <c r="AN218" s="131"/>
      <c r="AP218" s="348">
        <v>9430</v>
      </c>
      <c r="AQ218" s="106"/>
      <c r="AR218" s="106"/>
      <c r="AS218" s="131"/>
      <c r="AU218" s="1354"/>
      <c r="AV218" s="110"/>
      <c r="AW218" s="110"/>
      <c r="AX218" s="108"/>
      <c r="AZ218" s="353" t="s">
        <v>766</v>
      </c>
      <c r="BA218" s="1355"/>
      <c r="BB218" s="136" t="s">
        <v>767</v>
      </c>
      <c r="BC218" s="1355"/>
      <c r="BD218" s="353" t="s">
        <v>766</v>
      </c>
      <c r="BE218" s="1355"/>
      <c r="BF218" s="353" t="s">
        <v>663</v>
      </c>
      <c r="BH218" s="140">
        <v>9770</v>
      </c>
      <c r="BJ218" s="104" t="s">
        <v>785</v>
      </c>
      <c r="BL218" s="109"/>
      <c r="BM218" s="146"/>
      <c r="BN218" s="146"/>
      <c r="BO218" s="147"/>
      <c r="BQ218" s="109"/>
      <c r="BR218" s="146"/>
      <c r="BS218" s="146"/>
      <c r="BT218" s="146"/>
      <c r="BU218" s="147"/>
      <c r="BW218" s="132"/>
      <c r="BX218" s="153"/>
      <c r="BY218" s="153"/>
      <c r="BZ218" s="153"/>
      <c r="CA218" s="154"/>
      <c r="CC218" s="152">
        <v>0.94</v>
      </c>
    </row>
    <row r="219" spans="1:81" ht="75">
      <c r="A219" s="1403"/>
      <c r="B219" s="129" t="s">
        <v>200</v>
      </c>
      <c r="C219" s="130" t="s">
        <v>180</v>
      </c>
      <c r="D219" s="122" t="s">
        <v>181</v>
      </c>
      <c r="F219" s="327">
        <v>29890</v>
      </c>
      <c r="G219" s="328">
        <v>36960</v>
      </c>
      <c r="H219" s="105" t="s">
        <v>182</v>
      </c>
      <c r="I219" s="329">
        <v>280</v>
      </c>
      <c r="J219" s="330">
        <v>350</v>
      </c>
      <c r="K219" s="331" t="s">
        <v>661</v>
      </c>
      <c r="L219" s="105" t="s">
        <v>182</v>
      </c>
      <c r="M219" s="1353">
        <v>1620</v>
      </c>
      <c r="N219" s="106" t="s">
        <v>182</v>
      </c>
      <c r="O219" s="106">
        <v>10</v>
      </c>
      <c r="P219" s="131" t="s">
        <v>184</v>
      </c>
      <c r="Q219" s="105" t="s">
        <v>182</v>
      </c>
      <c r="R219" s="1353">
        <v>7070</v>
      </c>
      <c r="S219" s="106" t="s">
        <v>182</v>
      </c>
      <c r="T219" s="106">
        <v>70</v>
      </c>
      <c r="U219" s="131" t="s">
        <v>184</v>
      </c>
      <c r="V219" s="105" t="s">
        <v>182</v>
      </c>
      <c r="W219" s="342">
        <v>7070</v>
      </c>
      <c r="X219" s="126">
        <v>70</v>
      </c>
      <c r="Y219" s="122" t="s">
        <v>183</v>
      </c>
      <c r="AA219" s="344"/>
      <c r="AF219" s="344" t="s">
        <v>185</v>
      </c>
      <c r="AJ219" s="105" t="s">
        <v>182</v>
      </c>
      <c r="AK219" s="1356" t="s">
        <v>188</v>
      </c>
      <c r="AL219" s="106" t="s">
        <v>182</v>
      </c>
      <c r="AM219" s="106" t="s">
        <v>188</v>
      </c>
      <c r="AN219" s="131"/>
      <c r="AP219" s="349" t="s">
        <v>201</v>
      </c>
      <c r="AQ219" s="106" t="s">
        <v>182</v>
      </c>
      <c r="AR219" s="106">
        <v>70</v>
      </c>
      <c r="AS219" s="131" t="s">
        <v>187</v>
      </c>
      <c r="AT219" s="105" t="s">
        <v>182</v>
      </c>
      <c r="AU219" s="1353">
        <v>1300</v>
      </c>
      <c r="AV219" s="106" t="s">
        <v>182</v>
      </c>
      <c r="AW219" s="106">
        <v>10</v>
      </c>
      <c r="AX219" s="131" t="s">
        <v>184</v>
      </c>
      <c r="AY219" s="105" t="s">
        <v>182</v>
      </c>
      <c r="AZ219" s="352">
        <v>680</v>
      </c>
      <c r="BA219" s="1355" t="s">
        <v>664</v>
      </c>
      <c r="BB219" s="127">
        <v>6</v>
      </c>
      <c r="BC219" s="1355" t="s">
        <v>664</v>
      </c>
      <c r="BD219" s="352">
        <v>120</v>
      </c>
      <c r="BE219" s="1355" t="s">
        <v>664</v>
      </c>
      <c r="BF219" s="352">
        <v>1</v>
      </c>
      <c r="BH219" s="139" t="s">
        <v>772</v>
      </c>
      <c r="BI219" s="2" t="s">
        <v>182</v>
      </c>
      <c r="BJ219" s="130">
        <v>235</v>
      </c>
      <c r="BK219" s="105" t="s">
        <v>188</v>
      </c>
      <c r="BL219" s="132">
        <v>1870</v>
      </c>
      <c r="BM219" s="153" t="s">
        <v>189</v>
      </c>
      <c r="BN219" s="153">
        <v>10</v>
      </c>
      <c r="BO219" s="154" t="s">
        <v>184</v>
      </c>
      <c r="BP219" s="105" t="s">
        <v>188</v>
      </c>
      <c r="BQ219" s="132">
        <v>7070</v>
      </c>
      <c r="BR219" s="153" t="s">
        <v>189</v>
      </c>
      <c r="BS219" s="153">
        <v>70</v>
      </c>
      <c r="BT219" s="153" t="s">
        <v>184</v>
      </c>
      <c r="BU219" s="154" t="s">
        <v>190</v>
      </c>
      <c r="BV219" s="105" t="s">
        <v>188</v>
      </c>
      <c r="BW219" s="125">
        <v>5070</v>
      </c>
      <c r="BX219" s="150" t="s">
        <v>189</v>
      </c>
      <c r="BY219" s="150">
        <v>50</v>
      </c>
      <c r="BZ219" s="150" t="s">
        <v>184</v>
      </c>
      <c r="CA219" s="151" t="s">
        <v>190</v>
      </c>
      <c r="CC219" s="152" t="s">
        <v>191</v>
      </c>
    </row>
    <row r="220" spans="1:81" ht="37.5">
      <c r="A220" s="1403"/>
      <c r="B220" s="129"/>
      <c r="C220" s="130"/>
      <c r="D220" s="122" t="s">
        <v>192</v>
      </c>
      <c r="F220" s="332">
        <v>36960</v>
      </c>
      <c r="G220" s="333"/>
      <c r="H220" s="105" t="s">
        <v>182</v>
      </c>
      <c r="I220" s="334">
        <v>350</v>
      </c>
      <c r="J220" s="335"/>
      <c r="K220" s="336" t="s">
        <v>661</v>
      </c>
      <c r="M220" s="1354"/>
      <c r="N220" s="106"/>
      <c r="O220" s="106"/>
      <c r="P220" s="131"/>
      <c r="R220" s="1354"/>
      <c r="S220" s="106"/>
      <c r="T220" s="106"/>
      <c r="U220" s="131"/>
      <c r="V220" s="105" t="s">
        <v>182</v>
      </c>
      <c r="W220" s="334">
        <v>7070</v>
      </c>
      <c r="X220" s="133">
        <v>70</v>
      </c>
      <c r="Y220" s="122" t="s">
        <v>183</v>
      </c>
      <c r="Z220" s="105" t="s">
        <v>182</v>
      </c>
      <c r="AA220" s="345">
        <v>49520</v>
      </c>
      <c r="AB220" s="134" t="s">
        <v>182</v>
      </c>
      <c r="AC220" s="134">
        <v>490</v>
      </c>
      <c r="AD220" s="135" t="s">
        <v>184</v>
      </c>
      <c r="AE220" s="105" t="s">
        <v>182</v>
      </c>
      <c r="AF220" s="345">
        <v>42450</v>
      </c>
      <c r="AG220" s="134" t="s">
        <v>182</v>
      </c>
      <c r="AH220" s="134">
        <v>420</v>
      </c>
      <c r="AI220" s="135" t="s">
        <v>184</v>
      </c>
      <c r="AK220" s="1357"/>
      <c r="AL220" s="106"/>
      <c r="AM220" s="106"/>
      <c r="AN220" s="131"/>
      <c r="AP220" s="348">
        <v>7070</v>
      </c>
      <c r="AQ220" s="106"/>
      <c r="AR220" s="106"/>
      <c r="AS220" s="131"/>
      <c r="AU220" s="1354"/>
      <c r="AV220" s="106"/>
      <c r="AW220" s="106"/>
      <c r="AX220" s="131"/>
      <c r="AZ220" s="353" t="s">
        <v>766</v>
      </c>
      <c r="BA220" s="1355"/>
      <c r="BB220" s="136" t="s">
        <v>767</v>
      </c>
      <c r="BC220" s="1355"/>
      <c r="BD220" s="353" t="s">
        <v>766</v>
      </c>
      <c r="BE220" s="1355"/>
      <c r="BF220" s="353" t="s">
        <v>663</v>
      </c>
      <c r="BH220" s="140">
        <v>7500</v>
      </c>
      <c r="BJ220" s="130" t="s">
        <v>785</v>
      </c>
      <c r="BL220" s="132"/>
      <c r="BM220" s="153"/>
      <c r="BN220" s="153"/>
      <c r="BO220" s="154"/>
      <c r="BQ220" s="132"/>
      <c r="BR220" s="153"/>
      <c r="BS220" s="153"/>
      <c r="BT220" s="153"/>
      <c r="BU220" s="154"/>
      <c r="BW220" s="109"/>
      <c r="BX220" s="146"/>
      <c r="BY220" s="146"/>
      <c r="BZ220" s="146"/>
      <c r="CA220" s="147"/>
      <c r="CC220" s="152">
        <v>0.89</v>
      </c>
    </row>
    <row r="221" spans="1:81" ht="75">
      <c r="A221" s="1403"/>
      <c r="B221" s="120" t="s">
        <v>202</v>
      </c>
      <c r="C221" s="121" t="s">
        <v>180</v>
      </c>
      <c r="D221" s="122" t="s">
        <v>181</v>
      </c>
      <c r="F221" s="327">
        <v>27630</v>
      </c>
      <c r="G221" s="328">
        <v>34700</v>
      </c>
      <c r="H221" s="105" t="s">
        <v>182</v>
      </c>
      <c r="I221" s="329">
        <v>250</v>
      </c>
      <c r="J221" s="330">
        <v>320</v>
      </c>
      <c r="K221" s="331" t="s">
        <v>661</v>
      </c>
      <c r="L221" s="105" t="s">
        <v>182</v>
      </c>
      <c r="M221" s="1353">
        <v>1300</v>
      </c>
      <c r="N221" s="123" t="s">
        <v>182</v>
      </c>
      <c r="O221" s="123">
        <v>10</v>
      </c>
      <c r="P221" s="124" t="s">
        <v>184</v>
      </c>
      <c r="Q221" s="105" t="s">
        <v>182</v>
      </c>
      <c r="R221" s="1353">
        <v>5650</v>
      </c>
      <c r="S221" s="123" t="s">
        <v>182</v>
      </c>
      <c r="T221" s="123">
        <v>50</v>
      </c>
      <c r="U221" s="124" t="s">
        <v>184</v>
      </c>
      <c r="V221" s="105" t="s">
        <v>182</v>
      </c>
      <c r="W221" s="342">
        <v>7070</v>
      </c>
      <c r="X221" s="126">
        <v>70</v>
      </c>
      <c r="Y221" s="122" t="s">
        <v>183</v>
      </c>
      <c r="AA221" s="344"/>
      <c r="AF221" s="344" t="s">
        <v>185</v>
      </c>
      <c r="AJ221" s="105" t="s">
        <v>182</v>
      </c>
      <c r="AK221" s="1356" t="s">
        <v>188</v>
      </c>
      <c r="AL221" s="106" t="s">
        <v>182</v>
      </c>
      <c r="AM221" s="106" t="s">
        <v>188</v>
      </c>
      <c r="AN221" s="131"/>
      <c r="AP221" s="349" t="s">
        <v>203</v>
      </c>
      <c r="AQ221" s="106" t="s">
        <v>182</v>
      </c>
      <c r="AR221" s="106">
        <v>50</v>
      </c>
      <c r="AS221" s="131" t="s">
        <v>187</v>
      </c>
      <c r="AT221" s="105" t="s">
        <v>182</v>
      </c>
      <c r="AU221" s="1353">
        <v>1040</v>
      </c>
      <c r="AV221" s="123" t="s">
        <v>182</v>
      </c>
      <c r="AW221" s="123">
        <v>10</v>
      </c>
      <c r="AX221" s="124" t="s">
        <v>184</v>
      </c>
      <c r="AY221" s="105" t="s">
        <v>182</v>
      </c>
      <c r="AZ221" s="352">
        <v>570</v>
      </c>
      <c r="BA221" s="1355" t="s">
        <v>664</v>
      </c>
      <c r="BB221" s="127">
        <v>5</v>
      </c>
      <c r="BC221" s="1355" t="s">
        <v>664</v>
      </c>
      <c r="BD221" s="352">
        <v>100</v>
      </c>
      <c r="BE221" s="1355" t="s">
        <v>664</v>
      </c>
      <c r="BF221" s="352">
        <v>1</v>
      </c>
      <c r="BH221" s="139" t="s">
        <v>773</v>
      </c>
      <c r="BI221" s="2" t="s">
        <v>182</v>
      </c>
      <c r="BJ221" s="121">
        <v>235</v>
      </c>
      <c r="BK221" s="105" t="s">
        <v>188</v>
      </c>
      <c r="BL221" s="125">
        <v>1500</v>
      </c>
      <c r="BM221" s="150" t="s">
        <v>189</v>
      </c>
      <c r="BN221" s="150">
        <v>10</v>
      </c>
      <c r="BO221" s="151" t="s">
        <v>184</v>
      </c>
      <c r="BP221" s="105" t="s">
        <v>188</v>
      </c>
      <c r="BQ221" s="125">
        <v>5660</v>
      </c>
      <c r="BR221" s="150" t="s">
        <v>189</v>
      </c>
      <c r="BS221" s="150">
        <v>50</v>
      </c>
      <c r="BT221" s="150" t="s">
        <v>184</v>
      </c>
      <c r="BU221" s="151" t="s">
        <v>190</v>
      </c>
      <c r="BV221" s="105" t="s">
        <v>188</v>
      </c>
      <c r="BW221" s="132">
        <v>4060</v>
      </c>
      <c r="BX221" s="153" t="s">
        <v>189</v>
      </c>
      <c r="BY221" s="153">
        <v>40</v>
      </c>
      <c r="BZ221" s="153" t="s">
        <v>184</v>
      </c>
      <c r="CA221" s="154" t="s">
        <v>190</v>
      </c>
      <c r="CC221" s="152" t="s">
        <v>191</v>
      </c>
    </row>
    <row r="222" spans="1:81" ht="37.5">
      <c r="A222" s="1403"/>
      <c r="B222" s="103"/>
      <c r="C222" s="104"/>
      <c r="D222" s="122" t="s">
        <v>192</v>
      </c>
      <c r="F222" s="332">
        <v>34700</v>
      </c>
      <c r="G222" s="333"/>
      <c r="H222" s="105" t="s">
        <v>182</v>
      </c>
      <c r="I222" s="334">
        <v>320</v>
      </c>
      <c r="J222" s="335"/>
      <c r="K222" s="336" t="s">
        <v>661</v>
      </c>
      <c r="M222" s="1354"/>
      <c r="N222" s="310"/>
      <c r="O222" s="310"/>
      <c r="P222" s="311"/>
      <c r="R222" s="1354"/>
      <c r="S222" s="310"/>
      <c r="T222" s="310"/>
      <c r="U222" s="311"/>
      <c r="V222" s="105" t="s">
        <v>182</v>
      </c>
      <c r="W222" s="334">
        <v>7070</v>
      </c>
      <c r="X222" s="133">
        <v>70</v>
      </c>
      <c r="Y222" s="122" t="s">
        <v>183</v>
      </c>
      <c r="Z222" s="105" t="s">
        <v>182</v>
      </c>
      <c r="AA222" s="345">
        <v>49520</v>
      </c>
      <c r="AB222" s="134" t="s">
        <v>182</v>
      </c>
      <c r="AC222" s="134">
        <v>490</v>
      </c>
      <c r="AD222" s="135" t="s">
        <v>184</v>
      </c>
      <c r="AE222" s="105" t="s">
        <v>182</v>
      </c>
      <c r="AF222" s="345">
        <v>42450</v>
      </c>
      <c r="AG222" s="134" t="s">
        <v>182</v>
      </c>
      <c r="AH222" s="134">
        <v>420</v>
      </c>
      <c r="AI222" s="135" t="s">
        <v>184</v>
      </c>
      <c r="AK222" s="1357"/>
      <c r="AL222" s="106"/>
      <c r="AM222" s="106"/>
      <c r="AN222" s="131"/>
      <c r="AP222" s="348">
        <v>5650</v>
      </c>
      <c r="AQ222" s="106"/>
      <c r="AR222" s="106"/>
      <c r="AS222" s="131"/>
      <c r="AU222" s="1354"/>
      <c r="AV222" s="110"/>
      <c r="AW222" s="110"/>
      <c r="AX222" s="108"/>
      <c r="AZ222" s="353" t="s">
        <v>766</v>
      </c>
      <c r="BA222" s="1355"/>
      <c r="BB222" s="136" t="s">
        <v>767</v>
      </c>
      <c r="BC222" s="1355"/>
      <c r="BD222" s="353" t="s">
        <v>766</v>
      </c>
      <c r="BE222" s="1355"/>
      <c r="BF222" s="353" t="s">
        <v>663</v>
      </c>
      <c r="BH222" s="140">
        <v>6130</v>
      </c>
      <c r="BJ222" s="104" t="s">
        <v>785</v>
      </c>
      <c r="BL222" s="109"/>
      <c r="BM222" s="146"/>
      <c r="BN222" s="146"/>
      <c r="BO222" s="147"/>
      <c r="BQ222" s="109"/>
      <c r="BR222" s="146"/>
      <c r="BS222" s="146"/>
      <c r="BT222" s="146"/>
      <c r="BU222" s="147"/>
      <c r="BW222" s="132"/>
      <c r="BX222" s="153"/>
      <c r="BY222" s="153"/>
      <c r="BZ222" s="153"/>
      <c r="CA222" s="154"/>
      <c r="CC222" s="152">
        <v>0.92</v>
      </c>
    </row>
    <row r="223" spans="1:81" ht="75">
      <c r="A223" s="1403"/>
      <c r="B223" s="129" t="s">
        <v>204</v>
      </c>
      <c r="C223" s="130" t="s">
        <v>180</v>
      </c>
      <c r="D223" s="122" t="s">
        <v>181</v>
      </c>
      <c r="F223" s="327">
        <v>26100</v>
      </c>
      <c r="G223" s="328">
        <v>33170</v>
      </c>
      <c r="H223" s="105" t="s">
        <v>182</v>
      </c>
      <c r="I223" s="329">
        <v>240</v>
      </c>
      <c r="J223" s="330">
        <v>310</v>
      </c>
      <c r="K223" s="331" t="s">
        <v>661</v>
      </c>
      <c r="L223" s="105" t="s">
        <v>182</v>
      </c>
      <c r="M223" s="1353">
        <v>1080</v>
      </c>
      <c r="N223" s="106" t="s">
        <v>182</v>
      </c>
      <c r="O223" s="106">
        <v>10</v>
      </c>
      <c r="P223" s="131" t="s">
        <v>184</v>
      </c>
      <c r="Q223" s="105" t="s">
        <v>182</v>
      </c>
      <c r="R223" s="1353">
        <v>4710</v>
      </c>
      <c r="S223" s="106" t="s">
        <v>182</v>
      </c>
      <c r="T223" s="106">
        <v>40</v>
      </c>
      <c r="U223" s="131" t="s">
        <v>184</v>
      </c>
      <c r="V223" s="105" t="s">
        <v>182</v>
      </c>
      <c r="W223" s="342">
        <v>7070</v>
      </c>
      <c r="X223" s="126">
        <v>70</v>
      </c>
      <c r="Y223" s="122" t="s">
        <v>183</v>
      </c>
      <c r="AA223" s="344"/>
      <c r="AF223" s="344" t="s">
        <v>185</v>
      </c>
      <c r="AJ223" s="105" t="s">
        <v>182</v>
      </c>
      <c r="AK223" s="1356" t="s">
        <v>188</v>
      </c>
      <c r="AL223" s="106" t="s">
        <v>182</v>
      </c>
      <c r="AM223" s="106" t="s">
        <v>188</v>
      </c>
      <c r="AN223" s="131"/>
      <c r="AP223" s="349" t="s">
        <v>205</v>
      </c>
      <c r="AQ223" s="106" t="s">
        <v>182</v>
      </c>
      <c r="AR223" s="106">
        <v>40</v>
      </c>
      <c r="AS223" s="131" t="s">
        <v>187</v>
      </c>
      <c r="AT223" s="105" t="s">
        <v>182</v>
      </c>
      <c r="AU223" s="1353">
        <v>860</v>
      </c>
      <c r="AV223" s="106" t="s">
        <v>182</v>
      </c>
      <c r="AW223" s="106">
        <v>8</v>
      </c>
      <c r="AX223" s="131" t="s">
        <v>184</v>
      </c>
      <c r="AY223" s="105" t="s">
        <v>182</v>
      </c>
      <c r="AZ223" s="352">
        <v>500</v>
      </c>
      <c r="BA223" s="1355" t="s">
        <v>664</v>
      </c>
      <c r="BB223" s="127">
        <v>5</v>
      </c>
      <c r="BC223" s="1355" t="s">
        <v>664</v>
      </c>
      <c r="BD223" s="352">
        <v>80</v>
      </c>
      <c r="BE223" s="1355" t="s">
        <v>664</v>
      </c>
      <c r="BF223" s="352">
        <v>1</v>
      </c>
      <c r="BH223" s="139" t="s">
        <v>774</v>
      </c>
      <c r="BI223" s="2" t="s">
        <v>182</v>
      </c>
      <c r="BJ223" s="130">
        <v>235</v>
      </c>
      <c r="BK223" s="105" t="s">
        <v>188</v>
      </c>
      <c r="BL223" s="132">
        <v>1250</v>
      </c>
      <c r="BM223" s="153" t="s">
        <v>189</v>
      </c>
      <c r="BN223" s="153">
        <v>10</v>
      </c>
      <c r="BO223" s="154" t="s">
        <v>184</v>
      </c>
      <c r="BP223" s="105" t="s">
        <v>188</v>
      </c>
      <c r="BQ223" s="132">
        <v>4710</v>
      </c>
      <c r="BR223" s="153" t="s">
        <v>189</v>
      </c>
      <c r="BS223" s="153">
        <v>40</v>
      </c>
      <c r="BT223" s="153" t="s">
        <v>184</v>
      </c>
      <c r="BU223" s="154" t="s">
        <v>190</v>
      </c>
      <c r="BV223" s="105" t="s">
        <v>188</v>
      </c>
      <c r="BW223" s="125">
        <v>3380</v>
      </c>
      <c r="BX223" s="150" t="s">
        <v>189</v>
      </c>
      <c r="BY223" s="150">
        <v>30</v>
      </c>
      <c r="BZ223" s="150" t="s">
        <v>184</v>
      </c>
      <c r="CA223" s="151" t="s">
        <v>190</v>
      </c>
      <c r="CC223" s="152" t="s">
        <v>191</v>
      </c>
    </row>
    <row r="224" spans="1:81" ht="37.5">
      <c r="A224" s="1403"/>
      <c r="B224" s="129"/>
      <c r="C224" s="130"/>
      <c r="D224" s="122" t="s">
        <v>192</v>
      </c>
      <c r="F224" s="332">
        <v>33170</v>
      </c>
      <c r="G224" s="333"/>
      <c r="H224" s="105" t="s">
        <v>182</v>
      </c>
      <c r="I224" s="334">
        <v>310</v>
      </c>
      <c r="J224" s="335"/>
      <c r="K224" s="336" t="s">
        <v>661</v>
      </c>
      <c r="M224" s="1354"/>
      <c r="N224" s="106"/>
      <c r="O224" s="106"/>
      <c r="P224" s="131"/>
      <c r="R224" s="1354"/>
      <c r="S224" s="106"/>
      <c r="T224" s="106"/>
      <c r="U224" s="131"/>
      <c r="V224" s="105" t="s">
        <v>182</v>
      </c>
      <c r="W224" s="334">
        <v>7070</v>
      </c>
      <c r="X224" s="133">
        <v>70</v>
      </c>
      <c r="Y224" s="122" t="s">
        <v>183</v>
      </c>
      <c r="Z224" s="105" t="s">
        <v>182</v>
      </c>
      <c r="AA224" s="345">
        <v>49520</v>
      </c>
      <c r="AB224" s="134" t="s">
        <v>182</v>
      </c>
      <c r="AC224" s="134">
        <v>490</v>
      </c>
      <c r="AD224" s="135" t="s">
        <v>184</v>
      </c>
      <c r="AE224" s="105" t="s">
        <v>182</v>
      </c>
      <c r="AF224" s="345">
        <v>42450</v>
      </c>
      <c r="AG224" s="134" t="s">
        <v>182</v>
      </c>
      <c r="AH224" s="134">
        <v>420</v>
      </c>
      <c r="AI224" s="135" t="s">
        <v>184</v>
      </c>
      <c r="AK224" s="1357"/>
      <c r="AL224" s="106"/>
      <c r="AM224" s="106"/>
      <c r="AN224" s="131"/>
      <c r="AP224" s="348">
        <v>4710</v>
      </c>
      <c r="AQ224" s="106"/>
      <c r="AR224" s="106"/>
      <c r="AS224" s="131"/>
      <c r="AU224" s="1354"/>
      <c r="AV224" s="106"/>
      <c r="AW224" s="106"/>
      <c r="AX224" s="131"/>
      <c r="AZ224" s="353" t="s">
        <v>766</v>
      </c>
      <c r="BA224" s="1355"/>
      <c r="BB224" s="136" t="s">
        <v>767</v>
      </c>
      <c r="BC224" s="1355"/>
      <c r="BD224" s="353" t="s">
        <v>766</v>
      </c>
      <c r="BE224" s="1355"/>
      <c r="BF224" s="353" t="s">
        <v>663</v>
      </c>
      <c r="BH224" s="140">
        <v>5220</v>
      </c>
      <c r="BJ224" s="130" t="s">
        <v>785</v>
      </c>
      <c r="BL224" s="132"/>
      <c r="BM224" s="153"/>
      <c r="BN224" s="153"/>
      <c r="BO224" s="154"/>
      <c r="BQ224" s="132"/>
      <c r="BR224" s="153"/>
      <c r="BS224" s="153"/>
      <c r="BT224" s="153"/>
      <c r="BU224" s="154"/>
      <c r="BW224" s="109"/>
      <c r="BX224" s="146"/>
      <c r="BY224" s="146"/>
      <c r="BZ224" s="146"/>
      <c r="CA224" s="147"/>
      <c r="CC224" s="152">
        <v>0.9</v>
      </c>
    </row>
    <row r="225" spans="1:81" ht="75">
      <c r="A225" s="1403"/>
      <c r="B225" s="120" t="s">
        <v>206</v>
      </c>
      <c r="C225" s="121" t="s">
        <v>180</v>
      </c>
      <c r="D225" s="122" t="s">
        <v>181</v>
      </c>
      <c r="F225" s="327">
        <v>25670</v>
      </c>
      <c r="G225" s="328">
        <v>32740</v>
      </c>
      <c r="H225" s="105" t="s">
        <v>182</v>
      </c>
      <c r="I225" s="329">
        <v>230</v>
      </c>
      <c r="J225" s="330">
        <v>310</v>
      </c>
      <c r="K225" s="331" t="s">
        <v>661</v>
      </c>
      <c r="L225" s="105" t="s">
        <v>182</v>
      </c>
      <c r="M225" s="1353">
        <v>920</v>
      </c>
      <c r="N225" s="123" t="s">
        <v>182</v>
      </c>
      <c r="O225" s="123">
        <v>9</v>
      </c>
      <c r="P225" s="124" t="s">
        <v>184</v>
      </c>
      <c r="Q225" s="105" t="s">
        <v>182</v>
      </c>
      <c r="R225" s="1353">
        <v>4040</v>
      </c>
      <c r="S225" s="123" t="s">
        <v>182</v>
      </c>
      <c r="T225" s="123">
        <v>40</v>
      </c>
      <c r="U225" s="124" t="s">
        <v>184</v>
      </c>
      <c r="V225" s="105" t="s">
        <v>182</v>
      </c>
      <c r="W225" s="342">
        <v>7070</v>
      </c>
      <c r="X225" s="126">
        <v>70</v>
      </c>
      <c r="Y225" s="122" t="s">
        <v>183</v>
      </c>
      <c r="AA225" s="344"/>
      <c r="AF225" s="344" t="s">
        <v>185</v>
      </c>
      <c r="AJ225" s="105" t="s">
        <v>182</v>
      </c>
      <c r="AK225" s="1356" t="s">
        <v>188</v>
      </c>
      <c r="AL225" s="106" t="s">
        <v>182</v>
      </c>
      <c r="AM225" s="106" t="s">
        <v>188</v>
      </c>
      <c r="AN225" s="131"/>
      <c r="AP225" s="349" t="s">
        <v>207</v>
      </c>
      <c r="AQ225" s="106" t="s">
        <v>182</v>
      </c>
      <c r="AR225" s="106">
        <v>40</v>
      </c>
      <c r="AS225" s="131" t="s">
        <v>187</v>
      </c>
      <c r="AT225" s="105" t="s">
        <v>182</v>
      </c>
      <c r="AU225" s="1353">
        <v>740</v>
      </c>
      <c r="AV225" s="123" t="s">
        <v>182</v>
      </c>
      <c r="AW225" s="123">
        <v>7</v>
      </c>
      <c r="AX225" s="124" t="s">
        <v>184</v>
      </c>
      <c r="AY225" s="105" t="s">
        <v>182</v>
      </c>
      <c r="AZ225" s="352">
        <v>440</v>
      </c>
      <c r="BA225" s="1355" t="s">
        <v>664</v>
      </c>
      <c r="BB225" s="127">
        <v>4</v>
      </c>
      <c r="BC225" s="1355" t="s">
        <v>664</v>
      </c>
      <c r="BD225" s="352">
        <v>80</v>
      </c>
      <c r="BE225" s="1355" t="s">
        <v>664</v>
      </c>
      <c r="BF225" s="352">
        <v>1</v>
      </c>
      <c r="BH225" s="139" t="s">
        <v>775</v>
      </c>
      <c r="BI225" s="2" t="s">
        <v>182</v>
      </c>
      <c r="BJ225" s="121">
        <v>235</v>
      </c>
      <c r="BK225" s="105" t="s">
        <v>188</v>
      </c>
      <c r="BL225" s="125">
        <v>1070</v>
      </c>
      <c r="BM225" s="150" t="s">
        <v>189</v>
      </c>
      <c r="BN225" s="150">
        <v>10</v>
      </c>
      <c r="BO225" s="151" t="s">
        <v>184</v>
      </c>
      <c r="BP225" s="105" t="s">
        <v>188</v>
      </c>
      <c r="BQ225" s="125">
        <v>4040</v>
      </c>
      <c r="BR225" s="150" t="s">
        <v>189</v>
      </c>
      <c r="BS225" s="150">
        <v>40</v>
      </c>
      <c r="BT225" s="150" t="s">
        <v>184</v>
      </c>
      <c r="BU225" s="151" t="s">
        <v>190</v>
      </c>
      <c r="BV225" s="105" t="s">
        <v>188</v>
      </c>
      <c r="BW225" s="132">
        <v>2900</v>
      </c>
      <c r="BX225" s="153" t="s">
        <v>189</v>
      </c>
      <c r="BY225" s="153">
        <v>20</v>
      </c>
      <c r="BZ225" s="153" t="s">
        <v>184</v>
      </c>
      <c r="CA225" s="154" t="s">
        <v>190</v>
      </c>
      <c r="CC225" s="152" t="s">
        <v>191</v>
      </c>
    </row>
    <row r="226" spans="1:81" ht="37.5">
      <c r="A226" s="1403"/>
      <c r="B226" s="103"/>
      <c r="C226" s="104"/>
      <c r="D226" s="122" t="s">
        <v>192</v>
      </c>
      <c r="F226" s="332">
        <v>32740</v>
      </c>
      <c r="G226" s="333"/>
      <c r="H226" s="105" t="s">
        <v>182</v>
      </c>
      <c r="I226" s="334">
        <v>310</v>
      </c>
      <c r="J226" s="335"/>
      <c r="K226" s="336" t="s">
        <v>661</v>
      </c>
      <c r="M226" s="1354"/>
      <c r="N226" s="310"/>
      <c r="O226" s="310"/>
      <c r="P226" s="311"/>
      <c r="R226" s="1354"/>
      <c r="S226" s="310"/>
      <c r="T226" s="310"/>
      <c r="U226" s="311"/>
      <c r="V226" s="105" t="s">
        <v>182</v>
      </c>
      <c r="W226" s="334">
        <v>7070</v>
      </c>
      <c r="X226" s="133">
        <v>70</v>
      </c>
      <c r="Y226" s="122" t="s">
        <v>183</v>
      </c>
      <c r="Z226" s="105" t="s">
        <v>182</v>
      </c>
      <c r="AA226" s="345">
        <v>49520</v>
      </c>
      <c r="AB226" s="134" t="s">
        <v>182</v>
      </c>
      <c r="AC226" s="134">
        <v>490</v>
      </c>
      <c r="AD226" s="135" t="s">
        <v>184</v>
      </c>
      <c r="AE226" s="105" t="s">
        <v>182</v>
      </c>
      <c r="AF226" s="345">
        <v>42450</v>
      </c>
      <c r="AG226" s="134" t="s">
        <v>182</v>
      </c>
      <c r="AH226" s="134">
        <v>420</v>
      </c>
      <c r="AI226" s="135" t="s">
        <v>184</v>
      </c>
      <c r="AK226" s="1357"/>
      <c r="AL226" s="106"/>
      <c r="AM226" s="106"/>
      <c r="AN226" s="131"/>
      <c r="AP226" s="348">
        <v>4040</v>
      </c>
      <c r="AQ226" s="106"/>
      <c r="AR226" s="106"/>
      <c r="AS226" s="131"/>
      <c r="AU226" s="1354"/>
      <c r="AV226" s="110"/>
      <c r="AW226" s="110"/>
      <c r="AX226" s="108"/>
      <c r="AZ226" s="353" t="s">
        <v>766</v>
      </c>
      <c r="BA226" s="1355"/>
      <c r="BB226" s="136" t="s">
        <v>767</v>
      </c>
      <c r="BC226" s="1355"/>
      <c r="BD226" s="353" t="s">
        <v>766</v>
      </c>
      <c r="BE226" s="1355"/>
      <c r="BF226" s="353" t="s">
        <v>663</v>
      </c>
      <c r="BH226" s="140">
        <v>4660</v>
      </c>
      <c r="BJ226" s="104" t="s">
        <v>785</v>
      </c>
      <c r="BL226" s="109"/>
      <c r="BM226" s="146"/>
      <c r="BN226" s="146"/>
      <c r="BO226" s="147"/>
      <c r="BQ226" s="109"/>
      <c r="BR226" s="146"/>
      <c r="BS226" s="146"/>
      <c r="BT226" s="146"/>
      <c r="BU226" s="147"/>
      <c r="BW226" s="132"/>
      <c r="BX226" s="153"/>
      <c r="BY226" s="153"/>
      <c r="BZ226" s="153"/>
      <c r="CA226" s="154"/>
      <c r="CC226" s="152">
        <v>0.90700000000000003</v>
      </c>
    </row>
    <row r="227" spans="1:81" ht="75">
      <c r="A227" s="1403"/>
      <c r="B227" s="129" t="s">
        <v>208</v>
      </c>
      <c r="C227" s="130" t="s">
        <v>180</v>
      </c>
      <c r="D227" s="122" t="s">
        <v>181</v>
      </c>
      <c r="F227" s="327">
        <v>24790</v>
      </c>
      <c r="G227" s="328">
        <v>31860</v>
      </c>
      <c r="H227" s="105" t="s">
        <v>182</v>
      </c>
      <c r="I227" s="329">
        <v>230</v>
      </c>
      <c r="J227" s="330">
        <v>300</v>
      </c>
      <c r="K227" s="331" t="s">
        <v>661</v>
      </c>
      <c r="L227" s="105" t="s">
        <v>182</v>
      </c>
      <c r="M227" s="1353">
        <v>810</v>
      </c>
      <c r="N227" s="106" t="s">
        <v>182</v>
      </c>
      <c r="O227" s="106">
        <v>8</v>
      </c>
      <c r="P227" s="131" t="s">
        <v>184</v>
      </c>
      <c r="Q227" s="105" t="s">
        <v>182</v>
      </c>
      <c r="R227" s="1353">
        <v>3530</v>
      </c>
      <c r="S227" s="106" t="s">
        <v>182</v>
      </c>
      <c r="T227" s="106">
        <v>30</v>
      </c>
      <c r="U227" s="131" t="s">
        <v>184</v>
      </c>
      <c r="V227" s="105" t="s">
        <v>182</v>
      </c>
      <c r="W227" s="342">
        <v>7070</v>
      </c>
      <c r="X227" s="126">
        <v>70</v>
      </c>
      <c r="Y227" s="122" t="s">
        <v>183</v>
      </c>
      <c r="AA227" s="344"/>
      <c r="AF227" s="344" t="s">
        <v>185</v>
      </c>
      <c r="AJ227" s="105" t="s">
        <v>182</v>
      </c>
      <c r="AK227" s="1356" t="s">
        <v>188</v>
      </c>
      <c r="AL227" s="106" t="s">
        <v>182</v>
      </c>
      <c r="AM227" s="106" t="s">
        <v>188</v>
      </c>
      <c r="AN227" s="131"/>
      <c r="AP227" s="349" t="s">
        <v>209</v>
      </c>
      <c r="AQ227" s="106" t="s">
        <v>182</v>
      </c>
      <c r="AR227" s="106">
        <v>30</v>
      </c>
      <c r="AS227" s="131" t="s">
        <v>187</v>
      </c>
      <c r="AT227" s="105" t="s">
        <v>182</v>
      </c>
      <c r="AU227" s="1353">
        <v>650</v>
      </c>
      <c r="AV227" s="106" t="s">
        <v>182</v>
      </c>
      <c r="AW227" s="106">
        <v>6</v>
      </c>
      <c r="AX227" s="131" t="s">
        <v>184</v>
      </c>
      <c r="AY227" s="105" t="s">
        <v>182</v>
      </c>
      <c r="AZ227" s="352">
        <v>410</v>
      </c>
      <c r="BA227" s="1355" t="s">
        <v>664</v>
      </c>
      <c r="BB227" s="127">
        <v>4</v>
      </c>
      <c r="BC227" s="1355" t="s">
        <v>664</v>
      </c>
      <c r="BD227" s="352">
        <v>70</v>
      </c>
      <c r="BE227" s="1355" t="s">
        <v>664</v>
      </c>
      <c r="BF227" s="352">
        <v>1</v>
      </c>
      <c r="BH227" s="139" t="s">
        <v>776</v>
      </c>
      <c r="BI227" s="2" t="s">
        <v>182</v>
      </c>
      <c r="BJ227" s="130">
        <v>235</v>
      </c>
      <c r="BK227" s="105" t="s">
        <v>188</v>
      </c>
      <c r="BL227" s="132">
        <v>930</v>
      </c>
      <c r="BM227" s="153" t="s">
        <v>189</v>
      </c>
      <c r="BN227" s="153">
        <v>9</v>
      </c>
      <c r="BO227" s="154" t="s">
        <v>184</v>
      </c>
      <c r="BP227" s="105" t="s">
        <v>188</v>
      </c>
      <c r="BQ227" s="132">
        <v>3530</v>
      </c>
      <c r="BR227" s="153" t="s">
        <v>189</v>
      </c>
      <c r="BS227" s="153">
        <v>30</v>
      </c>
      <c r="BT227" s="153" t="s">
        <v>184</v>
      </c>
      <c r="BU227" s="154" t="s">
        <v>190</v>
      </c>
      <c r="BV227" s="105" t="s">
        <v>188</v>
      </c>
      <c r="BW227" s="125">
        <v>2530</v>
      </c>
      <c r="BX227" s="150" t="s">
        <v>189</v>
      </c>
      <c r="BY227" s="150">
        <v>20</v>
      </c>
      <c r="BZ227" s="150" t="s">
        <v>184</v>
      </c>
      <c r="CA227" s="151" t="s">
        <v>190</v>
      </c>
      <c r="CC227" s="152" t="s">
        <v>191</v>
      </c>
    </row>
    <row r="228" spans="1:81" ht="37.5">
      <c r="A228" s="1403"/>
      <c r="B228" s="129"/>
      <c r="C228" s="130"/>
      <c r="D228" s="122" t="s">
        <v>192</v>
      </c>
      <c r="F228" s="332">
        <v>31860</v>
      </c>
      <c r="G228" s="333"/>
      <c r="H228" s="105" t="s">
        <v>182</v>
      </c>
      <c r="I228" s="334">
        <v>300</v>
      </c>
      <c r="J228" s="335"/>
      <c r="K228" s="336" t="s">
        <v>661</v>
      </c>
      <c r="M228" s="1354"/>
      <c r="N228" s="106"/>
      <c r="O228" s="106"/>
      <c r="P228" s="131"/>
      <c r="R228" s="1354"/>
      <c r="S228" s="106"/>
      <c r="T228" s="106"/>
      <c r="U228" s="131"/>
      <c r="V228" s="105" t="s">
        <v>182</v>
      </c>
      <c r="W228" s="334">
        <v>7070</v>
      </c>
      <c r="X228" s="133">
        <v>70</v>
      </c>
      <c r="Y228" s="122" t="s">
        <v>183</v>
      </c>
      <c r="Z228" s="105" t="s">
        <v>182</v>
      </c>
      <c r="AA228" s="345">
        <v>49520</v>
      </c>
      <c r="AB228" s="134" t="s">
        <v>182</v>
      </c>
      <c r="AC228" s="134">
        <v>490</v>
      </c>
      <c r="AD228" s="135" t="s">
        <v>184</v>
      </c>
      <c r="AE228" s="105" t="s">
        <v>182</v>
      </c>
      <c r="AF228" s="345">
        <v>42450</v>
      </c>
      <c r="AG228" s="134" t="s">
        <v>182</v>
      </c>
      <c r="AH228" s="134">
        <v>420</v>
      </c>
      <c r="AI228" s="135" t="s">
        <v>184</v>
      </c>
      <c r="AK228" s="1357"/>
      <c r="AL228" s="110"/>
      <c r="AM228" s="110"/>
      <c r="AN228" s="108"/>
      <c r="AP228" s="348">
        <v>3530</v>
      </c>
      <c r="AQ228" s="106"/>
      <c r="AR228" s="106"/>
      <c r="AS228" s="131"/>
      <c r="AU228" s="1354"/>
      <c r="AV228" s="106"/>
      <c r="AW228" s="106"/>
      <c r="AX228" s="131"/>
      <c r="AZ228" s="353" t="s">
        <v>766</v>
      </c>
      <c r="BA228" s="1355"/>
      <c r="BB228" s="136" t="s">
        <v>767</v>
      </c>
      <c r="BC228" s="1355"/>
      <c r="BD228" s="353" t="s">
        <v>766</v>
      </c>
      <c r="BE228" s="1355"/>
      <c r="BF228" s="353" t="s">
        <v>663</v>
      </c>
      <c r="BH228" s="140">
        <v>4250</v>
      </c>
      <c r="BJ228" s="130" t="s">
        <v>785</v>
      </c>
      <c r="BL228" s="132"/>
      <c r="BM228" s="153"/>
      <c r="BN228" s="153"/>
      <c r="BO228" s="154"/>
      <c r="BQ228" s="132"/>
      <c r="BR228" s="153"/>
      <c r="BS228" s="153"/>
      <c r="BT228" s="153"/>
      <c r="BU228" s="154"/>
      <c r="BW228" s="109"/>
      <c r="BX228" s="146"/>
      <c r="BY228" s="146"/>
      <c r="BZ228" s="146"/>
      <c r="CA228" s="147"/>
      <c r="CC228" s="152">
        <v>0.92</v>
      </c>
    </row>
    <row r="229" spans="1:81" ht="75">
      <c r="A229" s="1403"/>
      <c r="B229" s="120" t="s">
        <v>210</v>
      </c>
      <c r="C229" s="121" t="s">
        <v>180</v>
      </c>
      <c r="D229" s="122" t="s">
        <v>181</v>
      </c>
      <c r="F229" s="327">
        <v>24080</v>
      </c>
      <c r="G229" s="328">
        <v>31150</v>
      </c>
      <c r="H229" s="105" t="s">
        <v>182</v>
      </c>
      <c r="I229" s="329">
        <v>220</v>
      </c>
      <c r="J229" s="330">
        <v>290</v>
      </c>
      <c r="K229" s="331" t="s">
        <v>661</v>
      </c>
      <c r="L229" s="105" t="s">
        <v>182</v>
      </c>
      <c r="M229" s="1353">
        <v>720</v>
      </c>
      <c r="N229" s="123" t="s">
        <v>182</v>
      </c>
      <c r="O229" s="123">
        <v>7</v>
      </c>
      <c r="P229" s="124" t="s">
        <v>184</v>
      </c>
      <c r="Q229" s="105" t="s">
        <v>182</v>
      </c>
      <c r="R229" s="1353">
        <v>3140</v>
      </c>
      <c r="S229" s="123" t="s">
        <v>182</v>
      </c>
      <c r="T229" s="123">
        <v>30</v>
      </c>
      <c r="U229" s="124" t="s">
        <v>184</v>
      </c>
      <c r="V229" s="105" t="s">
        <v>182</v>
      </c>
      <c r="W229" s="342">
        <v>7070</v>
      </c>
      <c r="X229" s="126">
        <v>70</v>
      </c>
      <c r="Y229" s="122" t="s">
        <v>183</v>
      </c>
      <c r="AA229" s="344"/>
      <c r="AF229" s="344" t="s">
        <v>185</v>
      </c>
      <c r="AJ229" s="105" t="s">
        <v>182</v>
      </c>
      <c r="AK229" s="1356">
        <v>640</v>
      </c>
      <c r="AL229" s="106" t="s">
        <v>182</v>
      </c>
      <c r="AM229" s="106">
        <v>6</v>
      </c>
      <c r="AN229" s="131" t="s">
        <v>184</v>
      </c>
      <c r="AP229" s="349" t="s">
        <v>211</v>
      </c>
      <c r="AQ229" s="106" t="s">
        <v>182</v>
      </c>
      <c r="AR229" s="106">
        <v>30</v>
      </c>
      <c r="AS229" s="131" t="s">
        <v>187</v>
      </c>
      <c r="AT229" s="105" t="s">
        <v>182</v>
      </c>
      <c r="AU229" s="1353">
        <v>570</v>
      </c>
      <c r="AV229" s="123" t="s">
        <v>182</v>
      </c>
      <c r="AW229" s="123">
        <v>5</v>
      </c>
      <c r="AX229" s="124" t="s">
        <v>184</v>
      </c>
      <c r="AY229" s="105" t="s">
        <v>182</v>
      </c>
      <c r="AZ229" s="352">
        <v>370</v>
      </c>
      <c r="BA229" s="1355" t="s">
        <v>664</v>
      </c>
      <c r="BB229" s="127">
        <v>3</v>
      </c>
      <c r="BC229" s="1355" t="s">
        <v>664</v>
      </c>
      <c r="BD229" s="352">
        <v>60</v>
      </c>
      <c r="BE229" s="1355" t="s">
        <v>664</v>
      </c>
      <c r="BF229" s="352">
        <v>1</v>
      </c>
      <c r="BH229" s="139" t="s">
        <v>777</v>
      </c>
      <c r="BI229" s="2" t="s">
        <v>182</v>
      </c>
      <c r="BJ229" s="121">
        <v>235</v>
      </c>
      <c r="BK229" s="105" t="s">
        <v>188</v>
      </c>
      <c r="BL229" s="125">
        <v>830</v>
      </c>
      <c r="BM229" s="150" t="s">
        <v>189</v>
      </c>
      <c r="BN229" s="150">
        <v>8</v>
      </c>
      <c r="BO229" s="151" t="s">
        <v>184</v>
      </c>
      <c r="BP229" s="105" t="s">
        <v>188</v>
      </c>
      <c r="BQ229" s="125">
        <v>3140</v>
      </c>
      <c r="BR229" s="150" t="s">
        <v>189</v>
      </c>
      <c r="BS229" s="150">
        <v>30</v>
      </c>
      <c r="BT229" s="150" t="s">
        <v>184</v>
      </c>
      <c r="BU229" s="151" t="s">
        <v>190</v>
      </c>
      <c r="BV229" s="105" t="s">
        <v>188</v>
      </c>
      <c r="BW229" s="132">
        <v>2250</v>
      </c>
      <c r="BX229" s="153" t="s">
        <v>189</v>
      </c>
      <c r="BY229" s="153">
        <v>20</v>
      </c>
      <c r="BZ229" s="153" t="s">
        <v>184</v>
      </c>
      <c r="CA229" s="154" t="s">
        <v>190</v>
      </c>
      <c r="CC229" s="152" t="s">
        <v>191</v>
      </c>
    </row>
    <row r="230" spans="1:81" ht="37.5">
      <c r="A230" s="1403"/>
      <c r="B230" s="103"/>
      <c r="C230" s="104"/>
      <c r="D230" s="122" t="s">
        <v>192</v>
      </c>
      <c r="F230" s="332">
        <v>31150</v>
      </c>
      <c r="G230" s="333"/>
      <c r="H230" s="105" t="s">
        <v>182</v>
      </c>
      <c r="I230" s="334">
        <v>290</v>
      </c>
      <c r="J230" s="335"/>
      <c r="K230" s="336" t="s">
        <v>661</v>
      </c>
      <c r="M230" s="1354"/>
      <c r="N230" s="310"/>
      <c r="O230" s="310"/>
      <c r="P230" s="311"/>
      <c r="R230" s="1354"/>
      <c r="S230" s="310"/>
      <c r="T230" s="310"/>
      <c r="U230" s="311"/>
      <c r="V230" s="105" t="s">
        <v>182</v>
      </c>
      <c r="W230" s="334">
        <v>7070</v>
      </c>
      <c r="X230" s="133">
        <v>70</v>
      </c>
      <c r="Y230" s="122" t="s">
        <v>183</v>
      </c>
      <c r="Z230" s="105" t="s">
        <v>182</v>
      </c>
      <c r="AA230" s="345">
        <v>49520</v>
      </c>
      <c r="AB230" s="134" t="s">
        <v>182</v>
      </c>
      <c r="AC230" s="134">
        <v>490</v>
      </c>
      <c r="AD230" s="135" t="s">
        <v>184</v>
      </c>
      <c r="AE230" s="105" t="s">
        <v>182</v>
      </c>
      <c r="AF230" s="345">
        <v>42450</v>
      </c>
      <c r="AG230" s="134" t="s">
        <v>182</v>
      </c>
      <c r="AH230" s="134">
        <v>420</v>
      </c>
      <c r="AI230" s="135" t="s">
        <v>184</v>
      </c>
      <c r="AK230" s="1357"/>
      <c r="AL230" s="106"/>
      <c r="AM230" s="106"/>
      <c r="AN230" s="131"/>
      <c r="AP230" s="348">
        <v>3140</v>
      </c>
      <c r="AQ230" s="106"/>
      <c r="AR230" s="106"/>
      <c r="AS230" s="131"/>
      <c r="AU230" s="1354"/>
      <c r="AV230" s="110"/>
      <c r="AW230" s="110"/>
      <c r="AX230" s="108"/>
      <c r="AZ230" s="353" t="s">
        <v>766</v>
      </c>
      <c r="BA230" s="1355"/>
      <c r="BB230" s="136" t="s">
        <v>767</v>
      </c>
      <c r="BC230" s="1355"/>
      <c r="BD230" s="353" t="s">
        <v>766</v>
      </c>
      <c r="BE230" s="1355"/>
      <c r="BF230" s="353" t="s">
        <v>663</v>
      </c>
      <c r="BH230" s="140">
        <v>3920</v>
      </c>
      <c r="BJ230" s="104" t="s">
        <v>785</v>
      </c>
      <c r="BL230" s="109"/>
      <c r="BM230" s="146"/>
      <c r="BN230" s="146"/>
      <c r="BO230" s="147"/>
      <c r="BQ230" s="109"/>
      <c r="BR230" s="146"/>
      <c r="BS230" s="146"/>
      <c r="BT230" s="146"/>
      <c r="BU230" s="147"/>
      <c r="BW230" s="132"/>
      <c r="BX230" s="153"/>
      <c r="BY230" s="153"/>
      <c r="BZ230" s="153"/>
      <c r="CA230" s="154"/>
      <c r="CC230" s="152">
        <v>0.96</v>
      </c>
    </row>
    <row r="231" spans="1:81" ht="75">
      <c r="A231" s="1403"/>
      <c r="B231" s="129" t="s">
        <v>212</v>
      </c>
      <c r="C231" s="130" t="s">
        <v>180</v>
      </c>
      <c r="D231" s="122" t="s">
        <v>181</v>
      </c>
      <c r="F231" s="327">
        <v>23540</v>
      </c>
      <c r="G231" s="328">
        <v>30610</v>
      </c>
      <c r="H231" s="105" t="s">
        <v>182</v>
      </c>
      <c r="I231" s="329">
        <v>210</v>
      </c>
      <c r="J231" s="330">
        <v>280</v>
      </c>
      <c r="K231" s="331" t="s">
        <v>661</v>
      </c>
      <c r="L231" s="105" t="s">
        <v>182</v>
      </c>
      <c r="M231" s="1353">
        <v>650</v>
      </c>
      <c r="N231" s="106" t="s">
        <v>182</v>
      </c>
      <c r="O231" s="106">
        <v>6</v>
      </c>
      <c r="P231" s="131" t="s">
        <v>184</v>
      </c>
      <c r="Q231" s="105" t="s">
        <v>182</v>
      </c>
      <c r="R231" s="1353">
        <v>2820</v>
      </c>
      <c r="S231" s="106" t="s">
        <v>182</v>
      </c>
      <c r="T231" s="106">
        <v>20</v>
      </c>
      <c r="U231" s="131" t="s">
        <v>184</v>
      </c>
      <c r="V231" s="105" t="s">
        <v>182</v>
      </c>
      <c r="W231" s="342">
        <v>7070</v>
      </c>
      <c r="X231" s="126">
        <v>70</v>
      </c>
      <c r="Y231" s="122" t="s">
        <v>183</v>
      </c>
      <c r="AA231" s="344"/>
      <c r="AF231" s="344" t="s">
        <v>185</v>
      </c>
      <c r="AJ231" s="105" t="s">
        <v>182</v>
      </c>
      <c r="AK231" s="1356">
        <v>570</v>
      </c>
      <c r="AL231" s="123" t="s">
        <v>182</v>
      </c>
      <c r="AM231" s="123">
        <v>5</v>
      </c>
      <c r="AN231" s="124" t="s">
        <v>184</v>
      </c>
      <c r="AP231" s="349" t="s">
        <v>213</v>
      </c>
      <c r="AQ231" s="106" t="s">
        <v>182</v>
      </c>
      <c r="AR231" s="106">
        <v>20</v>
      </c>
      <c r="AS231" s="131" t="s">
        <v>187</v>
      </c>
      <c r="AT231" s="105" t="s">
        <v>182</v>
      </c>
      <c r="AU231" s="1353">
        <v>520</v>
      </c>
      <c r="AV231" s="106" t="s">
        <v>182</v>
      </c>
      <c r="AW231" s="106">
        <v>5</v>
      </c>
      <c r="AX231" s="131" t="s">
        <v>184</v>
      </c>
      <c r="AY231" s="105" t="s">
        <v>182</v>
      </c>
      <c r="AZ231" s="352">
        <v>350</v>
      </c>
      <c r="BA231" s="1355" t="s">
        <v>664</v>
      </c>
      <c r="BB231" s="127">
        <v>3</v>
      </c>
      <c r="BC231" s="1355" t="s">
        <v>664</v>
      </c>
      <c r="BD231" s="352">
        <v>60</v>
      </c>
      <c r="BE231" s="1355" t="s">
        <v>664</v>
      </c>
      <c r="BF231" s="352">
        <v>1</v>
      </c>
      <c r="BH231" s="139" t="s">
        <v>778</v>
      </c>
      <c r="BI231" s="2" t="s">
        <v>182</v>
      </c>
      <c r="BJ231" s="130">
        <v>235</v>
      </c>
      <c r="BK231" s="105" t="s">
        <v>188</v>
      </c>
      <c r="BL231" s="132">
        <v>750</v>
      </c>
      <c r="BM231" s="153" t="s">
        <v>189</v>
      </c>
      <c r="BN231" s="153">
        <v>8</v>
      </c>
      <c r="BO231" s="154" t="s">
        <v>184</v>
      </c>
      <c r="BP231" s="105" t="s">
        <v>188</v>
      </c>
      <c r="BQ231" s="132">
        <v>2830</v>
      </c>
      <c r="BR231" s="153" t="s">
        <v>189</v>
      </c>
      <c r="BS231" s="153">
        <v>20</v>
      </c>
      <c r="BT231" s="153" t="s">
        <v>184</v>
      </c>
      <c r="BU231" s="154" t="s">
        <v>190</v>
      </c>
      <c r="BV231" s="105" t="s">
        <v>188</v>
      </c>
      <c r="BW231" s="125">
        <v>2030</v>
      </c>
      <c r="BX231" s="150" t="s">
        <v>189</v>
      </c>
      <c r="BY231" s="150">
        <v>20</v>
      </c>
      <c r="BZ231" s="150" t="s">
        <v>184</v>
      </c>
      <c r="CA231" s="151" t="s">
        <v>190</v>
      </c>
      <c r="CC231" s="152" t="s">
        <v>191</v>
      </c>
    </row>
    <row r="232" spans="1:81" ht="37.5">
      <c r="A232" s="1403"/>
      <c r="B232" s="129"/>
      <c r="C232" s="130"/>
      <c r="D232" s="122" t="s">
        <v>192</v>
      </c>
      <c r="F232" s="332">
        <v>30610</v>
      </c>
      <c r="G232" s="333"/>
      <c r="H232" s="105" t="s">
        <v>182</v>
      </c>
      <c r="I232" s="334">
        <v>280</v>
      </c>
      <c r="J232" s="335"/>
      <c r="K232" s="336" t="s">
        <v>661</v>
      </c>
      <c r="M232" s="1354"/>
      <c r="N232" s="106"/>
      <c r="O232" s="106"/>
      <c r="P232" s="131"/>
      <c r="R232" s="1354"/>
      <c r="S232" s="106"/>
      <c r="T232" s="106"/>
      <c r="U232" s="131"/>
      <c r="V232" s="105" t="s">
        <v>182</v>
      </c>
      <c r="W232" s="334">
        <v>7070</v>
      </c>
      <c r="X232" s="133">
        <v>70</v>
      </c>
      <c r="Y232" s="122" t="s">
        <v>183</v>
      </c>
      <c r="Z232" s="105" t="s">
        <v>182</v>
      </c>
      <c r="AA232" s="345">
        <v>49520</v>
      </c>
      <c r="AB232" s="134" t="s">
        <v>182</v>
      </c>
      <c r="AC232" s="134">
        <v>490</v>
      </c>
      <c r="AD232" s="135" t="s">
        <v>184</v>
      </c>
      <c r="AE232" s="105" t="s">
        <v>182</v>
      </c>
      <c r="AF232" s="345">
        <v>42450</v>
      </c>
      <c r="AG232" s="134" t="s">
        <v>182</v>
      </c>
      <c r="AH232" s="134">
        <v>420</v>
      </c>
      <c r="AI232" s="135" t="s">
        <v>184</v>
      </c>
      <c r="AK232" s="1357"/>
      <c r="AL232" s="110"/>
      <c r="AM232" s="110"/>
      <c r="AN232" s="108"/>
      <c r="AP232" s="348">
        <v>2820</v>
      </c>
      <c r="AQ232" s="106"/>
      <c r="AR232" s="106"/>
      <c r="AS232" s="131"/>
      <c r="AU232" s="1354"/>
      <c r="AV232" s="106"/>
      <c r="AW232" s="106"/>
      <c r="AX232" s="131"/>
      <c r="AZ232" s="353" t="s">
        <v>766</v>
      </c>
      <c r="BA232" s="1355"/>
      <c r="BB232" s="136" t="s">
        <v>767</v>
      </c>
      <c r="BC232" s="1355"/>
      <c r="BD232" s="353" t="s">
        <v>766</v>
      </c>
      <c r="BE232" s="1355"/>
      <c r="BF232" s="353" t="s">
        <v>663</v>
      </c>
      <c r="BH232" s="140">
        <v>3660</v>
      </c>
      <c r="BJ232" s="130" t="s">
        <v>785</v>
      </c>
      <c r="BL232" s="132"/>
      <c r="BM232" s="153"/>
      <c r="BN232" s="153"/>
      <c r="BO232" s="154"/>
      <c r="BQ232" s="132"/>
      <c r="BR232" s="153"/>
      <c r="BS232" s="153"/>
      <c r="BT232" s="153"/>
      <c r="BU232" s="154"/>
      <c r="BW232" s="109"/>
      <c r="BX232" s="146"/>
      <c r="BY232" s="146"/>
      <c r="BZ232" s="146"/>
      <c r="CA232" s="147"/>
      <c r="CC232" s="152">
        <v>0.99</v>
      </c>
    </row>
    <row r="233" spans="1:81" ht="75">
      <c r="A233" s="1403"/>
      <c r="B233" s="120" t="s">
        <v>214</v>
      </c>
      <c r="C233" s="121" t="s">
        <v>180</v>
      </c>
      <c r="D233" s="122" t="s">
        <v>181</v>
      </c>
      <c r="F233" s="327">
        <v>22700</v>
      </c>
      <c r="G233" s="328">
        <v>29770</v>
      </c>
      <c r="H233" s="105" t="s">
        <v>182</v>
      </c>
      <c r="I233" s="329">
        <v>200</v>
      </c>
      <c r="J233" s="330">
        <v>280</v>
      </c>
      <c r="K233" s="331" t="s">
        <v>661</v>
      </c>
      <c r="L233" s="105" t="s">
        <v>182</v>
      </c>
      <c r="M233" s="1353">
        <v>540</v>
      </c>
      <c r="N233" s="123" t="s">
        <v>182</v>
      </c>
      <c r="O233" s="123">
        <v>5</v>
      </c>
      <c r="P233" s="124" t="s">
        <v>184</v>
      </c>
      <c r="Q233" s="105" t="s">
        <v>182</v>
      </c>
      <c r="R233" s="1353">
        <v>2350</v>
      </c>
      <c r="S233" s="123" t="s">
        <v>182</v>
      </c>
      <c r="T233" s="123">
        <v>20</v>
      </c>
      <c r="U233" s="124" t="s">
        <v>184</v>
      </c>
      <c r="V233" s="105" t="s">
        <v>182</v>
      </c>
      <c r="W233" s="342">
        <v>7070</v>
      </c>
      <c r="X233" s="126">
        <v>70</v>
      </c>
      <c r="Y233" s="122" t="s">
        <v>183</v>
      </c>
      <c r="AA233" s="344"/>
      <c r="AF233" s="344" t="s">
        <v>185</v>
      </c>
      <c r="AJ233" s="105" t="s">
        <v>182</v>
      </c>
      <c r="AK233" s="1356">
        <v>480</v>
      </c>
      <c r="AL233" s="106" t="s">
        <v>182</v>
      </c>
      <c r="AM233" s="106">
        <v>4</v>
      </c>
      <c r="AN233" s="131" t="s">
        <v>184</v>
      </c>
      <c r="AP233" s="349" t="s">
        <v>215</v>
      </c>
      <c r="AQ233" s="106" t="s">
        <v>182</v>
      </c>
      <c r="AR233" s="106">
        <v>20</v>
      </c>
      <c r="AS233" s="131" t="s">
        <v>187</v>
      </c>
      <c r="AT233" s="105" t="s">
        <v>182</v>
      </c>
      <c r="AU233" s="1353">
        <v>500</v>
      </c>
      <c r="AV233" s="123" t="s">
        <v>182</v>
      </c>
      <c r="AW233" s="123">
        <v>5</v>
      </c>
      <c r="AX233" s="124" t="s">
        <v>184</v>
      </c>
      <c r="AY233" s="105" t="s">
        <v>182</v>
      </c>
      <c r="AZ233" s="352">
        <v>300</v>
      </c>
      <c r="BA233" s="1355" t="s">
        <v>664</v>
      </c>
      <c r="BB233" s="127">
        <v>3</v>
      </c>
      <c r="BC233" s="1355" t="s">
        <v>664</v>
      </c>
      <c r="BD233" s="352">
        <v>50</v>
      </c>
      <c r="BE233" s="1355" t="s">
        <v>664</v>
      </c>
      <c r="BF233" s="352">
        <v>1</v>
      </c>
      <c r="BH233" s="139" t="s">
        <v>779</v>
      </c>
      <c r="BI233" s="2" t="s">
        <v>182</v>
      </c>
      <c r="BJ233" s="121">
        <v>235</v>
      </c>
      <c r="BK233" s="105" t="s">
        <v>188</v>
      </c>
      <c r="BL233" s="125">
        <v>620</v>
      </c>
      <c r="BM233" s="150" t="s">
        <v>189</v>
      </c>
      <c r="BN233" s="150">
        <v>6</v>
      </c>
      <c r="BO233" s="151" t="s">
        <v>184</v>
      </c>
      <c r="BP233" s="105" t="s">
        <v>188</v>
      </c>
      <c r="BQ233" s="125">
        <v>2350</v>
      </c>
      <c r="BR233" s="150" t="s">
        <v>189</v>
      </c>
      <c r="BS233" s="150">
        <v>20</v>
      </c>
      <c r="BT233" s="150" t="s">
        <v>184</v>
      </c>
      <c r="BU233" s="151" t="s">
        <v>190</v>
      </c>
      <c r="BV233" s="105" t="s">
        <v>188</v>
      </c>
      <c r="BW233" s="132">
        <v>1690</v>
      </c>
      <c r="BX233" s="153" t="s">
        <v>189</v>
      </c>
      <c r="BY233" s="153">
        <v>10</v>
      </c>
      <c r="BZ233" s="153" t="s">
        <v>184</v>
      </c>
      <c r="CA233" s="154" t="s">
        <v>190</v>
      </c>
      <c r="CC233" s="152" t="s">
        <v>191</v>
      </c>
    </row>
    <row r="234" spans="1:81" ht="37.5">
      <c r="A234" s="1403"/>
      <c r="B234" s="103"/>
      <c r="C234" s="104"/>
      <c r="D234" s="122" t="s">
        <v>192</v>
      </c>
      <c r="F234" s="332">
        <v>29770</v>
      </c>
      <c r="G234" s="333"/>
      <c r="H234" s="105" t="s">
        <v>182</v>
      </c>
      <c r="I234" s="334">
        <v>280</v>
      </c>
      <c r="J234" s="335"/>
      <c r="K234" s="336" t="s">
        <v>661</v>
      </c>
      <c r="M234" s="1354"/>
      <c r="N234" s="310"/>
      <c r="O234" s="310"/>
      <c r="P234" s="311"/>
      <c r="R234" s="1354"/>
      <c r="S234" s="310"/>
      <c r="T234" s="310"/>
      <c r="U234" s="311"/>
      <c r="V234" s="105" t="s">
        <v>182</v>
      </c>
      <c r="W234" s="334">
        <v>7070</v>
      </c>
      <c r="X234" s="133">
        <v>70</v>
      </c>
      <c r="Y234" s="122" t="s">
        <v>183</v>
      </c>
      <c r="Z234" s="105" t="s">
        <v>182</v>
      </c>
      <c r="AA234" s="345">
        <v>49520</v>
      </c>
      <c r="AB234" s="134" t="s">
        <v>182</v>
      </c>
      <c r="AC234" s="134">
        <v>490</v>
      </c>
      <c r="AD234" s="135" t="s">
        <v>184</v>
      </c>
      <c r="AE234" s="105" t="s">
        <v>182</v>
      </c>
      <c r="AF234" s="345">
        <v>42450</v>
      </c>
      <c r="AG234" s="134" t="s">
        <v>182</v>
      </c>
      <c r="AH234" s="134">
        <v>420</v>
      </c>
      <c r="AI234" s="135" t="s">
        <v>184</v>
      </c>
      <c r="AK234" s="1357"/>
      <c r="AL234" s="106"/>
      <c r="AM234" s="106"/>
      <c r="AN234" s="131"/>
      <c r="AP234" s="348">
        <v>2350</v>
      </c>
      <c r="AQ234" s="106"/>
      <c r="AR234" s="106"/>
      <c r="AS234" s="131"/>
      <c r="AU234" s="1354"/>
      <c r="AV234" s="110"/>
      <c r="AW234" s="110"/>
      <c r="AX234" s="108"/>
      <c r="AZ234" s="353" t="s">
        <v>766</v>
      </c>
      <c r="BA234" s="1355"/>
      <c r="BB234" s="136" t="s">
        <v>767</v>
      </c>
      <c r="BC234" s="1355"/>
      <c r="BD234" s="353" t="s">
        <v>766</v>
      </c>
      <c r="BE234" s="1355"/>
      <c r="BF234" s="353" t="s">
        <v>663</v>
      </c>
      <c r="BH234" s="140">
        <v>3160</v>
      </c>
      <c r="BJ234" s="104" t="s">
        <v>785</v>
      </c>
      <c r="BL234" s="109"/>
      <c r="BM234" s="146"/>
      <c r="BN234" s="146"/>
      <c r="BO234" s="147"/>
      <c r="BQ234" s="109"/>
      <c r="BR234" s="146"/>
      <c r="BS234" s="146"/>
      <c r="BT234" s="146"/>
      <c r="BU234" s="147"/>
      <c r="BW234" s="132"/>
      <c r="BX234" s="153"/>
      <c r="BY234" s="153"/>
      <c r="BZ234" s="153"/>
      <c r="CA234" s="154"/>
      <c r="CC234" s="152">
        <v>0.92</v>
      </c>
    </row>
    <row r="235" spans="1:81" ht="75">
      <c r="A235" s="1403"/>
      <c r="B235" s="129" t="s">
        <v>216</v>
      </c>
      <c r="C235" s="130" t="s">
        <v>180</v>
      </c>
      <c r="D235" s="122" t="s">
        <v>181</v>
      </c>
      <c r="F235" s="327">
        <v>22090</v>
      </c>
      <c r="G235" s="328">
        <v>29160</v>
      </c>
      <c r="H235" s="105" t="s">
        <v>182</v>
      </c>
      <c r="I235" s="329">
        <v>200</v>
      </c>
      <c r="J235" s="330">
        <v>270</v>
      </c>
      <c r="K235" s="331" t="s">
        <v>661</v>
      </c>
      <c r="L235" s="105" t="s">
        <v>182</v>
      </c>
      <c r="M235" s="1353">
        <v>460</v>
      </c>
      <c r="N235" s="106" t="s">
        <v>182</v>
      </c>
      <c r="O235" s="106">
        <v>4</v>
      </c>
      <c r="P235" s="131" t="s">
        <v>184</v>
      </c>
      <c r="Q235" s="105" t="s">
        <v>182</v>
      </c>
      <c r="R235" s="1353">
        <v>2020</v>
      </c>
      <c r="S235" s="106" t="s">
        <v>182</v>
      </c>
      <c r="T235" s="106">
        <v>20</v>
      </c>
      <c r="U235" s="131" t="s">
        <v>184</v>
      </c>
      <c r="V235" s="105" t="s">
        <v>182</v>
      </c>
      <c r="W235" s="342">
        <v>7070</v>
      </c>
      <c r="X235" s="126">
        <v>70</v>
      </c>
      <c r="Y235" s="122" t="s">
        <v>183</v>
      </c>
      <c r="AA235" s="344"/>
      <c r="AF235" s="344" t="s">
        <v>185</v>
      </c>
      <c r="AJ235" s="105" t="s">
        <v>182</v>
      </c>
      <c r="AK235" s="1356">
        <v>410</v>
      </c>
      <c r="AL235" s="123" t="s">
        <v>182</v>
      </c>
      <c r="AM235" s="123">
        <v>4</v>
      </c>
      <c r="AN235" s="124" t="s">
        <v>184</v>
      </c>
      <c r="AP235" s="349" t="s">
        <v>217</v>
      </c>
      <c r="AQ235" s="106" t="s">
        <v>182</v>
      </c>
      <c r="AR235" s="106">
        <v>20</v>
      </c>
      <c r="AS235" s="131" t="s">
        <v>187</v>
      </c>
      <c r="AT235" s="105" t="s">
        <v>182</v>
      </c>
      <c r="AU235" s="1353">
        <v>500</v>
      </c>
      <c r="AV235" s="106" t="s">
        <v>182</v>
      </c>
      <c r="AW235" s="106">
        <v>5</v>
      </c>
      <c r="AX235" s="131" t="s">
        <v>184</v>
      </c>
      <c r="AY235" s="105" t="s">
        <v>182</v>
      </c>
      <c r="AZ235" s="352">
        <v>270</v>
      </c>
      <c r="BA235" s="1355" t="s">
        <v>664</v>
      </c>
      <c r="BB235" s="127">
        <v>2</v>
      </c>
      <c r="BC235" s="1355" t="s">
        <v>664</v>
      </c>
      <c r="BD235" s="352">
        <v>40</v>
      </c>
      <c r="BE235" s="1355" t="s">
        <v>664</v>
      </c>
      <c r="BF235" s="352">
        <v>1</v>
      </c>
      <c r="BH235" s="139" t="s">
        <v>780</v>
      </c>
      <c r="BI235" s="2" t="s">
        <v>182</v>
      </c>
      <c r="BJ235" s="130">
        <v>235</v>
      </c>
      <c r="BK235" s="105" t="s">
        <v>188</v>
      </c>
      <c r="BL235" s="132">
        <v>530</v>
      </c>
      <c r="BM235" s="153" t="s">
        <v>189</v>
      </c>
      <c r="BN235" s="153">
        <v>5</v>
      </c>
      <c r="BO235" s="154" t="s">
        <v>184</v>
      </c>
      <c r="BP235" s="105" t="s">
        <v>188</v>
      </c>
      <c r="BQ235" s="132">
        <v>2020</v>
      </c>
      <c r="BR235" s="153" t="s">
        <v>189</v>
      </c>
      <c r="BS235" s="153">
        <v>20</v>
      </c>
      <c r="BT235" s="153" t="s">
        <v>184</v>
      </c>
      <c r="BU235" s="154" t="s">
        <v>190</v>
      </c>
      <c r="BV235" s="105" t="s">
        <v>188</v>
      </c>
      <c r="BW235" s="125">
        <v>1450</v>
      </c>
      <c r="BX235" s="150" t="s">
        <v>189</v>
      </c>
      <c r="BY235" s="150">
        <v>10</v>
      </c>
      <c r="BZ235" s="150" t="s">
        <v>184</v>
      </c>
      <c r="CA235" s="151" t="s">
        <v>190</v>
      </c>
      <c r="CC235" s="152" t="s">
        <v>191</v>
      </c>
    </row>
    <row r="236" spans="1:81" ht="37.5">
      <c r="A236" s="1403"/>
      <c r="B236" s="129"/>
      <c r="C236" s="130"/>
      <c r="D236" s="122" t="s">
        <v>192</v>
      </c>
      <c r="F236" s="332">
        <v>29160</v>
      </c>
      <c r="G236" s="333"/>
      <c r="H236" s="105" t="s">
        <v>182</v>
      </c>
      <c r="I236" s="334">
        <v>270</v>
      </c>
      <c r="J236" s="335"/>
      <c r="K236" s="336" t="s">
        <v>661</v>
      </c>
      <c r="M236" s="1354"/>
      <c r="N236" s="106"/>
      <c r="O236" s="106"/>
      <c r="P236" s="131"/>
      <c r="R236" s="1354"/>
      <c r="S236" s="106"/>
      <c r="T236" s="106"/>
      <c r="U236" s="131"/>
      <c r="V236" s="105" t="s">
        <v>182</v>
      </c>
      <c r="W236" s="334">
        <v>7070</v>
      </c>
      <c r="X236" s="133">
        <v>70</v>
      </c>
      <c r="Y236" s="122" t="s">
        <v>183</v>
      </c>
      <c r="Z236" s="105" t="s">
        <v>182</v>
      </c>
      <c r="AA236" s="345">
        <v>49520</v>
      </c>
      <c r="AB236" s="134" t="s">
        <v>182</v>
      </c>
      <c r="AC236" s="134">
        <v>490</v>
      </c>
      <c r="AD236" s="135" t="s">
        <v>184</v>
      </c>
      <c r="AE236" s="105" t="s">
        <v>182</v>
      </c>
      <c r="AF236" s="345">
        <v>42450</v>
      </c>
      <c r="AG236" s="134" t="s">
        <v>182</v>
      </c>
      <c r="AH236" s="134">
        <v>420</v>
      </c>
      <c r="AI236" s="135" t="s">
        <v>184</v>
      </c>
      <c r="AK236" s="1357"/>
      <c r="AL236" s="110"/>
      <c r="AM236" s="110"/>
      <c r="AN236" s="108"/>
      <c r="AP236" s="348">
        <v>2020</v>
      </c>
      <c r="AQ236" s="106"/>
      <c r="AR236" s="106"/>
      <c r="AS236" s="131"/>
      <c r="AU236" s="1354"/>
      <c r="AV236" s="106"/>
      <c r="AW236" s="106"/>
      <c r="AX236" s="131"/>
      <c r="AZ236" s="353" t="s">
        <v>766</v>
      </c>
      <c r="BA236" s="1355"/>
      <c r="BB236" s="136" t="s">
        <v>767</v>
      </c>
      <c r="BC236" s="1355"/>
      <c r="BD236" s="353" t="s">
        <v>766</v>
      </c>
      <c r="BE236" s="1355"/>
      <c r="BF236" s="353" t="s">
        <v>663</v>
      </c>
      <c r="BH236" s="140">
        <v>2810</v>
      </c>
      <c r="BJ236" s="130" t="s">
        <v>785</v>
      </c>
      <c r="BL236" s="132"/>
      <c r="BM236" s="153"/>
      <c r="BN236" s="153"/>
      <c r="BO236" s="154"/>
      <c r="BQ236" s="132"/>
      <c r="BR236" s="153"/>
      <c r="BS236" s="153"/>
      <c r="BT236" s="153"/>
      <c r="BU236" s="154"/>
      <c r="BW236" s="109"/>
      <c r="BX236" s="146"/>
      <c r="BY236" s="146"/>
      <c r="BZ236" s="146"/>
      <c r="CA236" s="147"/>
      <c r="CC236" s="152">
        <v>0.96</v>
      </c>
    </row>
    <row r="237" spans="1:81" ht="75">
      <c r="A237" s="1403"/>
      <c r="B237" s="120" t="s">
        <v>218</v>
      </c>
      <c r="C237" s="121" t="s">
        <v>180</v>
      </c>
      <c r="D237" s="122" t="s">
        <v>181</v>
      </c>
      <c r="F237" s="327">
        <v>21640</v>
      </c>
      <c r="G237" s="328">
        <v>28710</v>
      </c>
      <c r="H237" s="105" t="s">
        <v>182</v>
      </c>
      <c r="I237" s="329">
        <v>190</v>
      </c>
      <c r="J237" s="330">
        <v>260</v>
      </c>
      <c r="K237" s="331" t="s">
        <v>661</v>
      </c>
      <c r="L237" s="105" t="s">
        <v>182</v>
      </c>
      <c r="M237" s="1353">
        <v>400</v>
      </c>
      <c r="N237" s="123" t="s">
        <v>182</v>
      </c>
      <c r="O237" s="123">
        <v>4</v>
      </c>
      <c r="P237" s="124" t="s">
        <v>184</v>
      </c>
      <c r="Q237" s="105" t="s">
        <v>182</v>
      </c>
      <c r="R237" s="1353">
        <v>1760</v>
      </c>
      <c r="S237" s="123" t="s">
        <v>182</v>
      </c>
      <c r="T237" s="123">
        <v>10</v>
      </c>
      <c r="U237" s="124" t="s">
        <v>184</v>
      </c>
      <c r="V237" s="105" t="s">
        <v>182</v>
      </c>
      <c r="W237" s="342">
        <v>7070</v>
      </c>
      <c r="X237" s="126">
        <v>70</v>
      </c>
      <c r="Y237" s="122" t="s">
        <v>183</v>
      </c>
      <c r="AA237" s="344"/>
      <c r="AF237" s="344" t="s">
        <v>185</v>
      </c>
      <c r="AJ237" s="105" t="s">
        <v>182</v>
      </c>
      <c r="AK237" s="1356">
        <v>360</v>
      </c>
      <c r="AL237" s="106" t="s">
        <v>182</v>
      </c>
      <c r="AM237" s="106">
        <v>3</v>
      </c>
      <c r="AN237" s="131" t="s">
        <v>184</v>
      </c>
      <c r="AP237" s="349" t="s">
        <v>219</v>
      </c>
      <c r="AQ237" s="106" t="s">
        <v>182</v>
      </c>
      <c r="AR237" s="106">
        <v>10</v>
      </c>
      <c r="AS237" s="131" t="s">
        <v>187</v>
      </c>
      <c r="AT237" s="105" t="s">
        <v>182</v>
      </c>
      <c r="AU237" s="1353">
        <v>500</v>
      </c>
      <c r="AV237" s="123" t="s">
        <v>182</v>
      </c>
      <c r="AW237" s="123">
        <v>5</v>
      </c>
      <c r="AX237" s="124" t="s">
        <v>184</v>
      </c>
      <c r="AY237" s="105" t="s">
        <v>182</v>
      </c>
      <c r="AZ237" s="352">
        <v>250</v>
      </c>
      <c r="BA237" s="1355" t="s">
        <v>664</v>
      </c>
      <c r="BB237" s="127">
        <v>2</v>
      </c>
      <c r="BC237" s="1355" t="s">
        <v>664</v>
      </c>
      <c r="BD237" s="352">
        <v>40</v>
      </c>
      <c r="BE237" s="1355" t="s">
        <v>664</v>
      </c>
      <c r="BF237" s="352">
        <v>1</v>
      </c>
      <c r="BH237" s="139" t="s">
        <v>781</v>
      </c>
      <c r="BI237" s="2" t="s">
        <v>182</v>
      </c>
      <c r="BJ237" s="121">
        <v>235</v>
      </c>
      <c r="BK237" s="105" t="s">
        <v>188</v>
      </c>
      <c r="BL237" s="125">
        <v>460</v>
      </c>
      <c r="BM237" s="150" t="s">
        <v>189</v>
      </c>
      <c r="BN237" s="150">
        <v>5</v>
      </c>
      <c r="BO237" s="151" t="s">
        <v>184</v>
      </c>
      <c r="BP237" s="105" t="s">
        <v>188</v>
      </c>
      <c r="BQ237" s="125">
        <v>1760</v>
      </c>
      <c r="BR237" s="150" t="s">
        <v>189</v>
      </c>
      <c r="BS237" s="150">
        <v>10</v>
      </c>
      <c r="BT237" s="150" t="s">
        <v>184</v>
      </c>
      <c r="BU237" s="151" t="s">
        <v>190</v>
      </c>
      <c r="BV237" s="105" t="s">
        <v>188</v>
      </c>
      <c r="BW237" s="132">
        <v>1270</v>
      </c>
      <c r="BX237" s="153" t="s">
        <v>189</v>
      </c>
      <c r="BY237" s="153">
        <v>10</v>
      </c>
      <c r="BZ237" s="153" t="s">
        <v>184</v>
      </c>
      <c r="CA237" s="154" t="s">
        <v>190</v>
      </c>
      <c r="CC237" s="152" t="s">
        <v>191</v>
      </c>
    </row>
    <row r="238" spans="1:81" ht="37.5">
      <c r="A238" s="1403"/>
      <c r="B238" s="103"/>
      <c r="C238" s="104"/>
      <c r="D238" s="122" t="s">
        <v>192</v>
      </c>
      <c r="F238" s="332">
        <v>28710</v>
      </c>
      <c r="G238" s="333"/>
      <c r="H238" s="105" t="s">
        <v>182</v>
      </c>
      <c r="I238" s="334">
        <v>260</v>
      </c>
      <c r="J238" s="335"/>
      <c r="K238" s="336" t="s">
        <v>661</v>
      </c>
      <c r="M238" s="1354"/>
      <c r="N238" s="310"/>
      <c r="O238" s="310"/>
      <c r="P238" s="311"/>
      <c r="R238" s="1354"/>
      <c r="S238" s="310"/>
      <c r="T238" s="310"/>
      <c r="U238" s="311"/>
      <c r="V238" s="105" t="s">
        <v>182</v>
      </c>
      <c r="W238" s="334">
        <v>7070</v>
      </c>
      <c r="X238" s="133">
        <v>70</v>
      </c>
      <c r="Y238" s="122" t="s">
        <v>183</v>
      </c>
      <c r="Z238" s="105" t="s">
        <v>182</v>
      </c>
      <c r="AA238" s="345">
        <v>49520</v>
      </c>
      <c r="AB238" s="134" t="s">
        <v>182</v>
      </c>
      <c r="AC238" s="134">
        <v>490</v>
      </c>
      <c r="AD238" s="135" t="s">
        <v>184</v>
      </c>
      <c r="AE238" s="105" t="s">
        <v>182</v>
      </c>
      <c r="AF238" s="345">
        <v>42450</v>
      </c>
      <c r="AG238" s="134" t="s">
        <v>182</v>
      </c>
      <c r="AH238" s="134">
        <v>420</v>
      </c>
      <c r="AI238" s="135" t="s">
        <v>184</v>
      </c>
      <c r="AK238" s="1357"/>
      <c r="AL238" s="106"/>
      <c r="AM238" s="106"/>
      <c r="AN238" s="131"/>
      <c r="AP238" s="348">
        <v>1760</v>
      </c>
      <c r="AQ238" s="106"/>
      <c r="AR238" s="106"/>
      <c r="AS238" s="131"/>
      <c r="AU238" s="1354"/>
      <c r="AV238" s="110"/>
      <c r="AW238" s="110"/>
      <c r="AX238" s="108"/>
      <c r="AZ238" s="353" t="s">
        <v>766</v>
      </c>
      <c r="BA238" s="1355"/>
      <c r="BB238" s="136" t="s">
        <v>767</v>
      </c>
      <c r="BC238" s="1355"/>
      <c r="BD238" s="353" t="s">
        <v>766</v>
      </c>
      <c r="BE238" s="1355"/>
      <c r="BF238" s="353" t="s">
        <v>663</v>
      </c>
      <c r="BH238" s="140">
        <v>2540</v>
      </c>
      <c r="BJ238" s="104" t="s">
        <v>785</v>
      </c>
      <c r="BL238" s="109"/>
      <c r="BM238" s="146"/>
      <c r="BN238" s="146"/>
      <c r="BO238" s="147"/>
      <c r="BQ238" s="109"/>
      <c r="BR238" s="146"/>
      <c r="BS238" s="146"/>
      <c r="BT238" s="146"/>
      <c r="BU238" s="147"/>
      <c r="BW238" s="132"/>
      <c r="BX238" s="153"/>
      <c r="BY238" s="153"/>
      <c r="BZ238" s="153"/>
      <c r="CA238" s="154"/>
      <c r="CC238" s="152">
        <v>0.99</v>
      </c>
    </row>
    <row r="239" spans="1:81" ht="75">
      <c r="A239" s="1403"/>
      <c r="B239" s="129" t="s">
        <v>220</v>
      </c>
      <c r="C239" s="130" t="s">
        <v>180</v>
      </c>
      <c r="D239" s="122" t="s">
        <v>181</v>
      </c>
      <c r="F239" s="327">
        <v>21290</v>
      </c>
      <c r="G239" s="328">
        <v>28360</v>
      </c>
      <c r="H239" s="105" t="s">
        <v>182</v>
      </c>
      <c r="I239" s="329">
        <v>190</v>
      </c>
      <c r="J239" s="330">
        <v>260</v>
      </c>
      <c r="K239" s="331" t="s">
        <v>661</v>
      </c>
      <c r="L239" s="105" t="s">
        <v>182</v>
      </c>
      <c r="M239" s="1353">
        <v>360</v>
      </c>
      <c r="N239" s="106" t="s">
        <v>182</v>
      </c>
      <c r="O239" s="106">
        <v>3</v>
      </c>
      <c r="P239" s="131" t="s">
        <v>184</v>
      </c>
      <c r="Q239" s="105" t="s">
        <v>182</v>
      </c>
      <c r="R239" s="1353">
        <v>1570</v>
      </c>
      <c r="S239" s="106" t="s">
        <v>182</v>
      </c>
      <c r="T239" s="106">
        <v>10</v>
      </c>
      <c r="U239" s="131" t="s">
        <v>184</v>
      </c>
      <c r="V239" s="105" t="s">
        <v>182</v>
      </c>
      <c r="W239" s="342">
        <v>7070</v>
      </c>
      <c r="X239" s="126">
        <v>70</v>
      </c>
      <c r="Y239" s="122" t="s">
        <v>183</v>
      </c>
      <c r="AA239" s="344"/>
      <c r="AF239" s="344" t="s">
        <v>185</v>
      </c>
      <c r="AJ239" s="105" t="s">
        <v>182</v>
      </c>
      <c r="AK239" s="1356">
        <v>320</v>
      </c>
      <c r="AL239" s="123" t="s">
        <v>182</v>
      </c>
      <c r="AM239" s="123">
        <v>3</v>
      </c>
      <c r="AN239" s="124" t="s">
        <v>184</v>
      </c>
      <c r="AP239" s="349" t="s">
        <v>221</v>
      </c>
      <c r="AQ239" s="106" t="s">
        <v>182</v>
      </c>
      <c r="AR239" s="106">
        <v>10</v>
      </c>
      <c r="AS239" s="131" t="s">
        <v>187</v>
      </c>
      <c r="AT239" s="105" t="s">
        <v>182</v>
      </c>
      <c r="AU239" s="1353">
        <v>500</v>
      </c>
      <c r="AV239" s="106" t="s">
        <v>182</v>
      </c>
      <c r="AW239" s="106">
        <v>5</v>
      </c>
      <c r="AX239" s="131" t="s">
        <v>184</v>
      </c>
      <c r="AY239" s="105" t="s">
        <v>182</v>
      </c>
      <c r="AZ239" s="352">
        <v>220</v>
      </c>
      <c r="BA239" s="1355" t="s">
        <v>664</v>
      </c>
      <c r="BB239" s="127">
        <v>2</v>
      </c>
      <c r="BC239" s="1355" t="s">
        <v>664</v>
      </c>
      <c r="BD239" s="352">
        <v>40</v>
      </c>
      <c r="BE239" s="1355" t="s">
        <v>664</v>
      </c>
      <c r="BF239" s="352">
        <v>1</v>
      </c>
      <c r="BH239" s="139" t="s">
        <v>782</v>
      </c>
      <c r="BI239" s="2" t="s">
        <v>182</v>
      </c>
      <c r="BJ239" s="130">
        <v>235</v>
      </c>
      <c r="BK239" s="105" t="s">
        <v>188</v>
      </c>
      <c r="BL239" s="132">
        <v>410</v>
      </c>
      <c r="BM239" s="153" t="s">
        <v>189</v>
      </c>
      <c r="BN239" s="153">
        <v>4</v>
      </c>
      <c r="BO239" s="154" t="s">
        <v>184</v>
      </c>
      <c r="BP239" s="105" t="s">
        <v>188</v>
      </c>
      <c r="BQ239" s="132">
        <v>1570</v>
      </c>
      <c r="BR239" s="153" t="s">
        <v>189</v>
      </c>
      <c r="BS239" s="153">
        <v>10</v>
      </c>
      <c r="BT239" s="153" t="s">
        <v>184</v>
      </c>
      <c r="BU239" s="154" t="s">
        <v>190</v>
      </c>
      <c r="BV239" s="105" t="s">
        <v>188</v>
      </c>
      <c r="BW239" s="125">
        <v>1120</v>
      </c>
      <c r="BX239" s="150" t="s">
        <v>189</v>
      </c>
      <c r="BY239" s="150">
        <v>10</v>
      </c>
      <c r="BZ239" s="150" t="s">
        <v>184</v>
      </c>
      <c r="CA239" s="151" t="s">
        <v>190</v>
      </c>
      <c r="CC239" s="152" t="s">
        <v>191</v>
      </c>
    </row>
    <row r="240" spans="1:81" ht="37.5">
      <c r="A240" s="1403"/>
      <c r="B240" s="129"/>
      <c r="C240" s="130"/>
      <c r="D240" s="122" t="s">
        <v>192</v>
      </c>
      <c r="F240" s="332">
        <v>28360</v>
      </c>
      <c r="G240" s="333"/>
      <c r="H240" s="105" t="s">
        <v>182</v>
      </c>
      <c r="I240" s="334">
        <v>260</v>
      </c>
      <c r="J240" s="335"/>
      <c r="K240" s="336" t="s">
        <v>661</v>
      </c>
      <c r="M240" s="1354"/>
      <c r="N240" s="106"/>
      <c r="O240" s="106"/>
      <c r="P240" s="131"/>
      <c r="R240" s="1354"/>
      <c r="S240" s="106"/>
      <c r="T240" s="106"/>
      <c r="U240" s="131"/>
      <c r="V240" s="105" t="s">
        <v>182</v>
      </c>
      <c r="W240" s="334">
        <v>7070</v>
      </c>
      <c r="X240" s="133">
        <v>70</v>
      </c>
      <c r="Y240" s="122" t="s">
        <v>183</v>
      </c>
      <c r="Z240" s="105" t="s">
        <v>182</v>
      </c>
      <c r="AA240" s="345">
        <v>49520</v>
      </c>
      <c r="AB240" s="134" t="s">
        <v>182</v>
      </c>
      <c r="AC240" s="134">
        <v>490</v>
      </c>
      <c r="AD240" s="135" t="s">
        <v>184</v>
      </c>
      <c r="AE240" s="105" t="s">
        <v>182</v>
      </c>
      <c r="AF240" s="345">
        <v>42450</v>
      </c>
      <c r="AG240" s="134" t="s">
        <v>182</v>
      </c>
      <c r="AH240" s="134">
        <v>420</v>
      </c>
      <c r="AI240" s="135" t="s">
        <v>184</v>
      </c>
      <c r="AK240" s="1357"/>
      <c r="AL240" s="110"/>
      <c r="AM240" s="110"/>
      <c r="AN240" s="108"/>
      <c r="AP240" s="348">
        <v>1570</v>
      </c>
      <c r="AQ240" s="106"/>
      <c r="AR240" s="106"/>
      <c r="AS240" s="131"/>
      <c r="AU240" s="1354"/>
      <c r="AV240" s="106"/>
      <c r="AW240" s="106"/>
      <c r="AX240" s="131"/>
      <c r="AZ240" s="353" t="s">
        <v>766</v>
      </c>
      <c r="BA240" s="1355"/>
      <c r="BB240" s="136" t="s">
        <v>767</v>
      </c>
      <c r="BC240" s="1355"/>
      <c r="BD240" s="353" t="s">
        <v>766</v>
      </c>
      <c r="BE240" s="1355"/>
      <c r="BF240" s="353" t="s">
        <v>663</v>
      </c>
      <c r="BH240" s="140">
        <v>2440</v>
      </c>
      <c r="BJ240" s="130" t="s">
        <v>785</v>
      </c>
      <c r="BL240" s="132"/>
      <c r="BM240" s="153"/>
      <c r="BN240" s="153"/>
      <c r="BO240" s="154"/>
      <c r="BQ240" s="132"/>
      <c r="BR240" s="153"/>
      <c r="BS240" s="153"/>
      <c r="BT240" s="153"/>
      <c r="BU240" s="154"/>
      <c r="BW240" s="109"/>
      <c r="BX240" s="146"/>
      <c r="BY240" s="146"/>
      <c r="BZ240" s="146"/>
      <c r="CA240" s="147"/>
      <c r="CC240" s="152">
        <v>0.99</v>
      </c>
    </row>
    <row r="241" spans="1:81" ht="75">
      <c r="A241" s="1403"/>
      <c r="B241" s="120" t="s">
        <v>222</v>
      </c>
      <c r="C241" s="121" t="s">
        <v>180</v>
      </c>
      <c r="D241" s="122" t="s">
        <v>181</v>
      </c>
      <c r="F241" s="327">
        <v>21010</v>
      </c>
      <c r="G241" s="328">
        <v>28080</v>
      </c>
      <c r="H241" s="105" t="s">
        <v>182</v>
      </c>
      <c r="I241" s="329">
        <v>190</v>
      </c>
      <c r="J241" s="330">
        <v>260</v>
      </c>
      <c r="K241" s="331" t="s">
        <v>661</v>
      </c>
      <c r="L241" s="105" t="s">
        <v>182</v>
      </c>
      <c r="M241" s="1353">
        <v>320</v>
      </c>
      <c r="N241" s="123" t="s">
        <v>182</v>
      </c>
      <c r="O241" s="123">
        <v>3</v>
      </c>
      <c r="P241" s="124" t="s">
        <v>184</v>
      </c>
      <c r="Q241" s="105" t="s">
        <v>182</v>
      </c>
      <c r="R241" s="1353">
        <v>1410</v>
      </c>
      <c r="S241" s="123" t="s">
        <v>182</v>
      </c>
      <c r="T241" s="123">
        <v>10</v>
      </c>
      <c r="U241" s="124" t="s">
        <v>184</v>
      </c>
      <c r="V241" s="105" t="s">
        <v>182</v>
      </c>
      <c r="W241" s="342">
        <v>7070</v>
      </c>
      <c r="X241" s="126">
        <v>70</v>
      </c>
      <c r="Y241" s="122" t="s">
        <v>183</v>
      </c>
      <c r="AA241" s="344"/>
      <c r="AF241" s="344" t="s">
        <v>185</v>
      </c>
      <c r="AJ241" s="105" t="s">
        <v>182</v>
      </c>
      <c r="AK241" s="1356">
        <v>280</v>
      </c>
      <c r="AL241" s="106" t="s">
        <v>182</v>
      </c>
      <c r="AM241" s="106">
        <v>2</v>
      </c>
      <c r="AN241" s="131" t="s">
        <v>184</v>
      </c>
      <c r="AP241" s="349" t="s">
        <v>223</v>
      </c>
      <c r="AQ241" s="106" t="s">
        <v>182</v>
      </c>
      <c r="AR241" s="106">
        <v>10</v>
      </c>
      <c r="AS241" s="131" t="s">
        <v>187</v>
      </c>
      <c r="AT241" s="105" t="s">
        <v>182</v>
      </c>
      <c r="AU241" s="1353">
        <v>500</v>
      </c>
      <c r="AV241" s="123" t="s">
        <v>182</v>
      </c>
      <c r="AW241" s="123">
        <v>5</v>
      </c>
      <c r="AX241" s="124" t="s">
        <v>184</v>
      </c>
      <c r="AY241" s="105" t="s">
        <v>182</v>
      </c>
      <c r="AZ241" s="352">
        <v>200</v>
      </c>
      <c r="BA241" s="1355" t="s">
        <v>664</v>
      </c>
      <c r="BB241" s="127">
        <v>2</v>
      </c>
      <c r="BC241" s="1355" t="s">
        <v>664</v>
      </c>
      <c r="BD241" s="352">
        <v>30</v>
      </c>
      <c r="BE241" s="1355" t="s">
        <v>664</v>
      </c>
      <c r="BF241" s="352">
        <v>1</v>
      </c>
      <c r="BH241" s="139" t="s">
        <v>783</v>
      </c>
      <c r="BI241" s="2" t="s">
        <v>182</v>
      </c>
      <c r="BJ241" s="121">
        <v>235</v>
      </c>
      <c r="BK241" s="105" t="s">
        <v>188</v>
      </c>
      <c r="BL241" s="125">
        <v>370</v>
      </c>
      <c r="BM241" s="150" t="s">
        <v>189</v>
      </c>
      <c r="BN241" s="150">
        <v>4</v>
      </c>
      <c r="BO241" s="151" t="s">
        <v>184</v>
      </c>
      <c r="BP241" s="105" t="s">
        <v>188</v>
      </c>
      <c r="BQ241" s="125">
        <v>1410</v>
      </c>
      <c r="BR241" s="150" t="s">
        <v>189</v>
      </c>
      <c r="BS241" s="150">
        <v>10</v>
      </c>
      <c r="BT241" s="150" t="s">
        <v>184</v>
      </c>
      <c r="BU241" s="151" t="s">
        <v>190</v>
      </c>
      <c r="BV241" s="105" t="s">
        <v>188</v>
      </c>
      <c r="BW241" s="132">
        <v>1010</v>
      </c>
      <c r="BX241" s="153" t="s">
        <v>189</v>
      </c>
      <c r="BY241" s="153">
        <v>10</v>
      </c>
      <c r="BZ241" s="153" t="s">
        <v>184</v>
      </c>
      <c r="CA241" s="154" t="s">
        <v>190</v>
      </c>
      <c r="CC241" s="152" t="s">
        <v>191</v>
      </c>
    </row>
    <row r="242" spans="1:81" ht="37.5">
      <c r="A242" s="1403"/>
      <c r="B242" s="103"/>
      <c r="C242" s="104"/>
      <c r="D242" s="122" t="s">
        <v>192</v>
      </c>
      <c r="F242" s="332">
        <v>28080</v>
      </c>
      <c r="G242" s="333"/>
      <c r="H242" s="105" t="s">
        <v>182</v>
      </c>
      <c r="I242" s="334">
        <v>260</v>
      </c>
      <c r="J242" s="335"/>
      <c r="K242" s="336" t="s">
        <v>661</v>
      </c>
      <c r="M242" s="1354"/>
      <c r="N242" s="310"/>
      <c r="O242" s="310"/>
      <c r="P242" s="311"/>
      <c r="R242" s="1354"/>
      <c r="S242" s="310"/>
      <c r="T242" s="310"/>
      <c r="U242" s="311"/>
      <c r="V242" s="105" t="s">
        <v>182</v>
      </c>
      <c r="W242" s="334">
        <v>7070</v>
      </c>
      <c r="X242" s="133">
        <v>70</v>
      </c>
      <c r="Y242" s="122" t="s">
        <v>183</v>
      </c>
      <c r="Z242" s="105" t="s">
        <v>182</v>
      </c>
      <c r="AA242" s="345">
        <v>49520</v>
      </c>
      <c r="AB242" s="134" t="s">
        <v>182</v>
      </c>
      <c r="AC242" s="134">
        <v>490</v>
      </c>
      <c r="AD242" s="135" t="s">
        <v>184</v>
      </c>
      <c r="AE242" s="105" t="s">
        <v>182</v>
      </c>
      <c r="AF242" s="345">
        <v>42450</v>
      </c>
      <c r="AG242" s="134" t="s">
        <v>182</v>
      </c>
      <c r="AH242" s="134">
        <v>420</v>
      </c>
      <c r="AI242" s="135" t="s">
        <v>184</v>
      </c>
      <c r="AK242" s="1357"/>
      <c r="AL242" s="106"/>
      <c r="AM242" s="106"/>
      <c r="AN242" s="131"/>
      <c r="AP242" s="348">
        <v>1410</v>
      </c>
      <c r="AQ242" s="106"/>
      <c r="AR242" s="106"/>
      <c r="AS242" s="131"/>
      <c r="AU242" s="1354"/>
      <c r="AV242" s="110"/>
      <c r="AW242" s="110"/>
      <c r="AX242" s="108"/>
      <c r="AZ242" s="353" t="s">
        <v>766</v>
      </c>
      <c r="BA242" s="1355"/>
      <c r="BB242" s="136" t="s">
        <v>767</v>
      </c>
      <c r="BC242" s="1355"/>
      <c r="BD242" s="353" t="s">
        <v>766</v>
      </c>
      <c r="BE242" s="1355"/>
      <c r="BF242" s="353" t="s">
        <v>663</v>
      </c>
      <c r="BH242" s="140">
        <v>2360</v>
      </c>
      <c r="BJ242" s="104" t="s">
        <v>785</v>
      </c>
      <c r="BL242" s="109"/>
      <c r="BM242" s="146"/>
      <c r="BN242" s="146"/>
      <c r="BO242" s="147"/>
      <c r="BQ242" s="109"/>
      <c r="BR242" s="146"/>
      <c r="BS242" s="146"/>
      <c r="BT242" s="146"/>
      <c r="BU242" s="147"/>
      <c r="BW242" s="132"/>
      <c r="BX242" s="153"/>
      <c r="BY242" s="153"/>
      <c r="BZ242" s="153"/>
      <c r="CA242" s="154"/>
      <c r="CC242" s="152">
        <v>0.99</v>
      </c>
    </row>
    <row r="243" spans="1:81" ht="37.5">
      <c r="A243" s="1403"/>
      <c r="B243" s="120" t="s">
        <v>224</v>
      </c>
      <c r="C243" s="121" t="s">
        <v>180</v>
      </c>
      <c r="D243" s="122" t="s">
        <v>181</v>
      </c>
      <c r="F243" s="327">
        <v>20790</v>
      </c>
      <c r="G243" s="328">
        <v>27860</v>
      </c>
      <c r="H243" s="105" t="s">
        <v>182</v>
      </c>
      <c r="I243" s="329">
        <v>190</v>
      </c>
      <c r="J243" s="330">
        <v>260</v>
      </c>
      <c r="K243" s="331" t="s">
        <v>661</v>
      </c>
      <c r="L243" s="105" t="s">
        <v>182</v>
      </c>
      <c r="M243" s="1353">
        <v>290</v>
      </c>
      <c r="N243" s="106" t="s">
        <v>182</v>
      </c>
      <c r="O243" s="106">
        <v>2</v>
      </c>
      <c r="P243" s="131" t="s">
        <v>184</v>
      </c>
      <c r="R243" s="1358"/>
      <c r="S243" s="106"/>
      <c r="T243" s="106"/>
      <c r="U243" s="131"/>
      <c r="V243" s="105" t="s">
        <v>182</v>
      </c>
      <c r="W243" s="342">
        <v>7070</v>
      </c>
      <c r="X243" s="126">
        <v>70</v>
      </c>
      <c r="Y243" s="122" t="s">
        <v>183</v>
      </c>
      <c r="AA243" s="344"/>
      <c r="AF243" s="344" t="s">
        <v>185</v>
      </c>
      <c r="AJ243" s="105" t="s">
        <v>182</v>
      </c>
      <c r="AK243" s="1356">
        <v>260</v>
      </c>
      <c r="AL243" s="123" t="s">
        <v>182</v>
      </c>
      <c r="AM243" s="123">
        <v>2</v>
      </c>
      <c r="AN243" s="124" t="s">
        <v>184</v>
      </c>
      <c r="AP243" s="349" t="s">
        <v>225</v>
      </c>
      <c r="AQ243" s="106" t="s">
        <v>182</v>
      </c>
      <c r="AR243" s="106">
        <v>10</v>
      </c>
      <c r="AS243" s="131" t="s">
        <v>187</v>
      </c>
      <c r="AT243" s="105" t="s">
        <v>182</v>
      </c>
      <c r="AU243" s="1353">
        <v>500</v>
      </c>
      <c r="AV243" s="106" t="s">
        <v>182</v>
      </c>
      <c r="AW243" s="106">
        <v>5</v>
      </c>
      <c r="AX243" s="131" t="s">
        <v>184</v>
      </c>
      <c r="AY243" s="105" t="s">
        <v>182</v>
      </c>
      <c r="AZ243" s="352">
        <v>180</v>
      </c>
      <c r="BA243" s="1355" t="s">
        <v>664</v>
      </c>
      <c r="BB243" s="127">
        <v>1</v>
      </c>
      <c r="BC243" s="1355" t="s">
        <v>664</v>
      </c>
      <c r="BD243" s="352">
        <v>30</v>
      </c>
      <c r="BE243" s="1355" t="s">
        <v>664</v>
      </c>
      <c r="BF243" s="352">
        <v>1</v>
      </c>
      <c r="BH243" s="139" t="s">
        <v>784</v>
      </c>
      <c r="BI243" s="2" t="s">
        <v>182</v>
      </c>
      <c r="BJ243" s="130">
        <v>235</v>
      </c>
      <c r="BK243" s="105" t="s">
        <v>188</v>
      </c>
      <c r="BL243" s="132">
        <v>340</v>
      </c>
      <c r="BM243" s="153" t="s">
        <v>189</v>
      </c>
      <c r="BN243" s="153">
        <v>3</v>
      </c>
      <c r="BO243" s="154" t="s">
        <v>184</v>
      </c>
      <c r="BP243" s="105" t="s">
        <v>188</v>
      </c>
      <c r="BQ243" s="132">
        <v>1280</v>
      </c>
      <c r="BR243" s="153" t="s">
        <v>189</v>
      </c>
      <c r="BS243" s="153">
        <v>10</v>
      </c>
      <c r="BT243" s="153" t="s">
        <v>184</v>
      </c>
      <c r="BU243" s="154" t="s">
        <v>190</v>
      </c>
      <c r="BV243" s="105" t="s">
        <v>188</v>
      </c>
      <c r="BW243" s="125">
        <v>920</v>
      </c>
      <c r="BX243" s="150" t="s">
        <v>189</v>
      </c>
      <c r="BY243" s="150">
        <v>9</v>
      </c>
      <c r="BZ243" s="150" t="s">
        <v>184</v>
      </c>
      <c r="CA243" s="151" t="s">
        <v>190</v>
      </c>
      <c r="CC243" s="152" t="s">
        <v>191</v>
      </c>
    </row>
    <row r="244" spans="1:81" ht="37.5">
      <c r="A244" s="1403"/>
      <c r="B244" s="103"/>
      <c r="C244" s="104"/>
      <c r="D244" s="122" t="s">
        <v>192</v>
      </c>
      <c r="F244" s="332">
        <v>27860</v>
      </c>
      <c r="G244" s="333"/>
      <c r="H244" s="105" t="s">
        <v>182</v>
      </c>
      <c r="I244" s="334">
        <v>260</v>
      </c>
      <c r="J244" s="335"/>
      <c r="K244" s="336" t="s">
        <v>661</v>
      </c>
      <c r="M244" s="1354"/>
      <c r="N244" s="106"/>
      <c r="O244" s="106"/>
      <c r="P244" s="131"/>
      <c r="R244" s="1358"/>
      <c r="S244" s="106"/>
      <c r="T244" s="106"/>
      <c r="U244" s="131"/>
      <c r="V244" s="105" t="s">
        <v>182</v>
      </c>
      <c r="W244" s="334">
        <v>7070</v>
      </c>
      <c r="X244" s="133">
        <v>70</v>
      </c>
      <c r="Y244" s="122" t="s">
        <v>183</v>
      </c>
      <c r="Z244" s="105" t="s">
        <v>182</v>
      </c>
      <c r="AA244" s="345">
        <v>49520</v>
      </c>
      <c r="AB244" s="134" t="s">
        <v>182</v>
      </c>
      <c r="AC244" s="134">
        <v>490</v>
      </c>
      <c r="AD244" s="135" t="s">
        <v>184</v>
      </c>
      <c r="AE244" s="105" t="s">
        <v>182</v>
      </c>
      <c r="AF244" s="345">
        <v>42450</v>
      </c>
      <c r="AG244" s="134" t="s">
        <v>182</v>
      </c>
      <c r="AH244" s="134">
        <v>420</v>
      </c>
      <c r="AI244" s="135" t="s">
        <v>184</v>
      </c>
      <c r="AK244" s="1357"/>
      <c r="AL244" s="110"/>
      <c r="AM244" s="110"/>
      <c r="AN244" s="108"/>
      <c r="AP244" s="348">
        <v>1280</v>
      </c>
      <c r="AQ244" s="110"/>
      <c r="AR244" s="110"/>
      <c r="AS244" s="108"/>
      <c r="AU244" s="1354"/>
      <c r="AV244" s="106"/>
      <c r="AW244" s="106"/>
      <c r="AX244" s="131"/>
      <c r="AZ244" s="353" t="s">
        <v>766</v>
      </c>
      <c r="BA244" s="1355"/>
      <c r="BB244" s="136" t="s">
        <v>767</v>
      </c>
      <c r="BC244" s="1355"/>
      <c r="BD244" s="353" t="s">
        <v>766</v>
      </c>
      <c r="BE244" s="1355"/>
      <c r="BF244" s="353" t="s">
        <v>663</v>
      </c>
      <c r="BH244" s="141">
        <v>2150</v>
      </c>
      <c r="BJ244" s="130" t="s">
        <v>785</v>
      </c>
      <c r="BL244" s="132"/>
      <c r="BM244" s="153"/>
      <c r="BN244" s="153"/>
      <c r="BO244" s="154"/>
      <c r="BQ244" s="132"/>
      <c r="BR244" s="153"/>
      <c r="BS244" s="153"/>
      <c r="BT244" s="153"/>
      <c r="BU244" s="154"/>
      <c r="BW244" s="109"/>
      <c r="BX244" s="146"/>
      <c r="BY244" s="146"/>
      <c r="BZ244" s="146"/>
      <c r="CA244" s="147"/>
      <c r="CC244" s="152">
        <v>0.99</v>
      </c>
    </row>
    <row r="245" spans="1:81" ht="37.5">
      <c r="A245" s="1403" t="s">
        <v>232</v>
      </c>
      <c r="B245" s="129" t="s">
        <v>179</v>
      </c>
      <c r="C245" s="130" t="s">
        <v>180</v>
      </c>
      <c r="D245" s="122" t="s">
        <v>181</v>
      </c>
      <c r="F245" s="327">
        <v>76380</v>
      </c>
      <c r="G245" s="328">
        <v>83260</v>
      </c>
      <c r="H245" s="105" t="s">
        <v>182</v>
      </c>
      <c r="I245" s="329">
        <v>740</v>
      </c>
      <c r="J245" s="330">
        <v>810</v>
      </c>
      <c r="K245" s="331" t="s">
        <v>661</v>
      </c>
      <c r="L245" s="105" t="s">
        <v>182</v>
      </c>
      <c r="M245" s="1353">
        <v>6290</v>
      </c>
      <c r="N245" s="123" t="s">
        <v>182</v>
      </c>
      <c r="O245" s="123">
        <v>60</v>
      </c>
      <c r="P245" s="124" t="s">
        <v>184</v>
      </c>
      <c r="Q245" s="105" t="s">
        <v>182</v>
      </c>
      <c r="R245" s="1353">
        <v>27550</v>
      </c>
      <c r="S245" s="123" t="s">
        <v>182</v>
      </c>
      <c r="T245" s="123">
        <v>270</v>
      </c>
      <c r="U245" s="124" t="s">
        <v>184</v>
      </c>
      <c r="V245" s="105" t="s">
        <v>182</v>
      </c>
      <c r="W245" s="342">
        <v>6880</v>
      </c>
      <c r="X245" s="126">
        <v>60</v>
      </c>
      <c r="Y245" s="122" t="s">
        <v>183</v>
      </c>
      <c r="AA245" s="344"/>
      <c r="AF245" s="344" t="s">
        <v>185</v>
      </c>
      <c r="AJ245" s="105" t="s">
        <v>182</v>
      </c>
      <c r="AK245" s="1356">
        <v>5780</v>
      </c>
      <c r="AL245" s="106" t="s">
        <v>182</v>
      </c>
      <c r="AM245" s="106">
        <v>50</v>
      </c>
      <c r="AN245" s="131" t="s">
        <v>184</v>
      </c>
      <c r="AO245" s="105" t="s">
        <v>182</v>
      </c>
      <c r="AP245" s="347" t="s">
        <v>186</v>
      </c>
      <c r="AQ245" s="123" t="s">
        <v>182</v>
      </c>
      <c r="AR245" s="123">
        <v>270</v>
      </c>
      <c r="AS245" s="124" t="s">
        <v>187</v>
      </c>
      <c r="AT245" s="105" t="s">
        <v>182</v>
      </c>
      <c r="AU245" s="1353">
        <v>3640</v>
      </c>
      <c r="AV245" s="123" t="s">
        <v>182</v>
      </c>
      <c r="AW245" s="123">
        <v>30</v>
      </c>
      <c r="AX245" s="124" t="s">
        <v>184</v>
      </c>
      <c r="AY245" s="105" t="s">
        <v>182</v>
      </c>
      <c r="AZ245" s="352">
        <v>2730</v>
      </c>
      <c r="BA245" s="1355" t="s">
        <v>664</v>
      </c>
      <c r="BB245" s="127">
        <v>20</v>
      </c>
      <c r="BC245" s="1355" t="s">
        <v>664</v>
      </c>
      <c r="BD245" s="352">
        <v>480</v>
      </c>
      <c r="BE245" s="1355" t="s">
        <v>664</v>
      </c>
      <c r="BF245" s="352">
        <v>4</v>
      </c>
      <c r="BG245" s="105" t="s">
        <v>182</v>
      </c>
      <c r="BH245" s="142" t="s">
        <v>768</v>
      </c>
      <c r="BI245" s="2" t="s">
        <v>182</v>
      </c>
      <c r="BJ245" s="121">
        <v>235</v>
      </c>
      <c r="BK245" s="105" t="s">
        <v>188</v>
      </c>
      <c r="BL245" s="125">
        <v>7500</v>
      </c>
      <c r="BM245" s="150" t="s">
        <v>189</v>
      </c>
      <c r="BN245" s="150">
        <v>70</v>
      </c>
      <c r="BO245" s="151" t="s">
        <v>184</v>
      </c>
      <c r="BP245" s="105" t="s">
        <v>188</v>
      </c>
      <c r="BQ245" s="125">
        <v>27550</v>
      </c>
      <c r="BR245" s="150" t="s">
        <v>189</v>
      </c>
      <c r="BS245" s="150">
        <v>270</v>
      </c>
      <c r="BT245" s="150" t="s">
        <v>184</v>
      </c>
      <c r="BU245" s="151" t="s">
        <v>190</v>
      </c>
      <c r="BV245" s="105" t="s">
        <v>188</v>
      </c>
      <c r="BW245" s="132">
        <v>19570</v>
      </c>
      <c r="BX245" s="153" t="s">
        <v>189</v>
      </c>
      <c r="BY245" s="153">
        <v>190</v>
      </c>
      <c r="BZ245" s="153" t="s">
        <v>184</v>
      </c>
      <c r="CA245" s="154" t="s">
        <v>190</v>
      </c>
      <c r="CC245" s="152" t="s">
        <v>191</v>
      </c>
    </row>
    <row r="246" spans="1:81" ht="37.5">
      <c r="A246" s="1403"/>
      <c r="B246" s="129"/>
      <c r="C246" s="130"/>
      <c r="D246" s="122" t="s">
        <v>192</v>
      </c>
      <c r="F246" s="332">
        <v>83260</v>
      </c>
      <c r="G246" s="333"/>
      <c r="H246" s="105" t="s">
        <v>182</v>
      </c>
      <c r="I246" s="334">
        <v>810</v>
      </c>
      <c r="J246" s="335"/>
      <c r="K246" s="336" t="s">
        <v>661</v>
      </c>
      <c r="M246" s="1354"/>
      <c r="N246" s="310"/>
      <c r="O246" s="310"/>
      <c r="P246" s="311"/>
      <c r="R246" s="1354"/>
      <c r="S246" s="310"/>
      <c r="T246" s="310"/>
      <c r="U246" s="311"/>
      <c r="V246" s="105" t="s">
        <v>182</v>
      </c>
      <c r="W246" s="334">
        <v>6880</v>
      </c>
      <c r="X246" s="133">
        <v>60</v>
      </c>
      <c r="Y246" s="122" t="s">
        <v>183</v>
      </c>
      <c r="Z246" s="105" t="s">
        <v>182</v>
      </c>
      <c r="AA246" s="345">
        <v>48220</v>
      </c>
      <c r="AB246" s="134" t="s">
        <v>182</v>
      </c>
      <c r="AC246" s="134">
        <v>480</v>
      </c>
      <c r="AD246" s="135" t="s">
        <v>184</v>
      </c>
      <c r="AE246" s="105" t="s">
        <v>182</v>
      </c>
      <c r="AF246" s="345">
        <v>41340</v>
      </c>
      <c r="AG246" s="134" t="s">
        <v>182</v>
      </c>
      <c r="AH246" s="134">
        <v>410</v>
      </c>
      <c r="AI246" s="135" t="s">
        <v>184</v>
      </c>
      <c r="AK246" s="1357"/>
      <c r="AL246" s="106"/>
      <c r="AM246" s="106"/>
      <c r="AN246" s="131"/>
      <c r="AP246" s="348">
        <v>27550</v>
      </c>
      <c r="AQ246" s="106"/>
      <c r="AR246" s="106"/>
      <c r="AS246" s="131"/>
      <c r="AU246" s="1354"/>
      <c r="AV246" s="110"/>
      <c r="AW246" s="110"/>
      <c r="AX246" s="108"/>
      <c r="AZ246" s="353" t="s">
        <v>766</v>
      </c>
      <c r="BA246" s="1355"/>
      <c r="BB246" s="136" t="s">
        <v>767</v>
      </c>
      <c r="BC246" s="1355"/>
      <c r="BD246" s="353" t="s">
        <v>766</v>
      </c>
      <c r="BE246" s="1355"/>
      <c r="BF246" s="353" t="s">
        <v>663</v>
      </c>
      <c r="BH246" s="140">
        <v>27330</v>
      </c>
      <c r="BJ246" s="104" t="s">
        <v>785</v>
      </c>
      <c r="BL246" s="109"/>
      <c r="BM246" s="146"/>
      <c r="BN246" s="146"/>
      <c r="BO246" s="147"/>
      <c r="BQ246" s="109"/>
      <c r="BR246" s="146"/>
      <c r="BS246" s="146"/>
      <c r="BT246" s="146"/>
      <c r="BU246" s="147"/>
      <c r="BW246" s="132"/>
      <c r="BX246" s="153"/>
      <c r="BY246" s="153"/>
      <c r="BZ246" s="153"/>
      <c r="CA246" s="154"/>
      <c r="CC246" s="152">
        <v>0.63</v>
      </c>
    </row>
    <row r="247" spans="1:81" ht="75">
      <c r="A247" s="1403"/>
      <c r="B247" s="120" t="s">
        <v>193</v>
      </c>
      <c r="C247" s="121" t="s">
        <v>180</v>
      </c>
      <c r="D247" s="122" t="s">
        <v>181</v>
      </c>
      <c r="F247" s="327">
        <v>47560</v>
      </c>
      <c r="G247" s="328">
        <v>54440</v>
      </c>
      <c r="H247" s="105" t="s">
        <v>182</v>
      </c>
      <c r="I247" s="329">
        <v>450</v>
      </c>
      <c r="J247" s="330">
        <v>520</v>
      </c>
      <c r="K247" s="331" t="s">
        <v>661</v>
      </c>
      <c r="L247" s="105" t="s">
        <v>182</v>
      </c>
      <c r="M247" s="1353">
        <v>3770</v>
      </c>
      <c r="N247" s="106" t="s">
        <v>182</v>
      </c>
      <c r="O247" s="106">
        <v>30</v>
      </c>
      <c r="P247" s="131" t="s">
        <v>184</v>
      </c>
      <c r="Q247" s="105" t="s">
        <v>182</v>
      </c>
      <c r="R247" s="1353">
        <v>16530</v>
      </c>
      <c r="S247" s="106" t="s">
        <v>182</v>
      </c>
      <c r="T247" s="106">
        <v>160</v>
      </c>
      <c r="U247" s="131" t="s">
        <v>184</v>
      </c>
      <c r="V247" s="105" t="s">
        <v>182</v>
      </c>
      <c r="W247" s="342">
        <v>6880</v>
      </c>
      <c r="X247" s="126">
        <v>60</v>
      </c>
      <c r="Y247" s="122" t="s">
        <v>183</v>
      </c>
      <c r="AA247" s="344"/>
      <c r="AF247" s="344" t="s">
        <v>185</v>
      </c>
      <c r="AJ247" s="105" t="s">
        <v>182</v>
      </c>
      <c r="AK247" s="1356">
        <v>3470</v>
      </c>
      <c r="AL247" s="123" t="s">
        <v>182</v>
      </c>
      <c r="AM247" s="123">
        <v>30</v>
      </c>
      <c r="AN247" s="124" t="s">
        <v>184</v>
      </c>
      <c r="AP247" s="349" t="s">
        <v>194</v>
      </c>
      <c r="AQ247" s="106" t="s">
        <v>182</v>
      </c>
      <c r="AR247" s="106">
        <v>160</v>
      </c>
      <c r="AS247" s="131" t="s">
        <v>187</v>
      </c>
      <c r="AT247" s="105" t="s">
        <v>182</v>
      </c>
      <c r="AU247" s="1353">
        <v>2490</v>
      </c>
      <c r="AV247" s="106" t="s">
        <v>182</v>
      </c>
      <c r="AW247" s="106">
        <v>20</v>
      </c>
      <c r="AX247" s="131" t="s">
        <v>184</v>
      </c>
      <c r="AY247" s="105" t="s">
        <v>182</v>
      </c>
      <c r="AZ247" s="352">
        <v>1630</v>
      </c>
      <c r="BA247" s="1355" t="s">
        <v>664</v>
      </c>
      <c r="BB247" s="127">
        <v>10</v>
      </c>
      <c r="BC247" s="1355" t="s">
        <v>664</v>
      </c>
      <c r="BD247" s="352">
        <v>290</v>
      </c>
      <c r="BE247" s="1355" t="s">
        <v>664</v>
      </c>
      <c r="BF247" s="352">
        <v>2</v>
      </c>
      <c r="BH247" s="139" t="s">
        <v>769</v>
      </c>
      <c r="BI247" s="2" t="s">
        <v>182</v>
      </c>
      <c r="BJ247" s="130">
        <v>235</v>
      </c>
      <c r="BK247" s="105" t="s">
        <v>188</v>
      </c>
      <c r="BL247" s="132">
        <v>4500</v>
      </c>
      <c r="BM247" s="153" t="s">
        <v>189</v>
      </c>
      <c r="BN247" s="153">
        <v>40</v>
      </c>
      <c r="BO247" s="154" t="s">
        <v>184</v>
      </c>
      <c r="BP247" s="105" t="s">
        <v>188</v>
      </c>
      <c r="BQ247" s="132">
        <v>16530</v>
      </c>
      <c r="BR247" s="153" t="s">
        <v>189</v>
      </c>
      <c r="BS247" s="153">
        <v>160</v>
      </c>
      <c r="BT247" s="153" t="s">
        <v>184</v>
      </c>
      <c r="BU247" s="154" t="s">
        <v>190</v>
      </c>
      <c r="BV247" s="105" t="s">
        <v>188</v>
      </c>
      <c r="BW247" s="125">
        <v>11740</v>
      </c>
      <c r="BX247" s="150" t="s">
        <v>189</v>
      </c>
      <c r="BY247" s="150">
        <v>110</v>
      </c>
      <c r="BZ247" s="150" t="s">
        <v>184</v>
      </c>
      <c r="CA247" s="151" t="s">
        <v>190</v>
      </c>
      <c r="CC247" s="152" t="s">
        <v>191</v>
      </c>
    </row>
    <row r="248" spans="1:81" ht="37.5">
      <c r="A248" s="1403"/>
      <c r="B248" s="103"/>
      <c r="C248" s="104"/>
      <c r="D248" s="122" t="s">
        <v>192</v>
      </c>
      <c r="F248" s="332">
        <v>54440</v>
      </c>
      <c r="G248" s="333"/>
      <c r="H248" s="105" t="s">
        <v>182</v>
      </c>
      <c r="I248" s="334">
        <v>520</v>
      </c>
      <c r="J248" s="335"/>
      <c r="K248" s="336" t="s">
        <v>661</v>
      </c>
      <c r="M248" s="1354"/>
      <c r="N248" s="106"/>
      <c r="O248" s="106"/>
      <c r="P248" s="131"/>
      <c r="R248" s="1354"/>
      <c r="S248" s="106"/>
      <c r="T248" s="106"/>
      <c r="U248" s="131"/>
      <c r="V248" s="105" t="s">
        <v>182</v>
      </c>
      <c r="W248" s="334">
        <v>6880</v>
      </c>
      <c r="X248" s="133">
        <v>60</v>
      </c>
      <c r="Y248" s="122" t="s">
        <v>183</v>
      </c>
      <c r="Z248" s="105" t="s">
        <v>182</v>
      </c>
      <c r="AA248" s="345">
        <v>48220</v>
      </c>
      <c r="AB248" s="134" t="s">
        <v>182</v>
      </c>
      <c r="AC248" s="134">
        <v>480</v>
      </c>
      <c r="AD248" s="135" t="s">
        <v>184</v>
      </c>
      <c r="AE248" s="105" t="s">
        <v>182</v>
      </c>
      <c r="AF248" s="345">
        <v>41340</v>
      </c>
      <c r="AG248" s="134" t="s">
        <v>182</v>
      </c>
      <c r="AH248" s="134">
        <v>410</v>
      </c>
      <c r="AI248" s="135" t="s">
        <v>184</v>
      </c>
      <c r="AK248" s="1357"/>
      <c r="AL248" s="110"/>
      <c r="AM248" s="110"/>
      <c r="AN248" s="108"/>
      <c r="AP248" s="348">
        <v>16530</v>
      </c>
      <c r="AQ248" s="106"/>
      <c r="AR248" s="106"/>
      <c r="AS248" s="131"/>
      <c r="AU248" s="1354"/>
      <c r="AV248" s="106"/>
      <c r="AW248" s="106"/>
      <c r="AX248" s="131"/>
      <c r="AZ248" s="353" t="s">
        <v>766</v>
      </c>
      <c r="BA248" s="1355"/>
      <c r="BB248" s="136" t="s">
        <v>767</v>
      </c>
      <c r="BC248" s="1355"/>
      <c r="BD248" s="353" t="s">
        <v>766</v>
      </c>
      <c r="BE248" s="1355"/>
      <c r="BF248" s="353" t="s">
        <v>663</v>
      </c>
      <c r="BH248" s="140">
        <v>16800</v>
      </c>
      <c r="BJ248" s="130" t="s">
        <v>785</v>
      </c>
      <c r="BL248" s="132"/>
      <c r="BM248" s="153"/>
      <c r="BN248" s="153"/>
      <c r="BO248" s="154"/>
      <c r="BQ248" s="132"/>
      <c r="BR248" s="153"/>
      <c r="BS248" s="153"/>
      <c r="BT248" s="153"/>
      <c r="BU248" s="154"/>
      <c r="BW248" s="109"/>
      <c r="BX248" s="146"/>
      <c r="BY248" s="146"/>
      <c r="BZ248" s="146"/>
      <c r="CA248" s="147"/>
      <c r="CC248" s="152">
        <v>0.78</v>
      </c>
    </row>
    <row r="249" spans="1:81" ht="75">
      <c r="A249" s="1403"/>
      <c r="B249" s="129" t="s">
        <v>195</v>
      </c>
      <c r="C249" s="130" t="s">
        <v>180</v>
      </c>
      <c r="D249" s="122" t="s">
        <v>181</v>
      </c>
      <c r="F249" s="327">
        <v>37200</v>
      </c>
      <c r="G249" s="328">
        <v>44080</v>
      </c>
      <c r="H249" s="105" t="s">
        <v>182</v>
      </c>
      <c r="I249" s="329">
        <v>350</v>
      </c>
      <c r="J249" s="330">
        <v>420</v>
      </c>
      <c r="K249" s="331" t="s">
        <v>661</v>
      </c>
      <c r="L249" s="105" t="s">
        <v>182</v>
      </c>
      <c r="M249" s="1353">
        <v>2690</v>
      </c>
      <c r="N249" s="123" t="s">
        <v>182</v>
      </c>
      <c r="O249" s="123">
        <v>20</v>
      </c>
      <c r="P249" s="124" t="s">
        <v>184</v>
      </c>
      <c r="Q249" s="105" t="s">
        <v>182</v>
      </c>
      <c r="R249" s="1353">
        <v>11800</v>
      </c>
      <c r="S249" s="123" t="s">
        <v>182</v>
      </c>
      <c r="T249" s="123">
        <v>110</v>
      </c>
      <c r="U249" s="124" t="s">
        <v>184</v>
      </c>
      <c r="V249" s="105" t="s">
        <v>182</v>
      </c>
      <c r="W249" s="342">
        <v>6880</v>
      </c>
      <c r="X249" s="126">
        <v>60</v>
      </c>
      <c r="Y249" s="122" t="s">
        <v>183</v>
      </c>
      <c r="AA249" s="344"/>
      <c r="AF249" s="344" t="s">
        <v>185</v>
      </c>
      <c r="AJ249" s="105" t="s">
        <v>182</v>
      </c>
      <c r="AK249" s="1356">
        <v>2480</v>
      </c>
      <c r="AL249" s="106" t="s">
        <v>182</v>
      </c>
      <c r="AM249" s="106">
        <v>20</v>
      </c>
      <c r="AN249" s="131" t="s">
        <v>184</v>
      </c>
      <c r="AP249" s="349" t="s">
        <v>196</v>
      </c>
      <c r="AQ249" s="106" t="s">
        <v>182</v>
      </c>
      <c r="AR249" s="106">
        <v>110</v>
      </c>
      <c r="AS249" s="131" t="s">
        <v>187</v>
      </c>
      <c r="AT249" s="105" t="s">
        <v>182</v>
      </c>
      <c r="AU249" s="1353">
        <v>2000</v>
      </c>
      <c r="AV249" s="123" t="s">
        <v>182</v>
      </c>
      <c r="AW249" s="123">
        <v>20</v>
      </c>
      <c r="AX249" s="124" t="s">
        <v>184</v>
      </c>
      <c r="AY249" s="105" t="s">
        <v>182</v>
      </c>
      <c r="AZ249" s="352">
        <v>1170</v>
      </c>
      <c r="BA249" s="1355" t="s">
        <v>664</v>
      </c>
      <c r="BB249" s="127">
        <v>10</v>
      </c>
      <c r="BC249" s="1355" t="s">
        <v>664</v>
      </c>
      <c r="BD249" s="352">
        <v>200</v>
      </c>
      <c r="BE249" s="1355" t="s">
        <v>664</v>
      </c>
      <c r="BF249" s="352">
        <v>2</v>
      </c>
      <c r="BH249" s="139" t="s">
        <v>770</v>
      </c>
      <c r="BI249" s="2" t="s">
        <v>182</v>
      </c>
      <c r="BJ249" s="121">
        <v>235</v>
      </c>
      <c r="BK249" s="105" t="s">
        <v>188</v>
      </c>
      <c r="BL249" s="125">
        <v>3210</v>
      </c>
      <c r="BM249" s="150" t="s">
        <v>189</v>
      </c>
      <c r="BN249" s="150">
        <v>30</v>
      </c>
      <c r="BO249" s="151" t="s">
        <v>184</v>
      </c>
      <c r="BP249" s="105" t="s">
        <v>188</v>
      </c>
      <c r="BQ249" s="125">
        <v>11800</v>
      </c>
      <c r="BR249" s="150" t="s">
        <v>189</v>
      </c>
      <c r="BS249" s="150">
        <v>110</v>
      </c>
      <c r="BT249" s="150" t="s">
        <v>184</v>
      </c>
      <c r="BU249" s="151" t="s">
        <v>190</v>
      </c>
      <c r="BV249" s="105" t="s">
        <v>188</v>
      </c>
      <c r="BW249" s="132">
        <v>8380</v>
      </c>
      <c r="BX249" s="153" t="s">
        <v>189</v>
      </c>
      <c r="BY249" s="153">
        <v>80</v>
      </c>
      <c r="BZ249" s="153" t="s">
        <v>184</v>
      </c>
      <c r="CA249" s="154" t="s">
        <v>190</v>
      </c>
      <c r="CC249" s="152" t="s">
        <v>191</v>
      </c>
    </row>
    <row r="250" spans="1:81" ht="37.5">
      <c r="A250" s="1403"/>
      <c r="B250" s="129"/>
      <c r="C250" s="130"/>
      <c r="D250" s="122" t="s">
        <v>192</v>
      </c>
      <c r="F250" s="332">
        <v>44080</v>
      </c>
      <c r="G250" s="333"/>
      <c r="H250" s="105" t="s">
        <v>182</v>
      </c>
      <c r="I250" s="334">
        <v>420</v>
      </c>
      <c r="J250" s="335"/>
      <c r="K250" s="336" t="s">
        <v>661</v>
      </c>
      <c r="M250" s="1354"/>
      <c r="N250" s="310"/>
      <c r="O250" s="310"/>
      <c r="P250" s="311"/>
      <c r="R250" s="1354"/>
      <c r="S250" s="310"/>
      <c r="T250" s="310"/>
      <c r="U250" s="311"/>
      <c r="V250" s="105" t="s">
        <v>182</v>
      </c>
      <c r="W250" s="334">
        <v>6880</v>
      </c>
      <c r="X250" s="133">
        <v>60</v>
      </c>
      <c r="Y250" s="122" t="s">
        <v>183</v>
      </c>
      <c r="Z250" s="105" t="s">
        <v>182</v>
      </c>
      <c r="AA250" s="345">
        <v>48220</v>
      </c>
      <c r="AB250" s="134" t="s">
        <v>182</v>
      </c>
      <c r="AC250" s="134">
        <v>480</v>
      </c>
      <c r="AD250" s="135" t="s">
        <v>184</v>
      </c>
      <c r="AE250" s="105" t="s">
        <v>182</v>
      </c>
      <c r="AF250" s="345">
        <v>41340</v>
      </c>
      <c r="AG250" s="134" t="s">
        <v>182</v>
      </c>
      <c r="AH250" s="134">
        <v>410</v>
      </c>
      <c r="AI250" s="135" t="s">
        <v>184</v>
      </c>
      <c r="AK250" s="1357"/>
      <c r="AL250" s="106"/>
      <c r="AM250" s="106"/>
      <c r="AN250" s="131"/>
      <c r="AP250" s="348">
        <v>11800</v>
      </c>
      <c r="AQ250" s="106"/>
      <c r="AR250" s="106"/>
      <c r="AS250" s="131"/>
      <c r="AU250" s="1354"/>
      <c r="AV250" s="110"/>
      <c r="AW250" s="110"/>
      <c r="AX250" s="108"/>
      <c r="AZ250" s="353" t="s">
        <v>766</v>
      </c>
      <c r="BA250" s="1355"/>
      <c r="BB250" s="136" t="s">
        <v>767</v>
      </c>
      <c r="BC250" s="1355"/>
      <c r="BD250" s="353" t="s">
        <v>766</v>
      </c>
      <c r="BE250" s="1355"/>
      <c r="BF250" s="353" t="s">
        <v>663</v>
      </c>
      <c r="BH250" s="140">
        <v>12280</v>
      </c>
      <c r="BJ250" s="104" t="s">
        <v>785</v>
      </c>
      <c r="BL250" s="109"/>
      <c r="BM250" s="146"/>
      <c r="BN250" s="146"/>
      <c r="BO250" s="147"/>
      <c r="BQ250" s="109"/>
      <c r="BR250" s="146"/>
      <c r="BS250" s="146"/>
      <c r="BT250" s="146"/>
      <c r="BU250" s="147"/>
      <c r="BW250" s="132"/>
      <c r="BX250" s="153"/>
      <c r="BY250" s="153"/>
      <c r="BZ250" s="153"/>
      <c r="CA250" s="154"/>
      <c r="CC250" s="152">
        <v>0.86</v>
      </c>
    </row>
    <row r="251" spans="1:81" ht="75">
      <c r="A251" s="1403"/>
      <c r="B251" s="120" t="s">
        <v>197</v>
      </c>
      <c r="C251" s="121" t="s">
        <v>180</v>
      </c>
      <c r="D251" s="122" t="s">
        <v>181</v>
      </c>
      <c r="F251" s="327">
        <v>33010</v>
      </c>
      <c r="G251" s="328">
        <v>39890</v>
      </c>
      <c r="H251" s="105" t="s">
        <v>182</v>
      </c>
      <c r="I251" s="329">
        <v>310</v>
      </c>
      <c r="J251" s="330">
        <v>380</v>
      </c>
      <c r="K251" s="331" t="s">
        <v>661</v>
      </c>
      <c r="L251" s="105" t="s">
        <v>182</v>
      </c>
      <c r="M251" s="1353">
        <v>2090</v>
      </c>
      <c r="N251" s="106" t="s">
        <v>182</v>
      </c>
      <c r="O251" s="106">
        <v>20</v>
      </c>
      <c r="P251" s="131" t="s">
        <v>184</v>
      </c>
      <c r="Q251" s="105" t="s">
        <v>182</v>
      </c>
      <c r="R251" s="1353">
        <v>9180</v>
      </c>
      <c r="S251" s="106" t="s">
        <v>182</v>
      </c>
      <c r="T251" s="106">
        <v>90</v>
      </c>
      <c r="U251" s="131" t="s">
        <v>184</v>
      </c>
      <c r="V251" s="105" t="s">
        <v>182</v>
      </c>
      <c r="W251" s="342">
        <v>6880</v>
      </c>
      <c r="X251" s="126">
        <v>60</v>
      </c>
      <c r="Y251" s="122" t="s">
        <v>183</v>
      </c>
      <c r="AA251" s="344"/>
      <c r="AF251" s="344" t="s">
        <v>185</v>
      </c>
      <c r="AJ251" s="105" t="s">
        <v>182</v>
      </c>
      <c r="AK251" s="1356" t="s">
        <v>188</v>
      </c>
      <c r="AL251" s="123" t="s">
        <v>182</v>
      </c>
      <c r="AM251" s="123" t="s">
        <v>188</v>
      </c>
      <c r="AN251" s="124"/>
      <c r="AP251" s="349" t="s">
        <v>198</v>
      </c>
      <c r="AQ251" s="106" t="s">
        <v>182</v>
      </c>
      <c r="AR251" s="106">
        <v>90</v>
      </c>
      <c r="AS251" s="131" t="s">
        <v>187</v>
      </c>
      <c r="AT251" s="105" t="s">
        <v>182</v>
      </c>
      <c r="AU251" s="1353">
        <v>1730</v>
      </c>
      <c r="AV251" s="106" t="s">
        <v>182</v>
      </c>
      <c r="AW251" s="106">
        <v>10</v>
      </c>
      <c r="AX251" s="131" t="s">
        <v>184</v>
      </c>
      <c r="AY251" s="105" t="s">
        <v>182</v>
      </c>
      <c r="AZ251" s="352">
        <v>910</v>
      </c>
      <c r="BA251" s="1355" t="s">
        <v>664</v>
      </c>
      <c r="BB251" s="127">
        <v>9</v>
      </c>
      <c r="BC251" s="1355" t="s">
        <v>664</v>
      </c>
      <c r="BD251" s="352">
        <v>160</v>
      </c>
      <c r="BE251" s="1355" t="s">
        <v>664</v>
      </c>
      <c r="BF251" s="352">
        <v>1</v>
      </c>
      <c r="BH251" s="139" t="s">
        <v>771</v>
      </c>
      <c r="BI251" s="2" t="s">
        <v>182</v>
      </c>
      <c r="BJ251" s="130">
        <v>235</v>
      </c>
      <c r="BK251" s="105" t="s">
        <v>188</v>
      </c>
      <c r="BL251" s="132">
        <v>2500</v>
      </c>
      <c r="BM251" s="153" t="s">
        <v>189</v>
      </c>
      <c r="BN251" s="153">
        <v>20</v>
      </c>
      <c r="BO251" s="154" t="s">
        <v>184</v>
      </c>
      <c r="BP251" s="105" t="s">
        <v>188</v>
      </c>
      <c r="BQ251" s="132">
        <v>9180</v>
      </c>
      <c r="BR251" s="153" t="s">
        <v>189</v>
      </c>
      <c r="BS251" s="153">
        <v>90</v>
      </c>
      <c r="BT251" s="153" t="s">
        <v>184</v>
      </c>
      <c r="BU251" s="154" t="s">
        <v>190</v>
      </c>
      <c r="BV251" s="105" t="s">
        <v>188</v>
      </c>
      <c r="BW251" s="125">
        <v>6520</v>
      </c>
      <c r="BX251" s="150" t="s">
        <v>189</v>
      </c>
      <c r="BY251" s="150">
        <v>60</v>
      </c>
      <c r="BZ251" s="150" t="s">
        <v>184</v>
      </c>
      <c r="CA251" s="151" t="s">
        <v>190</v>
      </c>
      <c r="CC251" s="152" t="s">
        <v>191</v>
      </c>
    </row>
    <row r="252" spans="1:81" ht="37.5">
      <c r="A252" s="1403"/>
      <c r="B252" s="103"/>
      <c r="C252" s="104"/>
      <c r="D252" s="122" t="s">
        <v>192</v>
      </c>
      <c r="F252" s="332">
        <v>39890</v>
      </c>
      <c r="G252" s="333"/>
      <c r="H252" s="105" t="s">
        <v>182</v>
      </c>
      <c r="I252" s="334">
        <v>380</v>
      </c>
      <c r="J252" s="335"/>
      <c r="K252" s="336" t="s">
        <v>661</v>
      </c>
      <c r="M252" s="1354"/>
      <c r="N252" s="106"/>
      <c r="O252" s="106"/>
      <c r="P252" s="131"/>
      <c r="R252" s="1354"/>
      <c r="S252" s="106"/>
      <c r="T252" s="106"/>
      <c r="U252" s="131"/>
      <c r="V252" s="105" t="s">
        <v>182</v>
      </c>
      <c r="W252" s="334">
        <v>6880</v>
      </c>
      <c r="X252" s="133">
        <v>60</v>
      </c>
      <c r="Y252" s="122" t="s">
        <v>183</v>
      </c>
      <c r="Z252" s="105" t="s">
        <v>182</v>
      </c>
      <c r="AA252" s="345">
        <v>48220</v>
      </c>
      <c r="AB252" s="134" t="s">
        <v>182</v>
      </c>
      <c r="AC252" s="134">
        <v>480</v>
      </c>
      <c r="AD252" s="135" t="s">
        <v>184</v>
      </c>
      <c r="AE252" s="105" t="s">
        <v>182</v>
      </c>
      <c r="AF252" s="345">
        <v>41340</v>
      </c>
      <c r="AG252" s="134" t="s">
        <v>182</v>
      </c>
      <c r="AH252" s="134">
        <v>410</v>
      </c>
      <c r="AI252" s="135" t="s">
        <v>184</v>
      </c>
      <c r="AK252" s="1357"/>
      <c r="AL252" s="106"/>
      <c r="AM252" s="106"/>
      <c r="AN252" s="131"/>
      <c r="AP252" s="348">
        <v>9180</v>
      </c>
      <c r="AQ252" s="106"/>
      <c r="AR252" s="106"/>
      <c r="AS252" s="131"/>
      <c r="AU252" s="1354"/>
      <c r="AV252" s="106"/>
      <c r="AW252" s="106"/>
      <c r="AX252" s="131"/>
      <c r="AZ252" s="353" t="s">
        <v>766</v>
      </c>
      <c r="BA252" s="1355"/>
      <c r="BB252" s="136" t="s">
        <v>767</v>
      </c>
      <c r="BC252" s="1355"/>
      <c r="BD252" s="353" t="s">
        <v>766</v>
      </c>
      <c r="BE252" s="1355"/>
      <c r="BF252" s="353" t="s">
        <v>663</v>
      </c>
      <c r="BH252" s="140">
        <v>9770</v>
      </c>
      <c r="BJ252" s="130" t="s">
        <v>785</v>
      </c>
      <c r="BL252" s="132"/>
      <c r="BM252" s="153"/>
      <c r="BN252" s="153"/>
      <c r="BO252" s="154"/>
      <c r="BQ252" s="132"/>
      <c r="BR252" s="153"/>
      <c r="BS252" s="153"/>
      <c r="BT252" s="153"/>
      <c r="BU252" s="154"/>
      <c r="BW252" s="109"/>
      <c r="BX252" s="146"/>
      <c r="BY252" s="146"/>
      <c r="BZ252" s="146"/>
      <c r="CA252" s="147"/>
      <c r="CC252" s="152">
        <v>0.95</v>
      </c>
    </row>
    <row r="253" spans="1:81" ht="75">
      <c r="A253" s="1403"/>
      <c r="B253" s="129" t="s">
        <v>200</v>
      </c>
      <c r="C253" s="130" t="s">
        <v>180</v>
      </c>
      <c r="D253" s="122" t="s">
        <v>181</v>
      </c>
      <c r="F253" s="327">
        <v>29270</v>
      </c>
      <c r="G253" s="328">
        <v>36150</v>
      </c>
      <c r="H253" s="105" t="s">
        <v>182</v>
      </c>
      <c r="I253" s="329">
        <v>270</v>
      </c>
      <c r="J253" s="330">
        <v>340</v>
      </c>
      <c r="K253" s="331" t="s">
        <v>661</v>
      </c>
      <c r="L253" s="105" t="s">
        <v>182</v>
      </c>
      <c r="M253" s="1353">
        <v>1570</v>
      </c>
      <c r="N253" s="123" t="s">
        <v>182</v>
      </c>
      <c r="O253" s="123">
        <v>10</v>
      </c>
      <c r="P253" s="124" t="s">
        <v>184</v>
      </c>
      <c r="Q253" s="105" t="s">
        <v>182</v>
      </c>
      <c r="R253" s="1353">
        <v>6880</v>
      </c>
      <c r="S253" s="123" t="s">
        <v>182</v>
      </c>
      <c r="T253" s="123">
        <v>60</v>
      </c>
      <c r="U253" s="124" t="s">
        <v>184</v>
      </c>
      <c r="V253" s="105" t="s">
        <v>182</v>
      </c>
      <c r="W253" s="342">
        <v>6880</v>
      </c>
      <c r="X253" s="126">
        <v>60</v>
      </c>
      <c r="Y253" s="122" t="s">
        <v>183</v>
      </c>
      <c r="AA253" s="344"/>
      <c r="AF253" s="344" t="s">
        <v>185</v>
      </c>
      <c r="AJ253" s="105" t="s">
        <v>182</v>
      </c>
      <c r="AK253" s="1356" t="s">
        <v>188</v>
      </c>
      <c r="AL253" s="106" t="s">
        <v>182</v>
      </c>
      <c r="AM253" s="106" t="s">
        <v>188</v>
      </c>
      <c r="AN253" s="131"/>
      <c r="AP253" s="349" t="s">
        <v>201</v>
      </c>
      <c r="AQ253" s="106" t="s">
        <v>182</v>
      </c>
      <c r="AR253" s="106">
        <v>60</v>
      </c>
      <c r="AS253" s="131" t="s">
        <v>187</v>
      </c>
      <c r="AT253" s="105" t="s">
        <v>182</v>
      </c>
      <c r="AU253" s="1353">
        <v>1300</v>
      </c>
      <c r="AV253" s="123" t="s">
        <v>182</v>
      </c>
      <c r="AW253" s="123">
        <v>10</v>
      </c>
      <c r="AX253" s="124" t="s">
        <v>184</v>
      </c>
      <c r="AY253" s="105" t="s">
        <v>182</v>
      </c>
      <c r="AZ253" s="352">
        <v>680</v>
      </c>
      <c r="BA253" s="1355" t="s">
        <v>664</v>
      </c>
      <c r="BB253" s="127">
        <v>6</v>
      </c>
      <c r="BC253" s="1355" t="s">
        <v>664</v>
      </c>
      <c r="BD253" s="352">
        <v>120</v>
      </c>
      <c r="BE253" s="1355" t="s">
        <v>664</v>
      </c>
      <c r="BF253" s="352">
        <v>1</v>
      </c>
      <c r="BH253" s="139" t="s">
        <v>772</v>
      </c>
      <c r="BI253" s="2" t="s">
        <v>182</v>
      </c>
      <c r="BJ253" s="121">
        <v>235</v>
      </c>
      <c r="BK253" s="105" t="s">
        <v>188</v>
      </c>
      <c r="BL253" s="125">
        <v>1870</v>
      </c>
      <c r="BM253" s="150" t="s">
        <v>189</v>
      </c>
      <c r="BN253" s="150">
        <v>10</v>
      </c>
      <c r="BO253" s="151" t="s">
        <v>184</v>
      </c>
      <c r="BP253" s="105" t="s">
        <v>188</v>
      </c>
      <c r="BQ253" s="125">
        <v>6880</v>
      </c>
      <c r="BR253" s="150" t="s">
        <v>189</v>
      </c>
      <c r="BS253" s="150">
        <v>60</v>
      </c>
      <c r="BT253" s="150" t="s">
        <v>184</v>
      </c>
      <c r="BU253" s="151" t="s">
        <v>190</v>
      </c>
      <c r="BV253" s="105" t="s">
        <v>188</v>
      </c>
      <c r="BW253" s="132">
        <v>4890</v>
      </c>
      <c r="BX253" s="153" t="s">
        <v>189</v>
      </c>
      <c r="BY253" s="153">
        <v>40</v>
      </c>
      <c r="BZ253" s="153" t="s">
        <v>184</v>
      </c>
      <c r="CA253" s="154" t="s">
        <v>190</v>
      </c>
      <c r="CC253" s="152" t="s">
        <v>191</v>
      </c>
    </row>
    <row r="254" spans="1:81" ht="37.5">
      <c r="A254" s="1403"/>
      <c r="B254" s="129"/>
      <c r="C254" s="130"/>
      <c r="D254" s="122" t="s">
        <v>192</v>
      </c>
      <c r="F254" s="332">
        <v>36150</v>
      </c>
      <c r="G254" s="333"/>
      <c r="H254" s="105" t="s">
        <v>182</v>
      </c>
      <c r="I254" s="334">
        <v>340</v>
      </c>
      <c r="J254" s="335"/>
      <c r="K254" s="336" t="s">
        <v>661</v>
      </c>
      <c r="M254" s="1354"/>
      <c r="N254" s="310"/>
      <c r="O254" s="310"/>
      <c r="P254" s="311"/>
      <c r="R254" s="1354"/>
      <c r="S254" s="310"/>
      <c r="T254" s="310"/>
      <c r="U254" s="311"/>
      <c r="V254" s="105" t="s">
        <v>182</v>
      </c>
      <c r="W254" s="334">
        <v>6880</v>
      </c>
      <c r="X254" s="133">
        <v>60</v>
      </c>
      <c r="Y254" s="122" t="s">
        <v>183</v>
      </c>
      <c r="Z254" s="105" t="s">
        <v>182</v>
      </c>
      <c r="AA254" s="345">
        <v>48220</v>
      </c>
      <c r="AB254" s="134" t="s">
        <v>182</v>
      </c>
      <c r="AC254" s="134">
        <v>480</v>
      </c>
      <c r="AD254" s="135" t="s">
        <v>184</v>
      </c>
      <c r="AE254" s="105" t="s">
        <v>182</v>
      </c>
      <c r="AF254" s="345">
        <v>41340</v>
      </c>
      <c r="AG254" s="134" t="s">
        <v>182</v>
      </c>
      <c r="AH254" s="134">
        <v>410</v>
      </c>
      <c r="AI254" s="135" t="s">
        <v>184</v>
      </c>
      <c r="AK254" s="1357"/>
      <c r="AL254" s="106"/>
      <c r="AM254" s="106"/>
      <c r="AN254" s="131"/>
      <c r="AP254" s="348">
        <v>6880</v>
      </c>
      <c r="AQ254" s="106"/>
      <c r="AR254" s="106"/>
      <c r="AS254" s="131"/>
      <c r="AU254" s="1354"/>
      <c r="AV254" s="110"/>
      <c r="AW254" s="110"/>
      <c r="AX254" s="108"/>
      <c r="AZ254" s="353" t="s">
        <v>766</v>
      </c>
      <c r="BA254" s="1355"/>
      <c r="BB254" s="136" t="s">
        <v>767</v>
      </c>
      <c r="BC254" s="1355"/>
      <c r="BD254" s="353" t="s">
        <v>766</v>
      </c>
      <c r="BE254" s="1355"/>
      <c r="BF254" s="353" t="s">
        <v>663</v>
      </c>
      <c r="BH254" s="140">
        <v>7500</v>
      </c>
      <c r="BJ254" s="104" t="s">
        <v>785</v>
      </c>
      <c r="BL254" s="109"/>
      <c r="BM254" s="146"/>
      <c r="BN254" s="146"/>
      <c r="BO254" s="147"/>
      <c r="BQ254" s="109"/>
      <c r="BR254" s="146"/>
      <c r="BS254" s="146"/>
      <c r="BT254" s="146"/>
      <c r="BU254" s="147"/>
      <c r="BW254" s="132"/>
      <c r="BX254" s="153"/>
      <c r="BY254" s="153"/>
      <c r="BZ254" s="153"/>
      <c r="CA254" s="154"/>
      <c r="CC254" s="152">
        <v>0.89</v>
      </c>
    </row>
    <row r="255" spans="1:81" ht="75">
      <c r="A255" s="1403"/>
      <c r="B255" s="120" t="s">
        <v>202</v>
      </c>
      <c r="C255" s="121" t="s">
        <v>180</v>
      </c>
      <c r="D255" s="122" t="s">
        <v>181</v>
      </c>
      <c r="F255" s="327">
        <v>27070</v>
      </c>
      <c r="G255" s="328">
        <v>33950</v>
      </c>
      <c r="H255" s="105" t="s">
        <v>182</v>
      </c>
      <c r="I255" s="329">
        <v>250</v>
      </c>
      <c r="J255" s="330">
        <v>320</v>
      </c>
      <c r="K255" s="331" t="s">
        <v>661</v>
      </c>
      <c r="L255" s="105" t="s">
        <v>182</v>
      </c>
      <c r="M255" s="1353">
        <v>1250</v>
      </c>
      <c r="N255" s="106" t="s">
        <v>182</v>
      </c>
      <c r="O255" s="106">
        <v>10</v>
      </c>
      <c r="P255" s="131" t="s">
        <v>184</v>
      </c>
      <c r="Q255" s="105" t="s">
        <v>182</v>
      </c>
      <c r="R255" s="1353">
        <v>5510</v>
      </c>
      <c r="S255" s="106" t="s">
        <v>182</v>
      </c>
      <c r="T255" s="106">
        <v>50</v>
      </c>
      <c r="U255" s="131" t="s">
        <v>184</v>
      </c>
      <c r="V255" s="105" t="s">
        <v>182</v>
      </c>
      <c r="W255" s="342">
        <v>6880</v>
      </c>
      <c r="X255" s="126">
        <v>60</v>
      </c>
      <c r="Y255" s="122" t="s">
        <v>183</v>
      </c>
      <c r="AA255" s="344"/>
      <c r="AF255" s="344" t="s">
        <v>185</v>
      </c>
      <c r="AJ255" s="105" t="s">
        <v>182</v>
      </c>
      <c r="AK255" s="1356" t="s">
        <v>188</v>
      </c>
      <c r="AL255" s="106" t="s">
        <v>182</v>
      </c>
      <c r="AM255" s="106" t="s">
        <v>188</v>
      </c>
      <c r="AN255" s="131"/>
      <c r="AP255" s="349" t="s">
        <v>203</v>
      </c>
      <c r="AQ255" s="106" t="s">
        <v>182</v>
      </c>
      <c r="AR255" s="106">
        <v>50</v>
      </c>
      <c r="AS255" s="131" t="s">
        <v>187</v>
      </c>
      <c r="AT255" s="105" t="s">
        <v>182</v>
      </c>
      <c r="AU255" s="1353">
        <v>1040</v>
      </c>
      <c r="AV255" s="106" t="s">
        <v>182</v>
      </c>
      <c r="AW255" s="106">
        <v>10</v>
      </c>
      <c r="AX255" s="131" t="s">
        <v>184</v>
      </c>
      <c r="AY255" s="105" t="s">
        <v>182</v>
      </c>
      <c r="AZ255" s="352">
        <v>570</v>
      </c>
      <c r="BA255" s="1355" t="s">
        <v>664</v>
      </c>
      <c r="BB255" s="127">
        <v>5</v>
      </c>
      <c r="BC255" s="1355" t="s">
        <v>664</v>
      </c>
      <c r="BD255" s="352">
        <v>100</v>
      </c>
      <c r="BE255" s="1355" t="s">
        <v>664</v>
      </c>
      <c r="BF255" s="352">
        <v>1</v>
      </c>
      <c r="BH255" s="139" t="s">
        <v>773</v>
      </c>
      <c r="BI255" s="2" t="s">
        <v>182</v>
      </c>
      <c r="BJ255" s="130">
        <v>235</v>
      </c>
      <c r="BK255" s="105" t="s">
        <v>188</v>
      </c>
      <c r="BL255" s="132">
        <v>1500</v>
      </c>
      <c r="BM255" s="153" t="s">
        <v>189</v>
      </c>
      <c r="BN255" s="153">
        <v>10</v>
      </c>
      <c r="BO255" s="154" t="s">
        <v>184</v>
      </c>
      <c r="BP255" s="105" t="s">
        <v>188</v>
      </c>
      <c r="BQ255" s="132">
        <v>5510</v>
      </c>
      <c r="BR255" s="153" t="s">
        <v>189</v>
      </c>
      <c r="BS255" s="153">
        <v>50</v>
      </c>
      <c r="BT255" s="153" t="s">
        <v>184</v>
      </c>
      <c r="BU255" s="154" t="s">
        <v>190</v>
      </c>
      <c r="BV255" s="105" t="s">
        <v>188</v>
      </c>
      <c r="BW255" s="125">
        <v>3910</v>
      </c>
      <c r="BX255" s="150" t="s">
        <v>189</v>
      </c>
      <c r="BY255" s="150">
        <v>30</v>
      </c>
      <c r="BZ255" s="150" t="s">
        <v>184</v>
      </c>
      <c r="CA255" s="151" t="s">
        <v>190</v>
      </c>
      <c r="CC255" s="152" t="s">
        <v>191</v>
      </c>
    </row>
    <row r="256" spans="1:81" ht="37.5">
      <c r="A256" s="1403"/>
      <c r="B256" s="103"/>
      <c r="C256" s="104"/>
      <c r="D256" s="122" t="s">
        <v>192</v>
      </c>
      <c r="F256" s="332">
        <v>33950</v>
      </c>
      <c r="G256" s="333"/>
      <c r="H256" s="105" t="s">
        <v>182</v>
      </c>
      <c r="I256" s="334">
        <v>320</v>
      </c>
      <c r="J256" s="335"/>
      <c r="K256" s="336" t="s">
        <v>661</v>
      </c>
      <c r="M256" s="1354"/>
      <c r="N256" s="106"/>
      <c r="O256" s="106"/>
      <c r="P256" s="131"/>
      <c r="R256" s="1354"/>
      <c r="S256" s="106"/>
      <c r="T256" s="106"/>
      <c r="U256" s="131"/>
      <c r="V256" s="105" t="s">
        <v>182</v>
      </c>
      <c r="W256" s="334">
        <v>6880</v>
      </c>
      <c r="X256" s="133">
        <v>60</v>
      </c>
      <c r="Y256" s="122" t="s">
        <v>183</v>
      </c>
      <c r="Z256" s="105" t="s">
        <v>182</v>
      </c>
      <c r="AA256" s="345">
        <v>48220</v>
      </c>
      <c r="AB256" s="134" t="s">
        <v>182</v>
      </c>
      <c r="AC256" s="134">
        <v>480</v>
      </c>
      <c r="AD256" s="135" t="s">
        <v>184</v>
      </c>
      <c r="AE256" s="105" t="s">
        <v>182</v>
      </c>
      <c r="AF256" s="345">
        <v>41340</v>
      </c>
      <c r="AG256" s="134" t="s">
        <v>182</v>
      </c>
      <c r="AH256" s="134">
        <v>410</v>
      </c>
      <c r="AI256" s="135" t="s">
        <v>184</v>
      </c>
      <c r="AK256" s="1357"/>
      <c r="AL256" s="106"/>
      <c r="AM256" s="106"/>
      <c r="AN256" s="131"/>
      <c r="AP256" s="348">
        <v>5510</v>
      </c>
      <c r="AQ256" s="106"/>
      <c r="AR256" s="106"/>
      <c r="AS256" s="131"/>
      <c r="AU256" s="1354"/>
      <c r="AV256" s="106"/>
      <c r="AW256" s="106"/>
      <c r="AX256" s="131"/>
      <c r="AZ256" s="353" t="s">
        <v>766</v>
      </c>
      <c r="BA256" s="1355"/>
      <c r="BB256" s="136" t="s">
        <v>767</v>
      </c>
      <c r="BC256" s="1355"/>
      <c r="BD256" s="353" t="s">
        <v>766</v>
      </c>
      <c r="BE256" s="1355"/>
      <c r="BF256" s="353" t="s">
        <v>663</v>
      </c>
      <c r="BH256" s="140">
        <v>6130</v>
      </c>
      <c r="BJ256" s="130" t="s">
        <v>785</v>
      </c>
      <c r="BL256" s="132"/>
      <c r="BM256" s="153"/>
      <c r="BN256" s="153"/>
      <c r="BO256" s="154"/>
      <c r="BQ256" s="132"/>
      <c r="BR256" s="153"/>
      <c r="BS256" s="153"/>
      <c r="BT256" s="153"/>
      <c r="BU256" s="154"/>
      <c r="BW256" s="109"/>
      <c r="BX256" s="146"/>
      <c r="BY256" s="146"/>
      <c r="BZ256" s="146"/>
      <c r="CA256" s="147"/>
      <c r="CC256" s="152">
        <v>0.92</v>
      </c>
    </row>
    <row r="257" spans="1:81" ht="75">
      <c r="A257" s="1403"/>
      <c r="B257" s="129" t="s">
        <v>204</v>
      </c>
      <c r="C257" s="130" t="s">
        <v>180</v>
      </c>
      <c r="D257" s="122" t="s">
        <v>181</v>
      </c>
      <c r="F257" s="327">
        <v>25560</v>
      </c>
      <c r="G257" s="328">
        <v>32440</v>
      </c>
      <c r="H257" s="105" t="s">
        <v>182</v>
      </c>
      <c r="I257" s="329">
        <v>230</v>
      </c>
      <c r="J257" s="330">
        <v>300</v>
      </c>
      <c r="K257" s="331" t="s">
        <v>661</v>
      </c>
      <c r="L257" s="105" t="s">
        <v>182</v>
      </c>
      <c r="M257" s="1353">
        <v>1040</v>
      </c>
      <c r="N257" s="123" t="s">
        <v>182</v>
      </c>
      <c r="O257" s="123">
        <v>10</v>
      </c>
      <c r="P257" s="124" t="s">
        <v>184</v>
      </c>
      <c r="Q257" s="105" t="s">
        <v>182</v>
      </c>
      <c r="R257" s="1353">
        <v>4590</v>
      </c>
      <c r="S257" s="123" t="s">
        <v>182</v>
      </c>
      <c r="T257" s="123">
        <v>40</v>
      </c>
      <c r="U257" s="124" t="s">
        <v>184</v>
      </c>
      <c r="V257" s="105" t="s">
        <v>182</v>
      </c>
      <c r="W257" s="342">
        <v>6880</v>
      </c>
      <c r="X257" s="126">
        <v>60</v>
      </c>
      <c r="Y257" s="122" t="s">
        <v>183</v>
      </c>
      <c r="AA257" s="344"/>
      <c r="AF257" s="344" t="s">
        <v>185</v>
      </c>
      <c r="AJ257" s="105" t="s">
        <v>182</v>
      </c>
      <c r="AK257" s="1356" t="s">
        <v>188</v>
      </c>
      <c r="AL257" s="106" t="s">
        <v>182</v>
      </c>
      <c r="AM257" s="106" t="s">
        <v>188</v>
      </c>
      <c r="AN257" s="131"/>
      <c r="AP257" s="349" t="s">
        <v>205</v>
      </c>
      <c r="AQ257" s="106" t="s">
        <v>182</v>
      </c>
      <c r="AR257" s="106">
        <v>40</v>
      </c>
      <c r="AS257" s="131" t="s">
        <v>187</v>
      </c>
      <c r="AT257" s="105" t="s">
        <v>182</v>
      </c>
      <c r="AU257" s="1353">
        <v>860</v>
      </c>
      <c r="AV257" s="123" t="s">
        <v>182</v>
      </c>
      <c r="AW257" s="123">
        <v>8</v>
      </c>
      <c r="AX257" s="124" t="s">
        <v>184</v>
      </c>
      <c r="AY257" s="105" t="s">
        <v>182</v>
      </c>
      <c r="AZ257" s="352">
        <v>500</v>
      </c>
      <c r="BA257" s="1355" t="s">
        <v>664</v>
      </c>
      <c r="BB257" s="127">
        <v>5</v>
      </c>
      <c r="BC257" s="1355" t="s">
        <v>664</v>
      </c>
      <c r="BD257" s="352">
        <v>80</v>
      </c>
      <c r="BE257" s="1355" t="s">
        <v>664</v>
      </c>
      <c r="BF257" s="352">
        <v>1</v>
      </c>
      <c r="BH257" s="139" t="s">
        <v>774</v>
      </c>
      <c r="BI257" s="2" t="s">
        <v>182</v>
      </c>
      <c r="BJ257" s="121">
        <v>235</v>
      </c>
      <c r="BK257" s="105" t="s">
        <v>188</v>
      </c>
      <c r="BL257" s="125">
        <v>1250</v>
      </c>
      <c r="BM257" s="150" t="s">
        <v>189</v>
      </c>
      <c r="BN257" s="150">
        <v>10</v>
      </c>
      <c r="BO257" s="151" t="s">
        <v>184</v>
      </c>
      <c r="BP257" s="105" t="s">
        <v>188</v>
      </c>
      <c r="BQ257" s="125">
        <v>4590</v>
      </c>
      <c r="BR257" s="150" t="s">
        <v>189</v>
      </c>
      <c r="BS257" s="150">
        <v>40</v>
      </c>
      <c r="BT257" s="150" t="s">
        <v>184</v>
      </c>
      <c r="BU257" s="151" t="s">
        <v>190</v>
      </c>
      <c r="BV257" s="105" t="s">
        <v>188</v>
      </c>
      <c r="BW257" s="132">
        <v>3260</v>
      </c>
      <c r="BX257" s="153" t="s">
        <v>189</v>
      </c>
      <c r="BY257" s="153">
        <v>30</v>
      </c>
      <c r="BZ257" s="153" t="s">
        <v>184</v>
      </c>
      <c r="CA257" s="154" t="s">
        <v>190</v>
      </c>
      <c r="CC257" s="152" t="s">
        <v>191</v>
      </c>
    </row>
    <row r="258" spans="1:81" ht="37.5">
      <c r="A258" s="1403"/>
      <c r="B258" s="129"/>
      <c r="C258" s="130"/>
      <c r="D258" s="122" t="s">
        <v>192</v>
      </c>
      <c r="F258" s="332">
        <v>32440</v>
      </c>
      <c r="G258" s="333"/>
      <c r="H258" s="105" t="s">
        <v>182</v>
      </c>
      <c r="I258" s="334">
        <v>300</v>
      </c>
      <c r="J258" s="335"/>
      <c r="K258" s="336" t="s">
        <v>661</v>
      </c>
      <c r="M258" s="1354"/>
      <c r="N258" s="310"/>
      <c r="O258" s="310"/>
      <c r="P258" s="311"/>
      <c r="R258" s="1354"/>
      <c r="S258" s="310"/>
      <c r="T258" s="310"/>
      <c r="U258" s="311"/>
      <c r="V258" s="105" t="s">
        <v>182</v>
      </c>
      <c r="W258" s="334">
        <v>6880</v>
      </c>
      <c r="X258" s="133">
        <v>60</v>
      </c>
      <c r="Y258" s="122" t="s">
        <v>183</v>
      </c>
      <c r="Z258" s="105" t="s">
        <v>182</v>
      </c>
      <c r="AA258" s="345">
        <v>48220</v>
      </c>
      <c r="AB258" s="134" t="s">
        <v>182</v>
      </c>
      <c r="AC258" s="134">
        <v>480</v>
      </c>
      <c r="AD258" s="135" t="s">
        <v>184</v>
      </c>
      <c r="AE258" s="105" t="s">
        <v>182</v>
      </c>
      <c r="AF258" s="345">
        <v>41340</v>
      </c>
      <c r="AG258" s="134" t="s">
        <v>182</v>
      </c>
      <c r="AH258" s="134">
        <v>410</v>
      </c>
      <c r="AI258" s="135" t="s">
        <v>184</v>
      </c>
      <c r="AK258" s="1357"/>
      <c r="AL258" s="106"/>
      <c r="AM258" s="106"/>
      <c r="AN258" s="131"/>
      <c r="AP258" s="348">
        <v>4590</v>
      </c>
      <c r="AQ258" s="106"/>
      <c r="AR258" s="106"/>
      <c r="AS258" s="131"/>
      <c r="AU258" s="1354"/>
      <c r="AV258" s="110"/>
      <c r="AW258" s="110"/>
      <c r="AX258" s="108"/>
      <c r="AZ258" s="353" t="s">
        <v>766</v>
      </c>
      <c r="BA258" s="1355"/>
      <c r="BB258" s="136" t="s">
        <v>767</v>
      </c>
      <c r="BC258" s="1355"/>
      <c r="BD258" s="353" t="s">
        <v>766</v>
      </c>
      <c r="BE258" s="1355"/>
      <c r="BF258" s="353" t="s">
        <v>663</v>
      </c>
      <c r="BH258" s="140">
        <v>5220</v>
      </c>
      <c r="BJ258" s="104" t="s">
        <v>785</v>
      </c>
      <c r="BL258" s="109"/>
      <c r="BM258" s="146"/>
      <c r="BN258" s="146"/>
      <c r="BO258" s="147"/>
      <c r="BQ258" s="109"/>
      <c r="BR258" s="146"/>
      <c r="BS258" s="146"/>
      <c r="BT258" s="146"/>
      <c r="BU258" s="147"/>
      <c r="BW258" s="132"/>
      <c r="BX258" s="153"/>
      <c r="BY258" s="153"/>
      <c r="BZ258" s="153"/>
      <c r="CA258" s="154"/>
      <c r="CC258" s="152">
        <v>0.9</v>
      </c>
    </row>
    <row r="259" spans="1:81" ht="75">
      <c r="A259" s="1403"/>
      <c r="B259" s="120" t="s">
        <v>206</v>
      </c>
      <c r="C259" s="121" t="s">
        <v>180</v>
      </c>
      <c r="D259" s="122" t="s">
        <v>181</v>
      </c>
      <c r="F259" s="327">
        <v>25160</v>
      </c>
      <c r="G259" s="328">
        <v>32040</v>
      </c>
      <c r="H259" s="105" t="s">
        <v>182</v>
      </c>
      <c r="I259" s="329">
        <v>230</v>
      </c>
      <c r="J259" s="330">
        <v>300</v>
      </c>
      <c r="K259" s="331" t="s">
        <v>661</v>
      </c>
      <c r="L259" s="105" t="s">
        <v>182</v>
      </c>
      <c r="M259" s="1353">
        <v>890</v>
      </c>
      <c r="N259" s="106" t="s">
        <v>182</v>
      </c>
      <c r="O259" s="106">
        <v>8</v>
      </c>
      <c r="P259" s="131" t="s">
        <v>184</v>
      </c>
      <c r="Q259" s="105" t="s">
        <v>182</v>
      </c>
      <c r="R259" s="1353">
        <v>3930</v>
      </c>
      <c r="S259" s="106" t="s">
        <v>182</v>
      </c>
      <c r="T259" s="106">
        <v>30</v>
      </c>
      <c r="U259" s="131" t="s">
        <v>184</v>
      </c>
      <c r="V259" s="105" t="s">
        <v>182</v>
      </c>
      <c r="W259" s="342">
        <v>6880</v>
      </c>
      <c r="X259" s="126">
        <v>60</v>
      </c>
      <c r="Y259" s="122" t="s">
        <v>183</v>
      </c>
      <c r="AA259" s="344"/>
      <c r="AF259" s="344" t="s">
        <v>185</v>
      </c>
      <c r="AJ259" s="105" t="s">
        <v>182</v>
      </c>
      <c r="AK259" s="1356" t="s">
        <v>188</v>
      </c>
      <c r="AL259" s="106" t="s">
        <v>182</v>
      </c>
      <c r="AM259" s="106" t="s">
        <v>188</v>
      </c>
      <c r="AN259" s="131"/>
      <c r="AP259" s="349" t="s">
        <v>207</v>
      </c>
      <c r="AQ259" s="106" t="s">
        <v>182</v>
      </c>
      <c r="AR259" s="106">
        <v>30</v>
      </c>
      <c r="AS259" s="131" t="s">
        <v>187</v>
      </c>
      <c r="AT259" s="105" t="s">
        <v>182</v>
      </c>
      <c r="AU259" s="1353">
        <v>740</v>
      </c>
      <c r="AV259" s="106" t="s">
        <v>182</v>
      </c>
      <c r="AW259" s="106">
        <v>7</v>
      </c>
      <c r="AX259" s="131" t="s">
        <v>184</v>
      </c>
      <c r="AY259" s="105" t="s">
        <v>182</v>
      </c>
      <c r="AZ259" s="352">
        <v>440</v>
      </c>
      <c r="BA259" s="1355" t="s">
        <v>664</v>
      </c>
      <c r="BB259" s="127">
        <v>4</v>
      </c>
      <c r="BC259" s="1355" t="s">
        <v>664</v>
      </c>
      <c r="BD259" s="352">
        <v>80</v>
      </c>
      <c r="BE259" s="1355" t="s">
        <v>664</v>
      </c>
      <c r="BF259" s="352">
        <v>1</v>
      </c>
      <c r="BH259" s="139" t="s">
        <v>775</v>
      </c>
      <c r="BI259" s="2" t="s">
        <v>182</v>
      </c>
      <c r="BJ259" s="130">
        <v>235</v>
      </c>
      <c r="BK259" s="105" t="s">
        <v>188</v>
      </c>
      <c r="BL259" s="132">
        <v>1070</v>
      </c>
      <c r="BM259" s="153" t="s">
        <v>189</v>
      </c>
      <c r="BN259" s="153">
        <v>10</v>
      </c>
      <c r="BO259" s="154" t="s">
        <v>184</v>
      </c>
      <c r="BP259" s="105" t="s">
        <v>188</v>
      </c>
      <c r="BQ259" s="132">
        <v>3930</v>
      </c>
      <c r="BR259" s="153" t="s">
        <v>189</v>
      </c>
      <c r="BS259" s="153">
        <v>30</v>
      </c>
      <c r="BT259" s="153" t="s">
        <v>184</v>
      </c>
      <c r="BU259" s="154" t="s">
        <v>190</v>
      </c>
      <c r="BV259" s="105" t="s">
        <v>188</v>
      </c>
      <c r="BW259" s="125">
        <v>2790</v>
      </c>
      <c r="BX259" s="150" t="s">
        <v>189</v>
      </c>
      <c r="BY259" s="150">
        <v>20</v>
      </c>
      <c r="BZ259" s="150" t="s">
        <v>184</v>
      </c>
      <c r="CA259" s="151" t="s">
        <v>190</v>
      </c>
      <c r="CC259" s="152" t="s">
        <v>191</v>
      </c>
    </row>
    <row r="260" spans="1:81" ht="37.5">
      <c r="A260" s="1403"/>
      <c r="B260" s="103"/>
      <c r="C260" s="104"/>
      <c r="D260" s="122" t="s">
        <v>192</v>
      </c>
      <c r="F260" s="332">
        <v>32040</v>
      </c>
      <c r="G260" s="333"/>
      <c r="H260" s="105" t="s">
        <v>182</v>
      </c>
      <c r="I260" s="334">
        <v>300</v>
      </c>
      <c r="J260" s="335"/>
      <c r="K260" s="336" t="s">
        <v>661</v>
      </c>
      <c r="M260" s="1354"/>
      <c r="N260" s="106"/>
      <c r="O260" s="106"/>
      <c r="P260" s="131"/>
      <c r="R260" s="1354"/>
      <c r="S260" s="106"/>
      <c r="T260" s="106"/>
      <c r="U260" s="131"/>
      <c r="V260" s="105" t="s">
        <v>182</v>
      </c>
      <c r="W260" s="334">
        <v>6880</v>
      </c>
      <c r="X260" s="133">
        <v>60</v>
      </c>
      <c r="Y260" s="122" t="s">
        <v>183</v>
      </c>
      <c r="Z260" s="105" t="s">
        <v>182</v>
      </c>
      <c r="AA260" s="345">
        <v>48220</v>
      </c>
      <c r="AB260" s="134" t="s">
        <v>182</v>
      </c>
      <c r="AC260" s="134">
        <v>480</v>
      </c>
      <c r="AD260" s="135" t="s">
        <v>184</v>
      </c>
      <c r="AE260" s="105" t="s">
        <v>182</v>
      </c>
      <c r="AF260" s="345">
        <v>41340</v>
      </c>
      <c r="AG260" s="134" t="s">
        <v>182</v>
      </c>
      <c r="AH260" s="134">
        <v>410</v>
      </c>
      <c r="AI260" s="135" t="s">
        <v>184</v>
      </c>
      <c r="AK260" s="1357"/>
      <c r="AL260" s="106"/>
      <c r="AM260" s="106"/>
      <c r="AN260" s="131"/>
      <c r="AP260" s="348">
        <v>3930</v>
      </c>
      <c r="AQ260" s="106"/>
      <c r="AR260" s="106"/>
      <c r="AS260" s="131"/>
      <c r="AU260" s="1354"/>
      <c r="AV260" s="106"/>
      <c r="AW260" s="106"/>
      <c r="AX260" s="131"/>
      <c r="AZ260" s="353" t="s">
        <v>766</v>
      </c>
      <c r="BA260" s="1355"/>
      <c r="BB260" s="136" t="s">
        <v>767</v>
      </c>
      <c r="BC260" s="1355"/>
      <c r="BD260" s="353" t="s">
        <v>766</v>
      </c>
      <c r="BE260" s="1355"/>
      <c r="BF260" s="353" t="s">
        <v>663</v>
      </c>
      <c r="BH260" s="140">
        <v>4660</v>
      </c>
      <c r="BJ260" s="130" t="s">
        <v>785</v>
      </c>
      <c r="BL260" s="132"/>
      <c r="BM260" s="153"/>
      <c r="BN260" s="153"/>
      <c r="BO260" s="154"/>
      <c r="BQ260" s="132"/>
      <c r="BR260" s="153"/>
      <c r="BS260" s="153"/>
      <c r="BT260" s="153"/>
      <c r="BU260" s="154"/>
      <c r="BW260" s="109"/>
      <c r="BX260" s="146"/>
      <c r="BY260" s="146"/>
      <c r="BZ260" s="146"/>
      <c r="CA260" s="147"/>
      <c r="CC260" s="152">
        <v>0.91</v>
      </c>
    </row>
    <row r="261" spans="1:81" ht="75">
      <c r="A261" s="1403"/>
      <c r="B261" s="129" t="s">
        <v>208</v>
      </c>
      <c r="C261" s="130" t="s">
        <v>180</v>
      </c>
      <c r="D261" s="122" t="s">
        <v>181</v>
      </c>
      <c r="F261" s="327">
        <v>24300</v>
      </c>
      <c r="G261" s="328">
        <v>31180</v>
      </c>
      <c r="H261" s="105" t="s">
        <v>182</v>
      </c>
      <c r="I261" s="329">
        <v>220</v>
      </c>
      <c r="J261" s="330">
        <v>290</v>
      </c>
      <c r="K261" s="331" t="s">
        <v>661</v>
      </c>
      <c r="L261" s="105" t="s">
        <v>182</v>
      </c>
      <c r="M261" s="1353">
        <v>780</v>
      </c>
      <c r="N261" s="123" t="s">
        <v>182</v>
      </c>
      <c r="O261" s="123">
        <v>7</v>
      </c>
      <c r="P261" s="124" t="s">
        <v>184</v>
      </c>
      <c r="Q261" s="105" t="s">
        <v>182</v>
      </c>
      <c r="R261" s="1353">
        <v>3440</v>
      </c>
      <c r="S261" s="123" t="s">
        <v>182</v>
      </c>
      <c r="T261" s="123">
        <v>30</v>
      </c>
      <c r="U261" s="124" t="s">
        <v>184</v>
      </c>
      <c r="V261" s="105" t="s">
        <v>182</v>
      </c>
      <c r="W261" s="342">
        <v>6880</v>
      </c>
      <c r="X261" s="126">
        <v>60</v>
      </c>
      <c r="Y261" s="122" t="s">
        <v>183</v>
      </c>
      <c r="AA261" s="344"/>
      <c r="AF261" s="344" t="s">
        <v>185</v>
      </c>
      <c r="AJ261" s="105" t="s">
        <v>182</v>
      </c>
      <c r="AK261" s="1356" t="s">
        <v>188</v>
      </c>
      <c r="AL261" s="106" t="s">
        <v>182</v>
      </c>
      <c r="AM261" s="106" t="s">
        <v>188</v>
      </c>
      <c r="AN261" s="131"/>
      <c r="AP261" s="349" t="s">
        <v>209</v>
      </c>
      <c r="AQ261" s="106" t="s">
        <v>182</v>
      </c>
      <c r="AR261" s="106">
        <v>30</v>
      </c>
      <c r="AS261" s="131" t="s">
        <v>187</v>
      </c>
      <c r="AT261" s="105" t="s">
        <v>182</v>
      </c>
      <c r="AU261" s="1353">
        <v>650</v>
      </c>
      <c r="AV261" s="123" t="s">
        <v>182</v>
      </c>
      <c r="AW261" s="123">
        <v>6</v>
      </c>
      <c r="AX261" s="124" t="s">
        <v>184</v>
      </c>
      <c r="AY261" s="105" t="s">
        <v>182</v>
      </c>
      <c r="AZ261" s="352">
        <v>410</v>
      </c>
      <c r="BA261" s="1355" t="s">
        <v>664</v>
      </c>
      <c r="BB261" s="127">
        <v>4</v>
      </c>
      <c r="BC261" s="1355" t="s">
        <v>664</v>
      </c>
      <c r="BD261" s="352">
        <v>70</v>
      </c>
      <c r="BE261" s="1355" t="s">
        <v>664</v>
      </c>
      <c r="BF261" s="352">
        <v>1</v>
      </c>
      <c r="BH261" s="139" t="s">
        <v>776</v>
      </c>
      <c r="BI261" s="2" t="s">
        <v>182</v>
      </c>
      <c r="BJ261" s="121">
        <v>235</v>
      </c>
      <c r="BK261" s="105" t="s">
        <v>188</v>
      </c>
      <c r="BL261" s="125">
        <v>930</v>
      </c>
      <c r="BM261" s="150" t="s">
        <v>189</v>
      </c>
      <c r="BN261" s="150">
        <v>9</v>
      </c>
      <c r="BO261" s="151" t="s">
        <v>184</v>
      </c>
      <c r="BP261" s="105" t="s">
        <v>188</v>
      </c>
      <c r="BQ261" s="125">
        <v>3440</v>
      </c>
      <c r="BR261" s="150" t="s">
        <v>189</v>
      </c>
      <c r="BS261" s="150">
        <v>30</v>
      </c>
      <c r="BT261" s="150" t="s">
        <v>184</v>
      </c>
      <c r="BU261" s="151" t="s">
        <v>190</v>
      </c>
      <c r="BV261" s="105" t="s">
        <v>188</v>
      </c>
      <c r="BW261" s="132">
        <v>2440</v>
      </c>
      <c r="BX261" s="153" t="s">
        <v>189</v>
      </c>
      <c r="BY261" s="153">
        <v>20</v>
      </c>
      <c r="BZ261" s="153" t="s">
        <v>184</v>
      </c>
      <c r="CA261" s="154" t="s">
        <v>190</v>
      </c>
      <c r="CC261" s="152" t="s">
        <v>191</v>
      </c>
    </row>
    <row r="262" spans="1:81" ht="37.5">
      <c r="A262" s="1403"/>
      <c r="B262" s="129"/>
      <c r="C262" s="130"/>
      <c r="D262" s="122" t="s">
        <v>192</v>
      </c>
      <c r="F262" s="332">
        <v>31180</v>
      </c>
      <c r="G262" s="333"/>
      <c r="H262" s="105" t="s">
        <v>182</v>
      </c>
      <c r="I262" s="334">
        <v>290</v>
      </c>
      <c r="J262" s="335"/>
      <c r="K262" s="336" t="s">
        <v>661</v>
      </c>
      <c r="M262" s="1354"/>
      <c r="N262" s="310"/>
      <c r="O262" s="310"/>
      <c r="P262" s="311"/>
      <c r="R262" s="1354"/>
      <c r="S262" s="310"/>
      <c r="T262" s="310"/>
      <c r="U262" s="311"/>
      <c r="V262" s="105" t="s">
        <v>182</v>
      </c>
      <c r="W262" s="334">
        <v>6880</v>
      </c>
      <c r="X262" s="133">
        <v>60</v>
      </c>
      <c r="Y262" s="122" t="s">
        <v>183</v>
      </c>
      <c r="Z262" s="105" t="s">
        <v>182</v>
      </c>
      <c r="AA262" s="345">
        <v>48220</v>
      </c>
      <c r="AB262" s="134" t="s">
        <v>182</v>
      </c>
      <c r="AC262" s="134">
        <v>480</v>
      </c>
      <c r="AD262" s="135" t="s">
        <v>184</v>
      </c>
      <c r="AE262" s="105" t="s">
        <v>182</v>
      </c>
      <c r="AF262" s="345">
        <v>41340</v>
      </c>
      <c r="AG262" s="134" t="s">
        <v>182</v>
      </c>
      <c r="AH262" s="134">
        <v>410</v>
      </c>
      <c r="AI262" s="135" t="s">
        <v>184</v>
      </c>
      <c r="AK262" s="1357"/>
      <c r="AL262" s="110"/>
      <c r="AM262" s="110"/>
      <c r="AN262" s="108"/>
      <c r="AP262" s="348">
        <v>3440</v>
      </c>
      <c r="AQ262" s="106"/>
      <c r="AR262" s="106"/>
      <c r="AS262" s="131"/>
      <c r="AU262" s="1354"/>
      <c r="AV262" s="110"/>
      <c r="AW262" s="110"/>
      <c r="AX262" s="108"/>
      <c r="AZ262" s="353" t="s">
        <v>766</v>
      </c>
      <c r="BA262" s="1355"/>
      <c r="BB262" s="136" t="s">
        <v>767</v>
      </c>
      <c r="BC262" s="1355"/>
      <c r="BD262" s="353" t="s">
        <v>766</v>
      </c>
      <c r="BE262" s="1355"/>
      <c r="BF262" s="353" t="s">
        <v>663</v>
      </c>
      <c r="BH262" s="140">
        <v>4250</v>
      </c>
      <c r="BJ262" s="104" t="s">
        <v>785</v>
      </c>
      <c r="BL262" s="109"/>
      <c r="BM262" s="146"/>
      <c r="BN262" s="146"/>
      <c r="BO262" s="147"/>
      <c r="BQ262" s="109"/>
      <c r="BR262" s="146"/>
      <c r="BS262" s="146"/>
      <c r="BT262" s="146"/>
      <c r="BU262" s="147"/>
      <c r="BW262" s="132"/>
      <c r="BX262" s="153"/>
      <c r="BY262" s="153"/>
      <c r="BZ262" s="153"/>
      <c r="CA262" s="154"/>
      <c r="CC262" s="152">
        <v>0.92</v>
      </c>
    </row>
    <row r="263" spans="1:81" ht="75">
      <c r="A263" s="1403"/>
      <c r="B263" s="120" t="s">
        <v>210</v>
      </c>
      <c r="C263" s="121" t="s">
        <v>180</v>
      </c>
      <c r="D263" s="122" t="s">
        <v>181</v>
      </c>
      <c r="F263" s="327">
        <v>23600</v>
      </c>
      <c r="G263" s="328">
        <v>30480</v>
      </c>
      <c r="H263" s="105" t="s">
        <v>182</v>
      </c>
      <c r="I263" s="329">
        <v>210</v>
      </c>
      <c r="J263" s="330">
        <v>280</v>
      </c>
      <c r="K263" s="331" t="s">
        <v>661</v>
      </c>
      <c r="L263" s="105" t="s">
        <v>182</v>
      </c>
      <c r="M263" s="1353">
        <v>690</v>
      </c>
      <c r="N263" s="106" t="s">
        <v>182</v>
      </c>
      <c r="O263" s="106">
        <v>6</v>
      </c>
      <c r="P263" s="131" t="s">
        <v>184</v>
      </c>
      <c r="Q263" s="105" t="s">
        <v>182</v>
      </c>
      <c r="R263" s="1353">
        <v>3060</v>
      </c>
      <c r="S263" s="106" t="s">
        <v>182</v>
      </c>
      <c r="T263" s="106">
        <v>30</v>
      </c>
      <c r="U263" s="131" t="s">
        <v>184</v>
      </c>
      <c r="V263" s="105" t="s">
        <v>182</v>
      </c>
      <c r="W263" s="342">
        <v>6880</v>
      </c>
      <c r="X263" s="126">
        <v>60</v>
      </c>
      <c r="Y263" s="122" t="s">
        <v>183</v>
      </c>
      <c r="AA263" s="344"/>
      <c r="AF263" s="344" t="s">
        <v>185</v>
      </c>
      <c r="AJ263" s="105" t="s">
        <v>182</v>
      </c>
      <c r="AK263" s="1356">
        <v>640</v>
      </c>
      <c r="AL263" s="106" t="s">
        <v>182</v>
      </c>
      <c r="AM263" s="106">
        <v>6</v>
      </c>
      <c r="AN263" s="131" t="s">
        <v>184</v>
      </c>
      <c r="AP263" s="349" t="s">
        <v>211</v>
      </c>
      <c r="AQ263" s="106" t="s">
        <v>182</v>
      </c>
      <c r="AR263" s="106">
        <v>30</v>
      </c>
      <c r="AS263" s="131" t="s">
        <v>187</v>
      </c>
      <c r="AT263" s="105" t="s">
        <v>182</v>
      </c>
      <c r="AU263" s="1353">
        <v>570</v>
      </c>
      <c r="AV263" s="106" t="s">
        <v>182</v>
      </c>
      <c r="AW263" s="106">
        <v>5</v>
      </c>
      <c r="AX263" s="131" t="s">
        <v>184</v>
      </c>
      <c r="AY263" s="105" t="s">
        <v>182</v>
      </c>
      <c r="AZ263" s="352">
        <v>370</v>
      </c>
      <c r="BA263" s="1355" t="s">
        <v>664</v>
      </c>
      <c r="BB263" s="127">
        <v>3</v>
      </c>
      <c r="BC263" s="1355" t="s">
        <v>664</v>
      </c>
      <c r="BD263" s="352">
        <v>60</v>
      </c>
      <c r="BE263" s="1355" t="s">
        <v>664</v>
      </c>
      <c r="BF263" s="352">
        <v>1</v>
      </c>
      <c r="BH263" s="139" t="s">
        <v>777</v>
      </c>
      <c r="BI263" s="2" t="s">
        <v>182</v>
      </c>
      <c r="BJ263" s="130">
        <v>235</v>
      </c>
      <c r="BK263" s="105" t="s">
        <v>188</v>
      </c>
      <c r="BL263" s="132">
        <v>830</v>
      </c>
      <c r="BM263" s="153" t="s">
        <v>189</v>
      </c>
      <c r="BN263" s="153">
        <v>8</v>
      </c>
      <c r="BO263" s="154" t="s">
        <v>184</v>
      </c>
      <c r="BP263" s="105" t="s">
        <v>188</v>
      </c>
      <c r="BQ263" s="132">
        <v>3060</v>
      </c>
      <c r="BR263" s="153" t="s">
        <v>189</v>
      </c>
      <c r="BS263" s="153">
        <v>30</v>
      </c>
      <c r="BT263" s="153" t="s">
        <v>184</v>
      </c>
      <c r="BU263" s="154" t="s">
        <v>190</v>
      </c>
      <c r="BV263" s="105" t="s">
        <v>188</v>
      </c>
      <c r="BW263" s="125">
        <v>2170</v>
      </c>
      <c r="BX263" s="150" t="s">
        <v>189</v>
      </c>
      <c r="BY263" s="150">
        <v>20</v>
      </c>
      <c r="BZ263" s="150" t="s">
        <v>184</v>
      </c>
      <c r="CA263" s="151" t="s">
        <v>190</v>
      </c>
      <c r="CC263" s="152" t="s">
        <v>191</v>
      </c>
    </row>
    <row r="264" spans="1:81" ht="37.5">
      <c r="A264" s="1403"/>
      <c r="B264" s="103"/>
      <c r="C264" s="104"/>
      <c r="D264" s="122" t="s">
        <v>192</v>
      </c>
      <c r="F264" s="332">
        <v>30480</v>
      </c>
      <c r="G264" s="333"/>
      <c r="H264" s="105" t="s">
        <v>182</v>
      </c>
      <c r="I264" s="334">
        <v>280</v>
      </c>
      <c r="J264" s="335"/>
      <c r="K264" s="336" t="s">
        <v>661</v>
      </c>
      <c r="M264" s="1354"/>
      <c r="N264" s="106"/>
      <c r="O264" s="106"/>
      <c r="P264" s="131"/>
      <c r="R264" s="1354"/>
      <c r="S264" s="106"/>
      <c r="T264" s="106"/>
      <c r="U264" s="131"/>
      <c r="V264" s="105" t="s">
        <v>182</v>
      </c>
      <c r="W264" s="334">
        <v>6880</v>
      </c>
      <c r="X264" s="133">
        <v>60</v>
      </c>
      <c r="Y264" s="122" t="s">
        <v>183</v>
      </c>
      <c r="Z264" s="105" t="s">
        <v>182</v>
      </c>
      <c r="AA264" s="345">
        <v>48220</v>
      </c>
      <c r="AB264" s="134" t="s">
        <v>182</v>
      </c>
      <c r="AC264" s="134">
        <v>480</v>
      </c>
      <c r="AD264" s="135" t="s">
        <v>184</v>
      </c>
      <c r="AE264" s="105" t="s">
        <v>182</v>
      </c>
      <c r="AF264" s="345">
        <v>41340</v>
      </c>
      <c r="AG264" s="134" t="s">
        <v>182</v>
      </c>
      <c r="AH264" s="134">
        <v>410</v>
      </c>
      <c r="AI264" s="135" t="s">
        <v>184</v>
      </c>
      <c r="AK264" s="1357"/>
      <c r="AL264" s="106"/>
      <c r="AM264" s="106"/>
      <c r="AN264" s="131"/>
      <c r="AP264" s="348">
        <v>3060</v>
      </c>
      <c r="AQ264" s="106"/>
      <c r="AR264" s="106"/>
      <c r="AS264" s="131"/>
      <c r="AU264" s="1354"/>
      <c r="AV264" s="106"/>
      <c r="AW264" s="106"/>
      <c r="AX264" s="131"/>
      <c r="AZ264" s="353" t="s">
        <v>766</v>
      </c>
      <c r="BA264" s="1355"/>
      <c r="BB264" s="136" t="s">
        <v>767</v>
      </c>
      <c r="BC264" s="1355"/>
      <c r="BD264" s="353" t="s">
        <v>766</v>
      </c>
      <c r="BE264" s="1355"/>
      <c r="BF264" s="353" t="s">
        <v>663</v>
      </c>
      <c r="BH264" s="140">
        <v>3920</v>
      </c>
      <c r="BJ264" s="130" t="s">
        <v>785</v>
      </c>
      <c r="BL264" s="132"/>
      <c r="BM264" s="153"/>
      <c r="BN264" s="153"/>
      <c r="BO264" s="154"/>
      <c r="BQ264" s="132"/>
      <c r="BR264" s="153"/>
      <c r="BS264" s="153"/>
      <c r="BT264" s="153"/>
      <c r="BU264" s="154"/>
      <c r="BW264" s="109"/>
      <c r="BX264" s="146"/>
      <c r="BY264" s="146"/>
      <c r="BZ264" s="146"/>
      <c r="CA264" s="147"/>
      <c r="CC264" s="152">
        <v>0.96</v>
      </c>
    </row>
    <row r="265" spans="1:81" ht="75">
      <c r="A265" s="1403"/>
      <c r="B265" s="129" t="s">
        <v>212</v>
      </c>
      <c r="C265" s="130" t="s">
        <v>180</v>
      </c>
      <c r="D265" s="122" t="s">
        <v>181</v>
      </c>
      <c r="F265" s="327">
        <v>23070</v>
      </c>
      <c r="G265" s="328">
        <v>29950</v>
      </c>
      <c r="H265" s="105" t="s">
        <v>182</v>
      </c>
      <c r="I265" s="329">
        <v>210</v>
      </c>
      <c r="J265" s="330">
        <v>280</v>
      </c>
      <c r="K265" s="331" t="s">
        <v>661</v>
      </c>
      <c r="L265" s="105" t="s">
        <v>182</v>
      </c>
      <c r="M265" s="1353">
        <v>620</v>
      </c>
      <c r="N265" s="123" t="s">
        <v>182</v>
      </c>
      <c r="O265" s="123">
        <v>6</v>
      </c>
      <c r="P265" s="124" t="s">
        <v>184</v>
      </c>
      <c r="Q265" s="105" t="s">
        <v>182</v>
      </c>
      <c r="R265" s="1353">
        <v>2750</v>
      </c>
      <c r="S265" s="123" t="s">
        <v>182</v>
      </c>
      <c r="T265" s="123">
        <v>20</v>
      </c>
      <c r="U265" s="124" t="s">
        <v>184</v>
      </c>
      <c r="V265" s="105" t="s">
        <v>182</v>
      </c>
      <c r="W265" s="342">
        <v>6880</v>
      </c>
      <c r="X265" s="126">
        <v>60</v>
      </c>
      <c r="Y265" s="122" t="s">
        <v>183</v>
      </c>
      <c r="AA265" s="344"/>
      <c r="AF265" s="344" t="s">
        <v>185</v>
      </c>
      <c r="AJ265" s="105" t="s">
        <v>182</v>
      </c>
      <c r="AK265" s="1356">
        <v>570</v>
      </c>
      <c r="AL265" s="123" t="s">
        <v>182</v>
      </c>
      <c r="AM265" s="123">
        <v>5</v>
      </c>
      <c r="AN265" s="124" t="s">
        <v>184</v>
      </c>
      <c r="AP265" s="349" t="s">
        <v>213</v>
      </c>
      <c r="AQ265" s="106" t="s">
        <v>182</v>
      </c>
      <c r="AR265" s="106">
        <v>20</v>
      </c>
      <c r="AS265" s="131" t="s">
        <v>187</v>
      </c>
      <c r="AT265" s="105" t="s">
        <v>182</v>
      </c>
      <c r="AU265" s="1353">
        <v>520</v>
      </c>
      <c r="AV265" s="123" t="s">
        <v>182</v>
      </c>
      <c r="AW265" s="123">
        <v>5</v>
      </c>
      <c r="AX265" s="124" t="s">
        <v>184</v>
      </c>
      <c r="AY265" s="105" t="s">
        <v>182</v>
      </c>
      <c r="AZ265" s="352">
        <v>350</v>
      </c>
      <c r="BA265" s="1355" t="s">
        <v>664</v>
      </c>
      <c r="BB265" s="127">
        <v>3</v>
      </c>
      <c r="BC265" s="1355" t="s">
        <v>664</v>
      </c>
      <c r="BD265" s="352">
        <v>60</v>
      </c>
      <c r="BE265" s="1355" t="s">
        <v>664</v>
      </c>
      <c r="BF265" s="352">
        <v>1</v>
      </c>
      <c r="BH265" s="139" t="s">
        <v>778</v>
      </c>
      <c r="BI265" s="2" t="s">
        <v>182</v>
      </c>
      <c r="BJ265" s="121">
        <v>235</v>
      </c>
      <c r="BK265" s="105" t="s">
        <v>188</v>
      </c>
      <c r="BL265" s="125">
        <v>750</v>
      </c>
      <c r="BM265" s="150" t="s">
        <v>189</v>
      </c>
      <c r="BN265" s="150">
        <v>8</v>
      </c>
      <c r="BO265" s="151" t="s">
        <v>184</v>
      </c>
      <c r="BP265" s="105" t="s">
        <v>188</v>
      </c>
      <c r="BQ265" s="125">
        <v>2750</v>
      </c>
      <c r="BR265" s="150" t="s">
        <v>189</v>
      </c>
      <c r="BS265" s="150">
        <v>20</v>
      </c>
      <c r="BT265" s="150" t="s">
        <v>184</v>
      </c>
      <c r="BU265" s="151" t="s">
        <v>190</v>
      </c>
      <c r="BV265" s="105" t="s">
        <v>188</v>
      </c>
      <c r="BW265" s="132">
        <v>1950</v>
      </c>
      <c r="BX265" s="153" t="s">
        <v>189</v>
      </c>
      <c r="BY265" s="153">
        <v>20</v>
      </c>
      <c r="BZ265" s="153" t="s">
        <v>184</v>
      </c>
      <c r="CA265" s="154" t="s">
        <v>190</v>
      </c>
      <c r="CC265" s="152" t="s">
        <v>191</v>
      </c>
    </row>
    <row r="266" spans="1:81" ht="37.5">
      <c r="A266" s="1403"/>
      <c r="B266" s="129"/>
      <c r="C266" s="130"/>
      <c r="D266" s="122" t="s">
        <v>192</v>
      </c>
      <c r="F266" s="332">
        <v>29950</v>
      </c>
      <c r="G266" s="333"/>
      <c r="H266" s="105" t="s">
        <v>182</v>
      </c>
      <c r="I266" s="334">
        <v>280</v>
      </c>
      <c r="J266" s="335"/>
      <c r="K266" s="336" t="s">
        <v>661</v>
      </c>
      <c r="M266" s="1354"/>
      <c r="N266" s="310"/>
      <c r="O266" s="310"/>
      <c r="P266" s="311"/>
      <c r="R266" s="1354"/>
      <c r="S266" s="310"/>
      <c r="T266" s="310"/>
      <c r="U266" s="311"/>
      <c r="V266" s="105" t="s">
        <v>182</v>
      </c>
      <c r="W266" s="334">
        <v>6880</v>
      </c>
      <c r="X266" s="133">
        <v>60</v>
      </c>
      <c r="Y266" s="122" t="s">
        <v>183</v>
      </c>
      <c r="Z266" s="105" t="s">
        <v>182</v>
      </c>
      <c r="AA266" s="345">
        <v>48220</v>
      </c>
      <c r="AB266" s="134" t="s">
        <v>182</v>
      </c>
      <c r="AC266" s="134">
        <v>480</v>
      </c>
      <c r="AD266" s="135" t="s">
        <v>184</v>
      </c>
      <c r="AE266" s="105" t="s">
        <v>182</v>
      </c>
      <c r="AF266" s="345">
        <v>41340</v>
      </c>
      <c r="AG266" s="134" t="s">
        <v>182</v>
      </c>
      <c r="AH266" s="134">
        <v>410</v>
      </c>
      <c r="AI266" s="135" t="s">
        <v>184</v>
      </c>
      <c r="AK266" s="1357"/>
      <c r="AL266" s="110"/>
      <c r="AM266" s="110"/>
      <c r="AN266" s="108"/>
      <c r="AP266" s="348">
        <v>2750</v>
      </c>
      <c r="AQ266" s="106"/>
      <c r="AR266" s="106"/>
      <c r="AS266" s="131"/>
      <c r="AU266" s="1354"/>
      <c r="AV266" s="110"/>
      <c r="AW266" s="110"/>
      <c r="AX266" s="108"/>
      <c r="AZ266" s="353" t="s">
        <v>766</v>
      </c>
      <c r="BA266" s="1355"/>
      <c r="BB266" s="136" t="s">
        <v>767</v>
      </c>
      <c r="BC266" s="1355"/>
      <c r="BD266" s="353" t="s">
        <v>766</v>
      </c>
      <c r="BE266" s="1355"/>
      <c r="BF266" s="353" t="s">
        <v>663</v>
      </c>
      <c r="BH266" s="140">
        <v>3660</v>
      </c>
      <c r="BJ266" s="104" t="s">
        <v>785</v>
      </c>
      <c r="BL266" s="109"/>
      <c r="BM266" s="146"/>
      <c r="BN266" s="146"/>
      <c r="BO266" s="147"/>
      <c r="BQ266" s="109"/>
      <c r="BR266" s="146"/>
      <c r="BS266" s="146"/>
      <c r="BT266" s="146"/>
      <c r="BU266" s="147"/>
      <c r="BW266" s="132"/>
      <c r="BX266" s="153"/>
      <c r="BY266" s="153"/>
      <c r="BZ266" s="153"/>
      <c r="CA266" s="154"/>
      <c r="CC266" s="152">
        <v>0.99</v>
      </c>
    </row>
    <row r="267" spans="1:81" ht="75">
      <c r="A267" s="1403"/>
      <c r="B267" s="120" t="s">
        <v>214</v>
      </c>
      <c r="C267" s="121" t="s">
        <v>180</v>
      </c>
      <c r="D267" s="122" t="s">
        <v>181</v>
      </c>
      <c r="F267" s="327">
        <v>22250</v>
      </c>
      <c r="G267" s="328">
        <v>29130</v>
      </c>
      <c r="H267" s="105" t="s">
        <v>182</v>
      </c>
      <c r="I267" s="329">
        <v>200</v>
      </c>
      <c r="J267" s="330">
        <v>270</v>
      </c>
      <c r="K267" s="331" t="s">
        <v>661</v>
      </c>
      <c r="L267" s="105" t="s">
        <v>182</v>
      </c>
      <c r="M267" s="1353">
        <v>520</v>
      </c>
      <c r="N267" s="106" t="s">
        <v>182</v>
      </c>
      <c r="O267" s="106">
        <v>5</v>
      </c>
      <c r="P267" s="131" t="s">
        <v>184</v>
      </c>
      <c r="Q267" s="105" t="s">
        <v>182</v>
      </c>
      <c r="R267" s="1353">
        <v>2290</v>
      </c>
      <c r="S267" s="106" t="s">
        <v>182</v>
      </c>
      <c r="T267" s="106">
        <v>20</v>
      </c>
      <c r="U267" s="131" t="s">
        <v>184</v>
      </c>
      <c r="V267" s="105" t="s">
        <v>182</v>
      </c>
      <c r="W267" s="342">
        <v>6880</v>
      </c>
      <c r="X267" s="126">
        <v>60</v>
      </c>
      <c r="Y267" s="122" t="s">
        <v>183</v>
      </c>
      <c r="AA267" s="344"/>
      <c r="AF267" s="344" t="s">
        <v>185</v>
      </c>
      <c r="AJ267" s="105" t="s">
        <v>182</v>
      </c>
      <c r="AK267" s="1356">
        <v>480</v>
      </c>
      <c r="AL267" s="106" t="s">
        <v>182</v>
      </c>
      <c r="AM267" s="106">
        <v>4</v>
      </c>
      <c r="AN267" s="131" t="s">
        <v>184</v>
      </c>
      <c r="AP267" s="349" t="s">
        <v>215</v>
      </c>
      <c r="AQ267" s="106" t="s">
        <v>182</v>
      </c>
      <c r="AR267" s="106">
        <v>20</v>
      </c>
      <c r="AS267" s="131" t="s">
        <v>187</v>
      </c>
      <c r="AT267" s="105" t="s">
        <v>182</v>
      </c>
      <c r="AU267" s="1353">
        <v>500</v>
      </c>
      <c r="AV267" s="106" t="s">
        <v>182</v>
      </c>
      <c r="AW267" s="106">
        <v>5</v>
      </c>
      <c r="AX267" s="131" t="s">
        <v>184</v>
      </c>
      <c r="AY267" s="105" t="s">
        <v>182</v>
      </c>
      <c r="AZ267" s="352">
        <v>300</v>
      </c>
      <c r="BA267" s="1355" t="s">
        <v>664</v>
      </c>
      <c r="BB267" s="127">
        <v>3</v>
      </c>
      <c r="BC267" s="1355" t="s">
        <v>664</v>
      </c>
      <c r="BD267" s="352">
        <v>50</v>
      </c>
      <c r="BE267" s="1355" t="s">
        <v>664</v>
      </c>
      <c r="BF267" s="352">
        <v>1</v>
      </c>
      <c r="BH267" s="139" t="s">
        <v>779</v>
      </c>
      <c r="BI267" s="2" t="s">
        <v>182</v>
      </c>
      <c r="BJ267" s="130">
        <v>235</v>
      </c>
      <c r="BK267" s="105" t="s">
        <v>188</v>
      </c>
      <c r="BL267" s="132">
        <v>620</v>
      </c>
      <c r="BM267" s="153" t="s">
        <v>189</v>
      </c>
      <c r="BN267" s="153">
        <v>6</v>
      </c>
      <c r="BO267" s="154" t="s">
        <v>184</v>
      </c>
      <c r="BP267" s="105" t="s">
        <v>188</v>
      </c>
      <c r="BQ267" s="132">
        <v>2290</v>
      </c>
      <c r="BR267" s="153" t="s">
        <v>189</v>
      </c>
      <c r="BS267" s="153">
        <v>20</v>
      </c>
      <c r="BT267" s="153" t="s">
        <v>184</v>
      </c>
      <c r="BU267" s="154" t="s">
        <v>190</v>
      </c>
      <c r="BV267" s="105" t="s">
        <v>188</v>
      </c>
      <c r="BW267" s="125">
        <v>1630</v>
      </c>
      <c r="BX267" s="150" t="s">
        <v>189</v>
      </c>
      <c r="BY267" s="150">
        <v>10</v>
      </c>
      <c r="BZ267" s="150" t="s">
        <v>184</v>
      </c>
      <c r="CA267" s="151" t="s">
        <v>190</v>
      </c>
      <c r="CC267" s="152" t="s">
        <v>191</v>
      </c>
    </row>
    <row r="268" spans="1:81" ht="37.5">
      <c r="A268" s="1403"/>
      <c r="B268" s="103"/>
      <c r="C268" s="104"/>
      <c r="D268" s="122" t="s">
        <v>192</v>
      </c>
      <c r="F268" s="332">
        <v>29130</v>
      </c>
      <c r="G268" s="333"/>
      <c r="H268" s="105" t="s">
        <v>182</v>
      </c>
      <c r="I268" s="334">
        <v>270</v>
      </c>
      <c r="J268" s="335"/>
      <c r="K268" s="336" t="s">
        <v>661</v>
      </c>
      <c r="M268" s="1354"/>
      <c r="N268" s="106"/>
      <c r="O268" s="106"/>
      <c r="P268" s="131"/>
      <c r="R268" s="1354"/>
      <c r="S268" s="106"/>
      <c r="T268" s="106"/>
      <c r="U268" s="131"/>
      <c r="V268" s="105" t="s">
        <v>182</v>
      </c>
      <c r="W268" s="334">
        <v>6880</v>
      </c>
      <c r="X268" s="133">
        <v>60</v>
      </c>
      <c r="Y268" s="122" t="s">
        <v>183</v>
      </c>
      <c r="Z268" s="105" t="s">
        <v>182</v>
      </c>
      <c r="AA268" s="345">
        <v>48220</v>
      </c>
      <c r="AB268" s="134" t="s">
        <v>182</v>
      </c>
      <c r="AC268" s="134">
        <v>480</v>
      </c>
      <c r="AD268" s="135" t="s">
        <v>184</v>
      </c>
      <c r="AE268" s="105" t="s">
        <v>182</v>
      </c>
      <c r="AF268" s="345">
        <v>41340</v>
      </c>
      <c r="AG268" s="134" t="s">
        <v>182</v>
      </c>
      <c r="AH268" s="134">
        <v>410</v>
      </c>
      <c r="AI268" s="135" t="s">
        <v>184</v>
      </c>
      <c r="AK268" s="1357"/>
      <c r="AL268" s="106"/>
      <c r="AM268" s="106"/>
      <c r="AN268" s="131"/>
      <c r="AP268" s="348">
        <v>2290</v>
      </c>
      <c r="AQ268" s="106"/>
      <c r="AR268" s="106"/>
      <c r="AS268" s="131"/>
      <c r="AU268" s="1354"/>
      <c r="AV268" s="106"/>
      <c r="AW268" s="106"/>
      <c r="AX268" s="131"/>
      <c r="AZ268" s="353" t="s">
        <v>766</v>
      </c>
      <c r="BA268" s="1355"/>
      <c r="BB268" s="136" t="s">
        <v>767</v>
      </c>
      <c r="BC268" s="1355"/>
      <c r="BD268" s="353" t="s">
        <v>766</v>
      </c>
      <c r="BE268" s="1355"/>
      <c r="BF268" s="353" t="s">
        <v>663</v>
      </c>
      <c r="BH268" s="140">
        <v>3160</v>
      </c>
      <c r="BJ268" s="130" t="s">
        <v>785</v>
      </c>
      <c r="BL268" s="132"/>
      <c r="BM268" s="153"/>
      <c r="BN268" s="153"/>
      <c r="BO268" s="154"/>
      <c r="BQ268" s="132"/>
      <c r="BR268" s="153"/>
      <c r="BS268" s="153"/>
      <c r="BT268" s="153"/>
      <c r="BU268" s="154"/>
      <c r="BW268" s="109"/>
      <c r="BX268" s="146"/>
      <c r="BY268" s="146"/>
      <c r="BZ268" s="146"/>
      <c r="CA268" s="147"/>
      <c r="CC268" s="152">
        <v>0.92</v>
      </c>
    </row>
    <row r="269" spans="1:81" ht="75">
      <c r="A269" s="1403"/>
      <c r="B269" s="129" t="s">
        <v>216</v>
      </c>
      <c r="C269" s="130" t="s">
        <v>180</v>
      </c>
      <c r="D269" s="122" t="s">
        <v>181</v>
      </c>
      <c r="F269" s="327">
        <v>21640</v>
      </c>
      <c r="G269" s="328">
        <v>28520</v>
      </c>
      <c r="H269" s="105" t="s">
        <v>182</v>
      </c>
      <c r="I269" s="329">
        <v>190</v>
      </c>
      <c r="J269" s="330">
        <v>260</v>
      </c>
      <c r="K269" s="331" t="s">
        <v>661</v>
      </c>
      <c r="L269" s="105" t="s">
        <v>182</v>
      </c>
      <c r="M269" s="1353">
        <v>440</v>
      </c>
      <c r="N269" s="123" t="s">
        <v>182</v>
      </c>
      <c r="O269" s="123">
        <v>4</v>
      </c>
      <c r="P269" s="124" t="s">
        <v>184</v>
      </c>
      <c r="Q269" s="105" t="s">
        <v>182</v>
      </c>
      <c r="R269" s="1353">
        <v>1960</v>
      </c>
      <c r="S269" s="123" t="s">
        <v>182</v>
      </c>
      <c r="T269" s="123">
        <v>10</v>
      </c>
      <c r="U269" s="124" t="s">
        <v>184</v>
      </c>
      <c r="V269" s="105" t="s">
        <v>182</v>
      </c>
      <c r="W269" s="342">
        <v>6880</v>
      </c>
      <c r="X269" s="126">
        <v>60</v>
      </c>
      <c r="Y269" s="122" t="s">
        <v>183</v>
      </c>
      <c r="AA269" s="344"/>
      <c r="AF269" s="344" t="s">
        <v>185</v>
      </c>
      <c r="AJ269" s="105" t="s">
        <v>182</v>
      </c>
      <c r="AK269" s="1356">
        <v>410</v>
      </c>
      <c r="AL269" s="123" t="s">
        <v>182</v>
      </c>
      <c r="AM269" s="123">
        <v>4</v>
      </c>
      <c r="AN269" s="124" t="s">
        <v>184</v>
      </c>
      <c r="AP269" s="349" t="s">
        <v>217</v>
      </c>
      <c r="AQ269" s="106" t="s">
        <v>182</v>
      </c>
      <c r="AR269" s="106">
        <v>10</v>
      </c>
      <c r="AS269" s="131" t="s">
        <v>187</v>
      </c>
      <c r="AT269" s="105" t="s">
        <v>182</v>
      </c>
      <c r="AU269" s="1353">
        <v>500</v>
      </c>
      <c r="AV269" s="123" t="s">
        <v>182</v>
      </c>
      <c r="AW269" s="123">
        <v>5</v>
      </c>
      <c r="AX269" s="124" t="s">
        <v>184</v>
      </c>
      <c r="AY269" s="105" t="s">
        <v>182</v>
      </c>
      <c r="AZ269" s="352">
        <v>270</v>
      </c>
      <c r="BA269" s="1355" t="s">
        <v>664</v>
      </c>
      <c r="BB269" s="127">
        <v>2</v>
      </c>
      <c r="BC269" s="1355" t="s">
        <v>664</v>
      </c>
      <c r="BD269" s="352">
        <v>40</v>
      </c>
      <c r="BE269" s="1355" t="s">
        <v>664</v>
      </c>
      <c r="BF269" s="352">
        <v>1</v>
      </c>
      <c r="BH269" s="139" t="s">
        <v>780</v>
      </c>
      <c r="BI269" s="2" t="s">
        <v>182</v>
      </c>
      <c r="BJ269" s="121">
        <v>235</v>
      </c>
      <c r="BK269" s="105" t="s">
        <v>188</v>
      </c>
      <c r="BL269" s="125">
        <v>530</v>
      </c>
      <c r="BM269" s="150" t="s">
        <v>189</v>
      </c>
      <c r="BN269" s="150">
        <v>5</v>
      </c>
      <c r="BO269" s="151" t="s">
        <v>184</v>
      </c>
      <c r="BP269" s="105" t="s">
        <v>188</v>
      </c>
      <c r="BQ269" s="125">
        <v>1960</v>
      </c>
      <c r="BR269" s="150" t="s">
        <v>189</v>
      </c>
      <c r="BS269" s="150">
        <v>20</v>
      </c>
      <c r="BT269" s="150" t="s">
        <v>184</v>
      </c>
      <c r="BU269" s="151" t="s">
        <v>190</v>
      </c>
      <c r="BV269" s="105" t="s">
        <v>188</v>
      </c>
      <c r="BW269" s="132">
        <v>1390</v>
      </c>
      <c r="BX269" s="153" t="s">
        <v>189</v>
      </c>
      <c r="BY269" s="153">
        <v>10</v>
      </c>
      <c r="BZ269" s="153" t="s">
        <v>184</v>
      </c>
      <c r="CA269" s="154" t="s">
        <v>190</v>
      </c>
      <c r="CC269" s="152" t="s">
        <v>191</v>
      </c>
    </row>
    <row r="270" spans="1:81" ht="37.5">
      <c r="A270" s="1403"/>
      <c r="B270" s="129"/>
      <c r="C270" s="130"/>
      <c r="D270" s="122" t="s">
        <v>192</v>
      </c>
      <c r="F270" s="332">
        <v>28520</v>
      </c>
      <c r="G270" s="333"/>
      <c r="H270" s="105" t="s">
        <v>182</v>
      </c>
      <c r="I270" s="334">
        <v>260</v>
      </c>
      <c r="J270" s="335"/>
      <c r="K270" s="336" t="s">
        <v>661</v>
      </c>
      <c r="M270" s="1354"/>
      <c r="N270" s="310"/>
      <c r="O270" s="310"/>
      <c r="P270" s="311"/>
      <c r="R270" s="1354"/>
      <c r="S270" s="310"/>
      <c r="T270" s="310"/>
      <c r="U270" s="311"/>
      <c r="V270" s="105" t="s">
        <v>182</v>
      </c>
      <c r="W270" s="334">
        <v>6880</v>
      </c>
      <c r="X270" s="133">
        <v>60</v>
      </c>
      <c r="Y270" s="122" t="s">
        <v>183</v>
      </c>
      <c r="Z270" s="105" t="s">
        <v>182</v>
      </c>
      <c r="AA270" s="345">
        <v>48220</v>
      </c>
      <c r="AB270" s="134" t="s">
        <v>182</v>
      </c>
      <c r="AC270" s="134">
        <v>480</v>
      </c>
      <c r="AD270" s="135" t="s">
        <v>184</v>
      </c>
      <c r="AE270" s="105" t="s">
        <v>182</v>
      </c>
      <c r="AF270" s="345">
        <v>41340</v>
      </c>
      <c r="AG270" s="134" t="s">
        <v>182</v>
      </c>
      <c r="AH270" s="134">
        <v>410</v>
      </c>
      <c r="AI270" s="135" t="s">
        <v>184</v>
      </c>
      <c r="AK270" s="1357"/>
      <c r="AL270" s="110"/>
      <c r="AM270" s="110"/>
      <c r="AN270" s="108"/>
      <c r="AP270" s="348">
        <v>1960</v>
      </c>
      <c r="AQ270" s="106"/>
      <c r="AR270" s="106"/>
      <c r="AS270" s="131"/>
      <c r="AU270" s="1354"/>
      <c r="AV270" s="110"/>
      <c r="AW270" s="110"/>
      <c r="AX270" s="108"/>
      <c r="AZ270" s="353" t="s">
        <v>766</v>
      </c>
      <c r="BA270" s="1355"/>
      <c r="BB270" s="136" t="s">
        <v>767</v>
      </c>
      <c r="BC270" s="1355"/>
      <c r="BD270" s="353" t="s">
        <v>766</v>
      </c>
      <c r="BE270" s="1355"/>
      <c r="BF270" s="353" t="s">
        <v>663</v>
      </c>
      <c r="BH270" s="140">
        <v>2810</v>
      </c>
      <c r="BJ270" s="104" t="s">
        <v>785</v>
      </c>
      <c r="BL270" s="109"/>
      <c r="BM270" s="146"/>
      <c r="BN270" s="146"/>
      <c r="BO270" s="147"/>
      <c r="BQ270" s="109"/>
      <c r="BR270" s="146"/>
      <c r="BS270" s="146"/>
      <c r="BT270" s="146"/>
      <c r="BU270" s="147"/>
      <c r="BW270" s="132"/>
      <c r="BX270" s="153"/>
      <c r="BY270" s="153"/>
      <c r="BZ270" s="153"/>
      <c r="CA270" s="154"/>
      <c r="CC270" s="152">
        <v>0.95</v>
      </c>
    </row>
    <row r="271" spans="1:81" ht="75">
      <c r="A271" s="1403"/>
      <c r="B271" s="120" t="s">
        <v>218</v>
      </c>
      <c r="C271" s="121" t="s">
        <v>180</v>
      </c>
      <c r="D271" s="122" t="s">
        <v>181</v>
      </c>
      <c r="F271" s="327">
        <v>21210</v>
      </c>
      <c r="G271" s="328">
        <v>28090</v>
      </c>
      <c r="H271" s="105" t="s">
        <v>182</v>
      </c>
      <c r="I271" s="329">
        <v>190</v>
      </c>
      <c r="J271" s="330">
        <v>260</v>
      </c>
      <c r="K271" s="331" t="s">
        <v>661</v>
      </c>
      <c r="L271" s="105" t="s">
        <v>182</v>
      </c>
      <c r="M271" s="1353">
        <v>390</v>
      </c>
      <c r="N271" s="106" t="s">
        <v>182</v>
      </c>
      <c r="O271" s="106">
        <v>3</v>
      </c>
      <c r="P271" s="131" t="s">
        <v>184</v>
      </c>
      <c r="Q271" s="105" t="s">
        <v>182</v>
      </c>
      <c r="R271" s="1353">
        <v>1720</v>
      </c>
      <c r="S271" s="106" t="s">
        <v>182</v>
      </c>
      <c r="T271" s="106">
        <v>10</v>
      </c>
      <c r="U271" s="131" t="s">
        <v>184</v>
      </c>
      <c r="V271" s="105" t="s">
        <v>182</v>
      </c>
      <c r="W271" s="342">
        <v>6880</v>
      </c>
      <c r="X271" s="126">
        <v>60</v>
      </c>
      <c r="Y271" s="122" t="s">
        <v>183</v>
      </c>
      <c r="AA271" s="344"/>
      <c r="AF271" s="344" t="s">
        <v>185</v>
      </c>
      <c r="AJ271" s="105" t="s">
        <v>182</v>
      </c>
      <c r="AK271" s="1356">
        <v>360</v>
      </c>
      <c r="AL271" s="106" t="s">
        <v>182</v>
      </c>
      <c r="AM271" s="106">
        <v>3</v>
      </c>
      <c r="AN271" s="131" t="s">
        <v>184</v>
      </c>
      <c r="AP271" s="349" t="s">
        <v>219</v>
      </c>
      <c r="AQ271" s="106" t="s">
        <v>182</v>
      </c>
      <c r="AR271" s="106">
        <v>10</v>
      </c>
      <c r="AS271" s="131" t="s">
        <v>187</v>
      </c>
      <c r="AT271" s="105" t="s">
        <v>182</v>
      </c>
      <c r="AU271" s="1353">
        <v>500</v>
      </c>
      <c r="AV271" s="106" t="s">
        <v>182</v>
      </c>
      <c r="AW271" s="106">
        <v>5</v>
      </c>
      <c r="AX271" s="131" t="s">
        <v>184</v>
      </c>
      <c r="AY271" s="105" t="s">
        <v>182</v>
      </c>
      <c r="AZ271" s="352">
        <v>250</v>
      </c>
      <c r="BA271" s="1355" t="s">
        <v>664</v>
      </c>
      <c r="BB271" s="127">
        <v>2</v>
      </c>
      <c r="BC271" s="1355" t="s">
        <v>664</v>
      </c>
      <c r="BD271" s="352">
        <v>40</v>
      </c>
      <c r="BE271" s="1355" t="s">
        <v>664</v>
      </c>
      <c r="BF271" s="352">
        <v>1</v>
      </c>
      <c r="BH271" s="139" t="s">
        <v>781</v>
      </c>
      <c r="BI271" s="2" t="s">
        <v>182</v>
      </c>
      <c r="BJ271" s="130">
        <v>235</v>
      </c>
      <c r="BK271" s="105" t="s">
        <v>188</v>
      </c>
      <c r="BL271" s="132">
        <v>460</v>
      </c>
      <c r="BM271" s="153" t="s">
        <v>189</v>
      </c>
      <c r="BN271" s="153">
        <v>5</v>
      </c>
      <c r="BO271" s="154" t="s">
        <v>184</v>
      </c>
      <c r="BP271" s="105" t="s">
        <v>188</v>
      </c>
      <c r="BQ271" s="132">
        <v>1720</v>
      </c>
      <c r="BR271" s="153" t="s">
        <v>189</v>
      </c>
      <c r="BS271" s="153">
        <v>10</v>
      </c>
      <c r="BT271" s="153" t="s">
        <v>184</v>
      </c>
      <c r="BU271" s="154" t="s">
        <v>190</v>
      </c>
      <c r="BV271" s="105" t="s">
        <v>188</v>
      </c>
      <c r="BW271" s="125">
        <v>1220</v>
      </c>
      <c r="BX271" s="150" t="s">
        <v>189</v>
      </c>
      <c r="BY271" s="150">
        <v>10</v>
      </c>
      <c r="BZ271" s="150" t="s">
        <v>184</v>
      </c>
      <c r="CA271" s="151" t="s">
        <v>190</v>
      </c>
      <c r="CC271" s="152" t="s">
        <v>191</v>
      </c>
    </row>
    <row r="272" spans="1:81" ht="37.5">
      <c r="A272" s="1403"/>
      <c r="B272" s="103"/>
      <c r="C272" s="104"/>
      <c r="D272" s="122" t="s">
        <v>192</v>
      </c>
      <c r="F272" s="332">
        <v>28090</v>
      </c>
      <c r="G272" s="333"/>
      <c r="H272" s="105" t="s">
        <v>182</v>
      </c>
      <c r="I272" s="334">
        <v>260</v>
      </c>
      <c r="J272" s="335"/>
      <c r="K272" s="336" t="s">
        <v>661</v>
      </c>
      <c r="M272" s="1354"/>
      <c r="N272" s="106"/>
      <c r="O272" s="106"/>
      <c r="P272" s="131"/>
      <c r="R272" s="1354"/>
      <c r="S272" s="106"/>
      <c r="T272" s="106"/>
      <c r="U272" s="131"/>
      <c r="V272" s="105" t="s">
        <v>182</v>
      </c>
      <c r="W272" s="334">
        <v>6880</v>
      </c>
      <c r="X272" s="133">
        <v>60</v>
      </c>
      <c r="Y272" s="122" t="s">
        <v>183</v>
      </c>
      <c r="Z272" s="105" t="s">
        <v>182</v>
      </c>
      <c r="AA272" s="345">
        <v>48220</v>
      </c>
      <c r="AB272" s="134" t="s">
        <v>182</v>
      </c>
      <c r="AC272" s="134">
        <v>480</v>
      </c>
      <c r="AD272" s="135" t="s">
        <v>184</v>
      </c>
      <c r="AE272" s="105" t="s">
        <v>182</v>
      </c>
      <c r="AF272" s="345">
        <v>41340</v>
      </c>
      <c r="AG272" s="134" t="s">
        <v>182</v>
      </c>
      <c r="AH272" s="134">
        <v>410</v>
      </c>
      <c r="AI272" s="135" t="s">
        <v>184</v>
      </c>
      <c r="AK272" s="1357"/>
      <c r="AL272" s="106"/>
      <c r="AM272" s="106"/>
      <c r="AN272" s="131"/>
      <c r="AP272" s="348">
        <v>1720</v>
      </c>
      <c r="AQ272" s="106"/>
      <c r="AR272" s="106"/>
      <c r="AS272" s="131"/>
      <c r="AU272" s="1354"/>
      <c r="AV272" s="106"/>
      <c r="AW272" s="106"/>
      <c r="AX272" s="131"/>
      <c r="AZ272" s="353" t="s">
        <v>766</v>
      </c>
      <c r="BA272" s="1355"/>
      <c r="BB272" s="136" t="s">
        <v>767</v>
      </c>
      <c r="BC272" s="1355"/>
      <c r="BD272" s="353" t="s">
        <v>766</v>
      </c>
      <c r="BE272" s="1355"/>
      <c r="BF272" s="353" t="s">
        <v>663</v>
      </c>
      <c r="BH272" s="140">
        <v>2540</v>
      </c>
      <c r="BJ272" s="130" t="s">
        <v>785</v>
      </c>
      <c r="BL272" s="132"/>
      <c r="BM272" s="153"/>
      <c r="BN272" s="153"/>
      <c r="BO272" s="154"/>
      <c r="BQ272" s="132"/>
      <c r="BR272" s="153"/>
      <c r="BS272" s="153"/>
      <c r="BT272" s="153"/>
      <c r="BU272" s="154"/>
      <c r="BW272" s="109"/>
      <c r="BX272" s="146"/>
      <c r="BY272" s="146"/>
      <c r="BZ272" s="146"/>
      <c r="CA272" s="147"/>
      <c r="CC272" s="152">
        <v>0.99</v>
      </c>
    </row>
    <row r="273" spans="1:81" ht="75">
      <c r="A273" s="1403"/>
      <c r="B273" s="129" t="s">
        <v>220</v>
      </c>
      <c r="C273" s="130" t="s">
        <v>180</v>
      </c>
      <c r="D273" s="122" t="s">
        <v>181</v>
      </c>
      <c r="F273" s="327">
        <v>20870</v>
      </c>
      <c r="G273" s="328">
        <v>27750</v>
      </c>
      <c r="H273" s="105" t="s">
        <v>182</v>
      </c>
      <c r="I273" s="329">
        <v>190</v>
      </c>
      <c r="J273" s="330">
        <v>260</v>
      </c>
      <c r="K273" s="331" t="s">
        <v>661</v>
      </c>
      <c r="L273" s="105" t="s">
        <v>182</v>
      </c>
      <c r="M273" s="1353">
        <v>340</v>
      </c>
      <c r="N273" s="123" t="s">
        <v>182</v>
      </c>
      <c r="O273" s="123">
        <v>3</v>
      </c>
      <c r="P273" s="124" t="s">
        <v>184</v>
      </c>
      <c r="Q273" s="105" t="s">
        <v>182</v>
      </c>
      <c r="R273" s="1353">
        <v>1530</v>
      </c>
      <c r="S273" s="123" t="s">
        <v>182</v>
      </c>
      <c r="T273" s="123">
        <v>10</v>
      </c>
      <c r="U273" s="124" t="s">
        <v>184</v>
      </c>
      <c r="V273" s="105" t="s">
        <v>182</v>
      </c>
      <c r="W273" s="342">
        <v>6880</v>
      </c>
      <c r="X273" s="126">
        <v>60</v>
      </c>
      <c r="Y273" s="122" t="s">
        <v>183</v>
      </c>
      <c r="AA273" s="344"/>
      <c r="AF273" s="344" t="s">
        <v>185</v>
      </c>
      <c r="AJ273" s="105" t="s">
        <v>182</v>
      </c>
      <c r="AK273" s="1356">
        <v>320</v>
      </c>
      <c r="AL273" s="123" t="s">
        <v>182</v>
      </c>
      <c r="AM273" s="123">
        <v>3</v>
      </c>
      <c r="AN273" s="124" t="s">
        <v>184</v>
      </c>
      <c r="AP273" s="349" t="s">
        <v>221</v>
      </c>
      <c r="AQ273" s="106" t="s">
        <v>182</v>
      </c>
      <c r="AR273" s="106">
        <v>10</v>
      </c>
      <c r="AS273" s="131" t="s">
        <v>187</v>
      </c>
      <c r="AT273" s="105" t="s">
        <v>182</v>
      </c>
      <c r="AU273" s="1353">
        <v>500</v>
      </c>
      <c r="AV273" s="123" t="s">
        <v>182</v>
      </c>
      <c r="AW273" s="123">
        <v>5</v>
      </c>
      <c r="AX273" s="124" t="s">
        <v>184</v>
      </c>
      <c r="AY273" s="105" t="s">
        <v>182</v>
      </c>
      <c r="AZ273" s="352">
        <v>220</v>
      </c>
      <c r="BA273" s="1355" t="s">
        <v>664</v>
      </c>
      <c r="BB273" s="127">
        <v>2</v>
      </c>
      <c r="BC273" s="1355" t="s">
        <v>664</v>
      </c>
      <c r="BD273" s="352">
        <v>40</v>
      </c>
      <c r="BE273" s="1355" t="s">
        <v>664</v>
      </c>
      <c r="BF273" s="352">
        <v>1</v>
      </c>
      <c r="BH273" s="139" t="s">
        <v>782</v>
      </c>
      <c r="BI273" s="2" t="s">
        <v>182</v>
      </c>
      <c r="BJ273" s="121">
        <v>235</v>
      </c>
      <c r="BK273" s="105" t="s">
        <v>188</v>
      </c>
      <c r="BL273" s="125">
        <v>410</v>
      </c>
      <c r="BM273" s="150" t="s">
        <v>189</v>
      </c>
      <c r="BN273" s="150">
        <v>4</v>
      </c>
      <c r="BO273" s="151" t="s">
        <v>184</v>
      </c>
      <c r="BP273" s="105" t="s">
        <v>188</v>
      </c>
      <c r="BQ273" s="125">
        <v>1530</v>
      </c>
      <c r="BR273" s="150" t="s">
        <v>189</v>
      </c>
      <c r="BS273" s="150">
        <v>10</v>
      </c>
      <c r="BT273" s="150" t="s">
        <v>184</v>
      </c>
      <c r="BU273" s="151" t="s">
        <v>190</v>
      </c>
      <c r="BV273" s="105" t="s">
        <v>188</v>
      </c>
      <c r="BW273" s="132">
        <v>1080</v>
      </c>
      <c r="BX273" s="153" t="s">
        <v>189</v>
      </c>
      <c r="BY273" s="153">
        <v>10</v>
      </c>
      <c r="BZ273" s="153" t="s">
        <v>184</v>
      </c>
      <c r="CA273" s="154" t="s">
        <v>190</v>
      </c>
      <c r="CC273" s="152" t="s">
        <v>191</v>
      </c>
    </row>
    <row r="274" spans="1:81" ht="37.5">
      <c r="A274" s="1403"/>
      <c r="B274" s="129"/>
      <c r="C274" s="130"/>
      <c r="D274" s="122" t="s">
        <v>192</v>
      </c>
      <c r="F274" s="332">
        <v>27750</v>
      </c>
      <c r="G274" s="333"/>
      <c r="H274" s="105" t="s">
        <v>182</v>
      </c>
      <c r="I274" s="334">
        <v>260</v>
      </c>
      <c r="J274" s="335"/>
      <c r="K274" s="336" t="s">
        <v>661</v>
      </c>
      <c r="M274" s="1354"/>
      <c r="N274" s="310"/>
      <c r="O274" s="310"/>
      <c r="P274" s="311"/>
      <c r="R274" s="1354"/>
      <c r="S274" s="310"/>
      <c r="T274" s="310"/>
      <c r="U274" s="311"/>
      <c r="V274" s="105" t="s">
        <v>182</v>
      </c>
      <c r="W274" s="334">
        <v>6880</v>
      </c>
      <c r="X274" s="133">
        <v>60</v>
      </c>
      <c r="Y274" s="122" t="s">
        <v>183</v>
      </c>
      <c r="Z274" s="105" t="s">
        <v>182</v>
      </c>
      <c r="AA274" s="345">
        <v>48220</v>
      </c>
      <c r="AB274" s="134" t="s">
        <v>182</v>
      </c>
      <c r="AC274" s="134">
        <v>480</v>
      </c>
      <c r="AD274" s="135" t="s">
        <v>184</v>
      </c>
      <c r="AE274" s="105" t="s">
        <v>182</v>
      </c>
      <c r="AF274" s="345">
        <v>41340</v>
      </c>
      <c r="AG274" s="134" t="s">
        <v>182</v>
      </c>
      <c r="AH274" s="134">
        <v>410</v>
      </c>
      <c r="AI274" s="135" t="s">
        <v>184</v>
      </c>
      <c r="AK274" s="1357"/>
      <c r="AL274" s="110"/>
      <c r="AM274" s="110"/>
      <c r="AN274" s="108"/>
      <c r="AP274" s="348">
        <v>1530</v>
      </c>
      <c r="AQ274" s="106"/>
      <c r="AR274" s="106"/>
      <c r="AS274" s="131"/>
      <c r="AU274" s="1354"/>
      <c r="AV274" s="110"/>
      <c r="AW274" s="110"/>
      <c r="AX274" s="108"/>
      <c r="AZ274" s="353" t="s">
        <v>766</v>
      </c>
      <c r="BA274" s="1355"/>
      <c r="BB274" s="136" t="s">
        <v>767</v>
      </c>
      <c r="BC274" s="1355"/>
      <c r="BD274" s="353" t="s">
        <v>766</v>
      </c>
      <c r="BE274" s="1355"/>
      <c r="BF274" s="353" t="s">
        <v>663</v>
      </c>
      <c r="BH274" s="140">
        <v>2440</v>
      </c>
      <c r="BJ274" s="104" t="s">
        <v>785</v>
      </c>
      <c r="BL274" s="109"/>
      <c r="BM274" s="146"/>
      <c r="BN274" s="146"/>
      <c r="BO274" s="147"/>
      <c r="BQ274" s="109"/>
      <c r="BR274" s="146"/>
      <c r="BS274" s="146"/>
      <c r="BT274" s="146"/>
      <c r="BU274" s="147"/>
      <c r="BW274" s="132"/>
      <c r="BX274" s="153"/>
      <c r="BY274" s="153"/>
      <c r="BZ274" s="153"/>
      <c r="CA274" s="154"/>
      <c r="CC274" s="152">
        <v>0.99</v>
      </c>
    </row>
    <row r="275" spans="1:81" ht="75">
      <c r="A275" s="1403"/>
      <c r="B275" s="120" t="s">
        <v>222</v>
      </c>
      <c r="C275" s="121" t="s">
        <v>180</v>
      </c>
      <c r="D275" s="122" t="s">
        <v>181</v>
      </c>
      <c r="F275" s="327">
        <v>20590</v>
      </c>
      <c r="G275" s="328">
        <v>27470</v>
      </c>
      <c r="H275" s="105" t="s">
        <v>182</v>
      </c>
      <c r="I275" s="329">
        <v>180</v>
      </c>
      <c r="J275" s="330">
        <v>250</v>
      </c>
      <c r="K275" s="331" t="s">
        <v>661</v>
      </c>
      <c r="L275" s="105" t="s">
        <v>182</v>
      </c>
      <c r="M275" s="1353">
        <v>310</v>
      </c>
      <c r="N275" s="106" t="s">
        <v>182</v>
      </c>
      <c r="O275" s="106">
        <v>3</v>
      </c>
      <c r="P275" s="131" t="s">
        <v>184</v>
      </c>
      <c r="Q275" s="105" t="s">
        <v>182</v>
      </c>
      <c r="R275" s="1353">
        <v>1370</v>
      </c>
      <c r="S275" s="106" t="s">
        <v>182</v>
      </c>
      <c r="T275" s="106">
        <v>10</v>
      </c>
      <c r="U275" s="131" t="s">
        <v>184</v>
      </c>
      <c r="V275" s="105" t="s">
        <v>182</v>
      </c>
      <c r="W275" s="342">
        <v>6880</v>
      </c>
      <c r="X275" s="126">
        <v>60</v>
      </c>
      <c r="Y275" s="122" t="s">
        <v>183</v>
      </c>
      <c r="AA275" s="344"/>
      <c r="AF275" s="344" t="s">
        <v>185</v>
      </c>
      <c r="AJ275" s="105" t="s">
        <v>182</v>
      </c>
      <c r="AK275" s="1356">
        <v>280</v>
      </c>
      <c r="AL275" s="106" t="s">
        <v>182</v>
      </c>
      <c r="AM275" s="106">
        <v>2</v>
      </c>
      <c r="AN275" s="131" t="s">
        <v>184</v>
      </c>
      <c r="AP275" s="349" t="s">
        <v>223</v>
      </c>
      <c r="AQ275" s="106" t="s">
        <v>182</v>
      </c>
      <c r="AR275" s="106">
        <v>10</v>
      </c>
      <c r="AS275" s="131" t="s">
        <v>187</v>
      </c>
      <c r="AT275" s="105" t="s">
        <v>182</v>
      </c>
      <c r="AU275" s="1353">
        <v>500</v>
      </c>
      <c r="AV275" s="106" t="s">
        <v>182</v>
      </c>
      <c r="AW275" s="106">
        <v>5</v>
      </c>
      <c r="AX275" s="131" t="s">
        <v>184</v>
      </c>
      <c r="AY275" s="105" t="s">
        <v>182</v>
      </c>
      <c r="AZ275" s="352">
        <v>200</v>
      </c>
      <c r="BA275" s="1355" t="s">
        <v>664</v>
      </c>
      <c r="BB275" s="127">
        <v>2</v>
      </c>
      <c r="BC275" s="1355" t="s">
        <v>664</v>
      </c>
      <c r="BD275" s="352">
        <v>30</v>
      </c>
      <c r="BE275" s="1355" t="s">
        <v>664</v>
      </c>
      <c r="BF275" s="352">
        <v>1</v>
      </c>
      <c r="BH275" s="139" t="s">
        <v>783</v>
      </c>
      <c r="BI275" s="2" t="s">
        <v>182</v>
      </c>
      <c r="BJ275" s="130">
        <v>235</v>
      </c>
      <c r="BK275" s="105" t="s">
        <v>188</v>
      </c>
      <c r="BL275" s="132">
        <v>370</v>
      </c>
      <c r="BM275" s="153" t="s">
        <v>189</v>
      </c>
      <c r="BN275" s="153">
        <v>4</v>
      </c>
      <c r="BO275" s="154" t="s">
        <v>184</v>
      </c>
      <c r="BP275" s="105" t="s">
        <v>188</v>
      </c>
      <c r="BQ275" s="132">
        <v>1370</v>
      </c>
      <c r="BR275" s="153" t="s">
        <v>189</v>
      </c>
      <c r="BS275" s="153">
        <v>10</v>
      </c>
      <c r="BT275" s="153" t="s">
        <v>184</v>
      </c>
      <c r="BU275" s="154" t="s">
        <v>190</v>
      </c>
      <c r="BV275" s="105" t="s">
        <v>188</v>
      </c>
      <c r="BW275" s="125">
        <v>970</v>
      </c>
      <c r="BX275" s="150" t="s">
        <v>189</v>
      </c>
      <c r="BY275" s="150">
        <v>10</v>
      </c>
      <c r="BZ275" s="150" t="s">
        <v>184</v>
      </c>
      <c r="CA275" s="151" t="s">
        <v>190</v>
      </c>
      <c r="CC275" s="152" t="s">
        <v>191</v>
      </c>
    </row>
    <row r="276" spans="1:81" ht="37.5">
      <c r="A276" s="1403"/>
      <c r="B276" s="103"/>
      <c r="C276" s="104"/>
      <c r="D276" s="122" t="s">
        <v>192</v>
      </c>
      <c r="F276" s="332">
        <v>27470</v>
      </c>
      <c r="G276" s="333"/>
      <c r="H276" s="105" t="s">
        <v>182</v>
      </c>
      <c r="I276" s="334">
        <v>250</v>
      </c>
      <c r="J276" s="335"/>
      <c r="K276" s="336" t="s">
        <v>661</v>
      </c>
      <c r="M276" s="1354"/>
      <c r="N276" s="106"/>
      <c r="O276" s="106"/>
      <c r="P276" s="131"/>
      <c r="R276" s="1354"/>
      <c r="S276" s="106"/>
      <c r="T276" s="106"/>
      <c r="U276" s="131"/>
      <c r="V276" s="105" t="s">
        <v>182</v>
      </c>
      <c r="W276" s="334">
        <v>6880</v>
      </c>
      <c r="X276" s="133">
        <v>60</v>
      </c>
      <c r="Y276" s="122" t="s">
        <v>183</v>
      </c>
      <c r="Z276" s="105" t="s">
        <v>182</v>
      </c>
      <c r="AA276" s="345">
        <v>48220</v>
      </c>
      <c r="AB276" s="134" t="s">
        <v>182</v>
      </c>
      <c r="AC276" s="134">
        <v>480</v>
      </c>
      <c r="AD276" s="135" t="s">
        <v>184</v>
      </c>
      <c r="AE276" s="105" t="s">
        <v>182</v>
      </c>
      <c r="AF276" s="345">
        <v>41340</v>
      </c>
      <c r="AG276" s="134" t="s">
        <v>182</v>
      </c>
      <c r="AH276" s="134">
        <v>410</v>
      </c>
      <c r="AI276" s="135" t="s">
        <v>184</v>
      </c>
      <c r="AK276" s="1357"/>
      <c r="AL276" s="106"/>
      <c r="AM276" s="106"/>
      <c r="AN276" s="131"/>
      <c r="AP276" s="348">
        <v>1370</v>
      </c>
      <c r="AQ276" s="106"/>
      <c r="AR276" s="106"/>
      <c r="AS276" s="131"/>
      <c r="AU276" s="1354"/>
      <c r="AV276" s="106"/>
      <c r="AW276" s="106"/>
      <c r="AX276" s="131"/>
      <c r="AZ276" s="353" t="s">
        <v>766</v>
      </c>
      <c r="BA276" s="1355"/>
      <c r="BB276" s="136" t="s">
        <v>767</v>
      </c>
      <c r="BC276" s="1355"/>
      <c r="BD276" s="353" t="s">
        <v>766</v>
      </c>
      <c r="BE276" s="1355"/>
      <c r="BF276" s="353" t="s">
        <v>663</v>
      </c>
      <c r="BH276" s="140">
        <v>2360</v>
      </c>
      <c r="BJ276" s="130" t="s">
        <v>785</v>
      </c>
      <c r="BL276" s="132"/>
      <c r="BM276" s="153"/>
      <c r="BN276" s="153"/>
      <c r="BO276" s="154"/>
      <c r="BQ276" s="132"/>
      <c r="BR276" s="153"/>
      <c r="BS276" s="153"/>
      <c r="BT276" s="153"/>
      <c r="BU276" s="154"/>
      <c r="BW276" s="109"/>
      <c r="BX276" s="146"/>
      <c r="BY276" s="146"/>
      <c r="BZ276" s="146"/>
      <c r="CA276" s="147"/>
      <c r="CC276" s="152">
        <v>0.99</v>
      </c>
    </row>
    <row r="277" spans="1:81" ht="37.5">
      <c r="A277" s="1403"/>
      <c r="B277" s="129" t="s">
        <v>224</v>
      </c>
      <c r="C277" s="130" t="s">
        <v>180</v>
      </c>
      <c r="D277" s="122" t="s">
        <v>181</v>
      </c>
      <c r="F277" s="327">
        <v>20370</v>
      </c>
      <c r="G277" s="328">
        <v>27250</v>
      </c>
      <c r="H277" s="105" t="s">
        <v>182</v>
      </c>
      <c r="I277" s="329">
        <v>180</v>
      </c>
      <c r="J277" s="330">
        <v>250</v>
      </c>
      <c r="K277" s="331" t="s">
        <v>661</v>
      </c>
      <c r="L277" s="105" t="s">
        <v>182</v>
      </c>
      <c r="M277" s="1353">
        <v>280</v>
      </c>
      <c r="N277" s="123" t="s">
        <v>182</v>
      </c>
      <c r="O277" s="123">
        <v>2</v>
      </c>
      <c r="P277" s="124" t="s">
        <v>184</v>
      </c>
      <c r="R277" s="1413"/>
      <c r="S277" s="123"/>
      <c r="T277" s="123"/>
      <c r="U277" s="124"/>
      <c r="V277" s="105" t="s">
        <v>182</v>
      </c>
      <c r="W277" s="342">
        <v>6880</v>
      </c>
      <c r="X277" s="126">
        <v>60</v>
      </c>
      <c r="Y277" s="122" t="s">
        <v>183</v>
      </c>
      <c r="AA277" s="344"/>
      <c r="AF277" s="344" t="s">
        <v>185</v>
      </c>
      <c r="AJ277" s="105" t="s">
        <v>182</v>
      </c>
      <c r="AK277" s="1356">
        <v>260</v>
      </c>
      <c r="AL277" s="123" t="s">
        <v>182</v>
      </c>
      <c r="AM277" s="123">
        <v>2</v>
      </c>
      <c r="AN277" s="124" t="s">
        <v>184</v>
      </c>
      <c r="AP277" s="349" t="s">
        <v>225</v>
      </c>
      <c r="AQ277" s="106" t="s">
        <v>182</v>
      </c>
      <c r="AR277" s="106">
        <v>10</v>
      </c>
      <c r="AS277" s="131" t="s">
        <v>187</v>
      </c>
      <c r="AT277" s="105" t="s">
        <v>182</v>
      </c>
      <c r="AU277" s="1353">
        <v>500</v>
      </c>
      <c r="AV277" s="123" t="s">
        <v>182</v>
      </c>
      <c r="AW277" s="123">
        <v>5</v>
      </c>
      <c r="AX277" s="124" t="s">
        <v>184</v>
      </c>
      <c r="AY277" s="105" t="s">
        <v>182</v>
      </c>
      <c r="AZ277" s="352">
        <v>180</v>
      </c>
      <c r="BA277" s="1355" t="s">
        <v>664</v>
      </c>
      <c r="BB277" s="127">
        <v>1</v>
      </c>
      <c r="BC277" s="1355" t="s">
        <v>664</v>
      </c>
      <c r="BD277" s="352">
        <v>30</v>
      </c>
      <c r="BE277" s="1355" t="s">
        <v>664</v>
      </c>
      <c r="BF277" s="352">
        <v>1</v>
      </c>
      <c r="BH277" s="139" t="s">
        <v>784</v>
      </c>
      <c r="BI277" s="2" t="s">
        <v>182</v>
      </c>
      <c r="BJ277" s="121">
        <v>235</v>
      </c>
      <c r="BK277" s="105" t="s">
        <v>188</v>
      </c>
      <c r="BL277" s="125">
        <v>340</v>
      </c>
      <c r="BM277" s="150" t="s">
        <v>189</v>
      </c>
      <c r="BN277" s="150">
        <v>3</v>
      </c>
      <c r="BO277" s="151" t="s">
        <v>184</v>
      </c>
      <c r="BP277" s="105" t="s">
        <v>188</v>
      </c>
      <c r="BQ277" s="125">
        <v>1250</v>
      </c>
      <c r="BR277" s="150" t="s">
        <v>189</v>
      </c>
      <c r="BS277" s="150">
        <v>10</v>
      </c>
      <c r="BT277" s="150" t="s">
        <v>184</v>
      </c>
      <c r="BU277" s="151" t="s">
        <v>190</v>
      </c>
      <c r="BV277" s="105" t="s">
        <v>188</v>
      </c>
      <c r="BW277" s="132">
        <v>890</v>
      </c>
      <c r="BX277" s="153" t="s">
        <v>189</v>
      </c>
      <c r="BY277" s="153">
        <v>8</v>
      </c>
      <c r="BZ277" s="153" t="s">
        <v>184</v>
      </c>
      <c r="CA277" s="154" t="s">
        <v>190</v>
      </c>
      <c r="CC277" s="152" t="s">
        <v>191</v>
      </c>
    </row>
    <row r="278" spans="1:81" ht="37.5">
      <c r="A278" s="1403"/>
      <c r="B278" s="103"/>
      <c r="C278" s="104"/>
      <c r="D278" s="122" t="s">
        <v>192</v>
      </c>
      <c r="F278" s="332">
        <v>27250</v>
      </c>
      <c r="G278" s="333"/>
      <c r="H278" s="105" t="s">
        <v>182</v>
      </c>
      <c r="I278" s="334">
        <v>250</v>
      </c>
      <c r="J278" s="335"/>
      <c r="K278" s="336" t="s">
        <v>661</v>
      </c>
      <c r="M278" s="1354"/>
      <c r="N278" s="310"/>
      <c r="O278" s="310"/>
      <c r="P278" s="311"/>
      <c r="R278" s="1413"/>
      <c r="S278" s="310"/>
      <c r="T278" s="310"/>
      <c r="U278" s="311"/>
      <c r="V278" s="105" t="s">
        <v>182</v>
      </c>
      <c r="W278" s="334">
        <v>6880</v>
      </c>
      <c r="X278" s="133">
        <v>60</v>
      </c>
      <c r="Y278" s="122" t="s">
        <v>183</v>
      </c>
      <c r="Z278" s="105" t="s">
        <v>182</v>
      </c>
      <c r="AA278" s="345">
        <v>48220</v>
      </c>
      <c r="AB278" s="134" t="s">
        <v>182</v>
      </c>
      <c r="AC278" s="134">
        <v>480</v>
      </c>
      <c r="AD278" s="135" t="s">
        <v>184</v>
      </c>
      <c r="AE278" s="105" t="s">
        <v>182</v>
      </c>
      <c r="AF278" s="345">
        <v>41340</v>
      </c>
      <c r="AG278" s="134" t="s">
        <v>182</v>
      </c>
      <c r="AH278" s="134">
        <v>410</v>
      </c>
      <c r="AI278" s="135" t="s">
        <v>184</v>
      </c>
      <c r="AK278" s="1357"/>
      <c r="AL278" s="110"/>
      <c r="AM278" s="110"/>
      <c r="AN278" s="108"/>
      <c r="AP278" s="348">
        <v>1250</v>
      </c>
      <c r="AQ278" s="110"/>
      <c r="AR278" s="110"/>
      <c r="AS278" s="108"/>
      <c r="AU278" s="1354"/>
      <c r="AV278" s="110"/>
      <c r="AW278" s="110"/>
      <c r="AX278" s="108"/>
      <c r="AZ278" s="353" t="s">
        <v>766</v>
      </c>
      <c r="BA278" s="1355"/>
      <c r="BB278" s="136" t="s">
        <v>767</v>
      </c>
      <c r="BC278" s="1355"/>
      <c r="BD278" s="353" t="s">
        <v>766</v>
      </c>
      <c r="BE278" s="1355"/>
      <c r="BF278" s="353" t="s">
        <v>663</v>
      </c>
      <c r="BH278" s="141">
        <v>2150</v>
      </c>
      <c r="BJ278" s="104" t="s">
        <v>785</v>
      </c>
      <c r="BL278" s="109"/>
      <c r="BM278" s="146"/>
      <c r="BN278" s="146"/>
      <c r="BO278" s="147"/>
      <c r="BQ278" s="109"/>
      <c r="BR278" s="146"/>
      <c r="BS278" s="146"/>
      <c r="BT278" s="146"/>
      <c r="BU278" s="147"/>
      <c r="BW278" s="109"/>
      <c r="BX278" s="146"/>
      <c r="BY278" s="146"/>
      <c r="BZ278" s="146"/>
      <c r="CA278" s="147"/>
      <c r="CC278" s="152">
        <v>0.99</v>
      </c>
    </row>
  </sheetData>
  <mergeCells count="1007">
    <mergeCell ref="AU33:AU34"/>
    <mergeCell ref="AU35:AU36"/>
    <mergeCell ref="AU37:AU38"/>
    <mergeCell ref="AU39:AU40"/>
    <mergeCell ref="AU41:AU42"/>
    <mergeCell ref="AU43:AU44"/>
    <mergeCell ref="AU45:AU46"/>
    <mergeCell ref="AU47:AU48"/>
    <mergeCell ref="AU7:AU8"/>
    <mergeCell ref="AU9:AU10"/>
    <mergeCell ref="AU11:AU12"/>
    <mergeCell ref="AU13:AU14"/>
    <mergeCell ref="AU15:AU16"/>
    <mergeCell ref="AU17:AU18"/>
    <mergeCell ref="AU19:AU20"/>
    <mergeCell ref="AU21:AU22"/>
    <mergeCell ref="AU23:AU24"/>
    <mergeCell ref="AK17:AK18"/>
    <mergeCell ref="AK19:AK20"/>
    <mergeCell ref="AK21:AK22"/>
    <mergeCell ref="AK23:AK24"/>
    <mergeCell ref="R277:R278"/>
    <mergeCell ref="R275:R276"/>
    <mergeCell ref="R273:R274"/>
    <mergeCell ref="R271:R272"/>
    <mergeCell ref="R269:R270"/>
    <mergeCell ref="R267:R268"/>
    <mergeCell ref="R265:R266"/>
    <mergeCell ref="R263:R264"/>
    <mergeCell ref="R261:R262"/>
    <mergeCell ref="R259:R260"/>
    <mergeCell ref="R257:R258"/>
    <mergeCell ref="R255:R256"/>
    <mergeCell ref="R253:R254"/>
    <mergeCell ref="R251:R252"/>
    <mergeCell ref="R249:R250"/>
    <mergeCell ref="R247:R248"/>
    <mergeCell ref="R245:R246"/>
    <mergeCell ref="R243:R244"/>
    <mergeCell ref="R241:R242"/>
    <mergeCell ref="R239:R240"/>
    <mergeCell ref="R237:R238"/>
    <mergeCell ref="R235:R236"/>
    <mergeCell ref="R233:R234"/>
    <mergeCell ref="R23:R24"/>
    <mergeCell ref="R21:R22"/>
    <mergeCell ref="R19:R20"/>
    <mergeCell ref="R17:R18"/>
    <mergeCell ref="A109:A142"/>
    <mergeCell ref="A143:A176"/>
    <mergeCell ref="A177:A210"/>
    <mergeCell ref="A211:A244"/>
    <mergeCell ref="M43:M44"/>
    <mergeCell ref="M51:M52"/>
    <mergeCell ref="M59:M60"/>
    <mergeCell ref="M67:M68"/>
    <mergeCell ref="M75:M76"/>
    <mergeCell ref="M83:M84"/>
    <mergeCell ref="M91:M92"/>
    <mergeCell ref="M99:M100"/>
    <mergeCell ref="M107:M108"/>
    <mergeCell ref="M115:M116"/>
    <mergeCell ref="M123:M124"/>
    <mergeCell ref="M131:M132"/>
    <mergeCell ref="M139:M140"/>
    <mergeCell ref="M147:M148"/>
    <mergeCell ref="M155:M156"/>
    <mergeCell ref="M163:M164"/>
    <mergeCell ref="M171:M172"/>
    <mergeCell ref="M179:M180"/>
    <mergeCell ref="M187:M188"/>
    <mergeCell ref="M195:M196"/>
    <mergeCell ref="M203:M204"/>
    <mergeCell ref="M211:M212"/>
    <mergeCell ref="M219:M220"/>
    <mergeCell ref="M227:M228"/>
    <mergeCell ref="M235:M236"/>
    <mergeCell ref="M243:M244"/>
    <mergeCell ref="A245:A278"/>
    <mergeCell ref="BL5:BO5"/>
    <mergeCell ref="BQ5:BU5"/>
    <mergeCell ref="A75:A108"/>
    <mergeCell ref="AU5:AX5"/>
    <mergeCell ref="F5:G5"/>
    <mergeCell ref="I5:K5"/>
    <mergeCell ref="M5:P5"/>
    <mergeCell ref="R5:U5"/>
    <mergeCell ref="W5:Y5"/>
    <mergeCell ref="AA5:AD5"/>
    <mergeCell ref="BA19:BA20"/>
    <mergeCell ref="BC19:BC20"/>
    <mergeCell ref="BE19:BE20"/>
    <mergeCell ref="M21:M22"/>
    <mergeCell ref="BA21:BA22"/>
    <mergeCell ref="BC21:BC22"/>
    <mergeCell ref="BE21:BE22"/>
    <mergeCell ref="AK25:AK26"/>
    <mergeCell ref="AK27:AK28"/>
    <mergeCell ref="AU25:AU26"/>
    <mergeCell ref="AU27:AU28"/>
    <mergeCell ref="M29:M30"/>
    <mergeCell ref="BA29:BA30"/>
    <mergeCell ref="BC29:BC30"/>
    <mergeCell ref="BE29:BE30"/>
    <mergeCell ref="M23:M24"/>
    <mergeCell ref="BA23:BA24"/>
    <mergeCell ref="BC23:BC24"/>
    <mergeCell ref="BE23:BE24"/>
    <mergeCell ref="M25:M26"/>
    <mergeCell ref="BA25:BA26"/>
    <mergeCell ref="BW5:CA5"/>
    <mergeCell ref="A7:A40"/>
    <mergeCell ref="A41:A74"/>
    <mergeCell ref="AZ5:BB5"/>
    <mergeCell ref="BD5:BF5"/>
    <mergeCell ref="BA9:BA10"/>
    <mergeCell ref="BC9:BC10"/>
    <mergeCell ref="BE9:BE10"/>
    <mergeCell ref="BA11:BA12"/>
    <mergeCell ref="BC11:BC12"/>
    <mergeCell ref="BE11:BE12"/>
    <mergeCell ref="BA13:BA14"/>
    <mergeCell ref="BC13:BC14"/>
    <mergeCell ref="BE13:BE14"/>
    <mergeCell ref="AF5:AI5"/>
    <mergeCell ref="M11:M12"/>
    <mergeCell ref="M13:M14"/>
    <mergeCell ref="M15:M16"/>
    <mergeCell ref="M19:M20"/>
    <mergeCell ref="M7:M8"/>
    <mergeCell ref="BA7:BA8"/>
    <mergeCell ref="BC7:BC8"/>
    <mergeCell ref="BE7:BE8"/>
    <mergeCell ref="AP5:AS5"/>
    <mergeCell ref="M17:M18"/>
    <mergeCell ref="BA17:BA18"/>
    <mergeCell ref="BC17:BC18"/>
    <mergeCell ref="BE17:BE18"/>
    <mergeCell ref="M27:M28"/>
    <mergeCell ref="BA27:BA28"/>
    <mergeCell ref="BC27:BC28"/>
    <mergeCell ref="BE27:BE28"/>
    <mergeCell ref="BL1:BO3"/>
    <mergeCell ref="BQ1:BU3"/>
    <mergeCell ref="BW1:CA3"/>
    <mergeCell ref="CC1:CC3"/>
    <mergeCell ref="O3:P3"/>
    <mergeCell ref="T3:U3"/>
    <mergeCell ref="X3:Y3"/>
    <mergeCell ref="AC3:AD3"/>
    <mergeCell ref="AH3:AI3"/>
    <mergeCell ref="AM3:AN3"/>
    <mergeCell ref="AP1:AS2"/>
    <mergeCell ref="AU1:AX2"/>
    <mergeCell ref="AZ1:BB2"/>
    <mergeCell ref="BD1:BF2"/>
    <mergeCell ref="BJ1:BJ3"/>
    <mergeCell ref="BH1:BH4"/>
    <mergeCell ref="BB3:BB4"/>
    <mergeCell ref="BF3:BF4"/>
    <mergeCell ref="A1:A3"/>
    <mergeCell ref="B1:B3"/>
    <mergeCell ref="C1:C3"/>
    <mergeCell ref="D1:D3"/>
    <mergeCell ref="F1:G3"/>
    <mergeCell ref="I1:K2"/>
    <mergeCell ref="AR3:AS3"/>
    <mergeCell ref="AW3:AX3"/>
    <mergeCell ref="M1:P2"/>
    <mergeCell ref="R1:U2"/>
    <mergeCell ref="W1:Y2"/>
    <mergeCell ref="AA1:AD2"/>
    <mergeCell ref="AF1:AI2"/>
    <mergeCell ref="AK1:AN2"/>
    <mergeCell ref="BA15:BA16"/>
    <mergeCell ref="BC15:BC16"/>
    <mergeCell ref="BE15:BE16"/>
    <mergeCell ref="AK7:AK8"/>
    <mergeCell ref="AK9:AK10"/>
    <mergeCell ref="AK11:AK12"/>
    <mergeCell ref="AK13:AK14"/>
    <mergeCell ref="AK15:AK16"/>
    <mergeCell ref="R15:R16"/>
    <mergeCell ref="R13:R14"/>
    <mergeCell ref="R11:R12"/>
    <mergeCell ref="R9:R10"/>
    <mergeCell ref="R7:R8"/>
    <mergeCell ref="AK5:AN5"/>
    <mergeCell ref="M9:M10"/>
    <mergeCell ref="BC25:BC26"/>
    <mergeCell ref="BE25:BE26"/>
    <mergeCell ref="AK29:AK30"/>
    <mergeCell ref="AU29:AU30"/>
    <mergeCell ref="M35:M36"/>
    <mergeCell ref="BA35:BA36"/>
    <mergeCell ref="BC35:BC36"/>
    <mergeCell ref="BE35:BE36"/>
    <mergeCell ref="M37:M38"/>
    <mergeCell ref="BA37:BA38"/>
    <mergeCell ref="BC37:BC38"/>
    <mergeCell ref="BE37:BE38"/>
    <mergeCell ref="M31:M32"/>
    <mergeCell ref="BA31:BA32"/>
    <mergeCell ref="BC31:BC32"/>
    <mergeCell ref="BE31:BE32"/>
    <mergeCell ref="M33:M34"/>
    <mergeCell ref="BA33:BA34"/>
    <mergeCell ref="BC33:BC34"/>
    <mergeCell ref="BE33:BE34"/>
    <mergeCell ref="AK31:AK32"/>
    <mergeCell ref="AK33:AK34"/>
    <mergeCell ref="AK35:AK36"/>
    <mergeCell ref="AK37:AK38"/>
    <mergeCell ref="R27:R28"/>
    <mergeCell ref="R25:R26"/>
    <mergeCell ref="R37:R38"/>
    <mergeCell ref="R35:R36"/>
    <mergeCell ref="R33:R34"/>
    <mergeCell ref="R31:R32"/>
    <mergeCell ref="R29:R30"/>
    <mergeCell ref="AU31:AU32"/>
    <mergeCell ref="BA43:BA44"/>
    <mergeCell ref="BC43:BC44"/>
    <mergeCell ref="BE43:BE44"/>
    <mergeCell ref="M45:M46"/>
    <mergeCell ref="BA45:BA46"/>
    <mergeCell ref="BC45:BC46"/>
    <mergeCell ref="BE45:BE46"/>
    <mergeCell ref="M39:M40"/>
    <mergeCell ref="BA39:BA40"/>
    <mergeCell ref="BC39:BC40"/>
    <mergeCell ref="BE39:BE40"/>
    <mergeCell ref="M41:M42"/>
    <mergeCell ref="BA41:BA42"/>
    <mergeCell ref="BC41:BC42"/>
    <mergeCell ref="BE41:BE42"/>
    <mergeCell ref="AK39:AK40"/>
    <mergeCell ref="AK41:AK42"/>
    <mergeCell ref="AK43:AK44"/>
    <mergeCell ref="AK45:AK46"/>
    <mergeCell ref="R45:R46"/>
    <mergeCell ref="R43:R44"/>
    <mergeCell ref="R41:R42"/>
    <mergeCell ref="R39:R40"/>
    <mergeCell ref="BA51:BA52"/>
    <mergeCell ref="BC51:BC52"/>
    <mergeCell ref="BE51:BE52"/>
    <mergeCell ref="M53:M54"/>
    <mergeCell ref="BA53:BA54"/>
    <mergeCell ref="BC53:BC54"/>
    <mergeCell ref="BE53:BE54"/>
    <mergeCell ref="M47:M48"/>
    <mergeCell ref="BA47:BA48"/>
    <mergeCell ref="BC47:BC48"/>
    <mergeCell ref="BE47:BE48"/>
    <mergeCell ref="M49:M50"/>
    <mergeCell ref="BA49:BA50"/>
    <mergeCell ref="BC49:BC50"/>
    <mergeCell ref="BE49:BE50"/>
    <mergeCell ref="AK47:AK48"/>
    <mergeCell ref="AK49:AK50"/>
    <mergeCell ref="AK51:AK52"/>
    <mergeCell ref="AK53:AK54"/>
    <mergeCell ref="R53:R54"/>
    <mergeCell ref="R51:R52"/>
    <mergeCell ref="R49:R50"/>
    <mergeCell ref="R47:R48"/>
    <mergeCell ref="AU49:AU50"/>
    <mergeCell ref="AU51:AU52"/>
    <mergeCell ref="AU53:AU54"/>
    <mergeCell ref="BA59:BA60"/>
    <mergeCell ref="BC59:BC60"/>
    <mergeCell ref="BE59:BE60"/>
    <mergeCell ref="M61:M62"/>
    <mergeCell ref="BA61:BA62"/>
    <mergeCell ref="BC61:BC62"/>
    <mergeCell ref="BE61:BE62"/>
    <mergeCell ref="M55:M56"/>
    <mergeCell ref="BA55:BA56"/>
    <mergeCell ref="BC55:BC56"/>
    <mergeCell ref="BE55:BE56"/>
    <mergeCell ref="M57:M58"/>
    <mergeCell ref="BA57:BA58"/>
    <mergeCell ref="BC57:BC58"/>
    <mergeCell ref="BE57:BE58"/>
    <mergeCell ref="AK55:AK56"/>
    <mergeCell ref="AK57:AK58"/>
    <mergeCell ref="AK59:AK60"/>
    <mergeCell ref="AK61:AK62"/>
    <mergeCell ref="R57:R58"/>
    <mergeCell ref="R55:R56"/>
    <mergeCell ref="AU55:AU56"/>
    <mergeCell ref="AU57:AU58"/>
    <mergeCell ref="AU59:AU60"/>
    <mergeCell ref="AU61:AU62"/>
    <mergeCell ref="R61:R62"/>
    <mergeCell ref="R59:R60"/>
    <mergeCell ref="BA67:BA68"/>
    <mergeCell ref="BC67:BC68"/>
    <mergeCell ref="BE67:BE68"/>
    <mergeCell ref="M69:M70"/>
    <mergeCell ref="BA69:BA70"/>
    <mergeCell ref="BC69:BC70"/>
    <mergeCell ref="BE69:BE70"/>
    <mergeCell ref="M63:M64"/>
    <mergeCell ref="BA63:BA64"/>
    <mergeCell ref="BC63:BC64"/>
    <mergeCell ref="BE63:BE64"/>
    <mergeCell ref="M65:M66"/>
    <mergeCell ref="BA65:BA66"/>
    <mergeCell ref="BC65:BC66"/>
    <mergeCell ref="BE65:BE66"/>
    <mergeCell ref="AK63:AK64"/>
    <mergeCell ref="AK65:AK66"/>
    <mergeCell ref="AK67:AK68"/>
    <mergeCell ref="AK69:AK70"/>
    <mergeCell ref="R69:R70"/>
    <mergeCell ref="R67:R68"/>
    <mergeCell ref="R65:R66"/>
    <mergeCell ref="R63:R64"/>
    <mergeCell ref="AU67:AU68"/>
    <mergeCell ref="AU69:AU70"/>
    <mergeCell ref="AU63:AU64"/>
    <mergeCell ref="AU65:AU66"/>
    <mergeCell ref="BA75:BA76"/>
    <mergeCell ref="BC75:BC76"/>
    <mergeCell ref="BE75:BE76"/>
    <mergeCell ref="M77:M78"/>
    <mergeCell ref="BA77:BA78"/>
    <mergeCell ref="BC77:BC78"/>
    <mergeCell ref="BE77:BE78"/>
    <mergeCell ref="M71:M72"/>
    <mergeCell ref="BA71:BA72"/>
    <mergeCell ref="BC71:BC72"/>
    <mergeCell ref="BE71:BE72"/>
    <mergeCell ref="M73:M74"/>
    <mergeCell ref="BA73:BA74"/>
    <mergeCell ref="BC73:BC74"/>
    <mergeCell ref="BE73:BE74"/>
    <mergeCell ref="AK71:AK72"/>
    <mergeCell ref="AK73:AK74"/>
    <mergeCell ref="AK75:AK76"/>
    <mergeCell ref="AK77:AK78"/>
    <mergeCell ref="R77:R78"/>
    <mergeCell ref="R75:R76"/>
    <mergeCell ref="R73:R74"/>
    <mergeCell ref="R71:R72"/>
    <mergeCell ref="AU71:AU72"/>
    <mergeCell ref="AU73:AU74"/>
    <mergeCell ref="AU75:AU76"/>
    <mergeCell ref="AU77:AU78"/>
    <mergeCell ref="BA83:BA84"/>
    <mergeCell ref="BC83:BC84"/>
    <mergeCell ref="BE83:BE84"/>
    <mergeCell ref="M85:M86"/>
    <mergeCell ref="BA85:BA86"/>
    <mergeCell ref="BC85:BC86"/>
    <mergeCell ref="BE85:BE86"/>
    <mergeCell ref="M79:M80"/>
    <mergeCell ref="BA79:BA80"/>
    <mergeCell ref="BC79:BC80"/>
    <mergeCell ref="BE79:BE80"/>
    <mergeCell ref="M81:M82"/>
    <mergeCell ref="BA81:BA82"/>
    <mergeCell ref="BC81:BC82"/>
    <mergeCell ref="BE81:BE82"/>
    <mergeCell ref="AK79:AK80"/>
    <mergeCell ref="AK81:AK82"/>
    <mergeCell ref="AK83:AK84"/>
    <mergeCell ref="AK85:AK86"/>
    <mergeCell ref="R85:R86"/>
    <mergeCell ref="R83:R84"/>
    <mergeCell ref="R81:R82"/>
    <mergeCell ref="R79:R80"/>
    <mergeCell ref="AU79:AU80"/>
    <mergeCell ref="AU81:AU82"/>
    <mergeCell ref="AU83:AU84"/>
    <mergeCell ref="AU85:AU86"/>
    <mergeCell ref="BA91:BA92"/>
    <mergeCell ref="BC91:BC92"/>
    <mergeCell ref="BE91:BE92"/>
    <mergeCell ref="M93:M94"/>
    <mergeCell ref="BA93:BA94"/>
    <mergeCell ref="BC93:BC94"/>
    <mergeCell ref="BE93:BE94"/>
    <mergeCell ref="M87:M88"/>
    <mergeCell ref="BA87:BA88"/>
    <mergeCell ref="BC87:BC88"/>
    <mergeCell ref="BE87:BE88"/>
    <mergeCell ref="M89:M90"/>
    <mergeCell ref="BA89:BA90"/>
    <mergeCell ref="BC89:BC90"/>
    <mergeCell ref="BE89:BE90"/>
    <mergeCell ref="AK87:AK88"/>
    <mergeCell ref="AK89:AK90"/>
    <mergeCell ref="AK91:AK92"/>
    <mergeCell ref="AK93:AK94"/>
    <mergeCell ref="R93:R94"/>
    <mergeCell ref="R91:R92"/>
    <mergeCell ref="R89:R90"/>
    <mergeCell ref="R87:R88"/>
    <mergeCell ref="AU87:AU88"/>
    <mergeCell ref="AU89:AU90"/>
    <mergeCell ref="AU91:AU92"/>
    <mergeCell ref="AU93:AU94"/>
    <mergeCell ref="BA99:BA100"/>
    <mergeCell ref="BC99:BC100"/>
    <mergeCell ref="BE99:BE100"/>
    <mergeCell ref="M101:M102"/>
    <mergeCell ref="BA101:BA102"/>
    <mergeCell ref="BC101:BC102"/>
    <mergeCell ref="BE101:BE102"/>
    <mergeCell ref="M95:M96"/>
    <mergeCell ref="BA95:BA96"/>
    <mergeCell ref="BC95:BC96"/>
    <mergeCell ref="BE95:BE96"/>
    <mergeCell ref="M97:M98"/>
    <mergeCell ref="BA97:BA98"/>
    <mergeCell ref="BC97:BC98"/>
    <mergeCell ref="BE97:BE98"/>
    <mergeCell ref="AK95:AK96"/>
    <mergeCell ref="AK97:AK98"/>
    <mergeCell ref="AK99:AK100"/>
    <mergeCell ref="AK101:AK102"/>
    <mergeCell ref="R95:R96"/>
    <mergeCell ref="R101:R102"/>
    <mergeCell ref="R99:R100"/>
    <mergeCell ref="R97:R98"/>
    <mergeCell ref="AU95:AU96"/>
    <mergeCell ref="AU97:AU98"/>
    <mergeCell ref="AU99:AU100"/>
    <mergeCell ref="AU101:AU102"/>
    <mergeCell ref="BA107:BA108"/>
    <mergeCell ref="BC107:BC108"/>
    <mergeCell ref="BE107:BE108"/>
    <mergeCell ref="M109:M110"/>
    <mergeCell ref="BA109:BA110"/>
    <mergeCell ref="BC109:BC110"/>
    <mergeCell ref="BE109:BE110"/>
    <mergeCell ref="M103:M104"/>
    <mergeCell ref="BA103:BA104"/>
    <mergeCell ref="BC103:BC104"/>
    <mergeCell ref="BE103:BE104"/>
    <mergeCell ref="M105:M106"/>
    <mergeCell ref="BA105:BA106"/>
    <mergeCell ref="BC105:BC106"/>
    <mergeCell ref="BE105:BE106"/>
    <mergeCell ref="AK103:AK104"/>
    <mergeCell ref="AK105:AK106"/>
    <mergeCell ref="AK107:AK108"/>
    <mergeCell ref="AK109:AK110"/>
    <mergeCell ref="R109:R110"/>
    <mergeCell ref="R107:R108"/>
    <mergeCell ref="R105:R106"/>
    <mergeCell ref="R103:R104"/>
    <mergeCell ref="AU103:AU104"/>
    <mergeCell ref="AU105:AU106"/>
    <mergeCell ref="AU107:AU108"/>
    <mergeCell ref="AU109:AU110"/>
    <mergeCell ref="BA115:BA116"/>
    <mergeCell ref="BC115:BC116"/>
    <mergeCell ref="BE115:BE116"/>
    <mergeCell ref="M117:M118"/>
    <mergeCell ref="BA117:BA118"/>
    <mergeCell ref="BC117:BC118"/>
    <mergeCell ref="BE117:BE118"/>
    <mergeCell ref="M111:M112"/>
    <mergeCell ref="BA111:BA112"/>
    <mergeCell ref="BC111:BC112"/>
    <mergeCell ref="BE111:BE112"/>
    <mergeCell ref="M113:M114"/>
    <mergeCell ref="BA113:BA114"/>
    <mergeCell ref="BC113:BC114"/>
    <mergeCell ref="BE113:BE114"/>
    <mergeCell ref="AK111:AK112"/>
    <mergeCell ref="AK113:AK114"/>
    <mergeCell ref="AK115:AK116"/>
    <mergeCell ref="AK117:AK118"/>
    <mergeCell ref="R117:R118"/>
    <mergeCell ref="R115:R116"/>
    <mergeCell ref="R113:R114"/>
    <mergeCell ref="R111:R112"/>
    <mergeCell ref="AU111:AU112"/>
    <mergeCell ref="AU113:AU114"/>
    <mergeCell ref="AU115:AU116"/>
    <mergeCell ref="AU117:AU118"/>
    <mergeCell ref="BA123:BA124"/>
    <mergeCell ref="BC123:BC124"/>
    <mergeCell ref="BE123:BE124"/>
    <mergeCell ref="M125:M126"/>
    <mergeCell ref="BA125:BA126"/>
    <mergeCell ref="BC125:BC126"/>
    <mergeCell ref="BE125:BE126"/>
    <mergeCell ref="M119:M120"/>
    <mergeCell ref="BA119:BA120"/>
    <mergeCell ref="BC119:BC120"/>
    <mergeCell ref="BE119:BE120"/>
    <mergeCell ref="M121:M122"/>
    <mergeCell ref="BA121:BA122"/>
    <mergeCell ref="BC121:BC122"/>
    <mergeCell ref="BE121:BE122"/>
    <mergeCell ref="AK119:AK120"/>
    <mergeCell ref="AK121:AK122"/>
    <mergeCell ref="AK123:AK124"/>
    <mergeCell ref="AK125:AK126"/>
    <mergeCell ref="R125:R126"/>
    <mergeCell ref="R123:R124"/>
    <mergeCell ref="R121:R122"/>
    <mergeCell ref="R119:R120"/>
    <mergeCell ref="AU119:AU120"/>
    <mergeCell ref="AU121:AU122"/>
    <mergeCell ref="AU123:AU124"/>
    <mergeCell ref="AU125:AU126"/>
    <mergeCell ref="BA131:BA132"/>
    <mergeCell ref="BC131:BC132"/>
    <mergeCell ref="BE131:BE132"/>
    <mergeCell ref="M133:M134"/>
    <mergeCell ref="BA133:BA134"/>
    <mergeCell ref="BC133:BC134"/>
    <mergeCell ref="BE133:BE134"/>
    <mergeCell ref="M127:M128"/>
    <mergeCell ref="BA127:BA128"/>
    <mergeCell ref="BC127:BC128"/>
    <mergeCell ref="BE127:BE128"/>
    <mergeCell ref="M129:M130"/>
    <mergeCell ref="BA129:BA130"/>
    <mergeCell ref="BC129:BC130"/>
    <mergeCell ref="BE129:BE130"/>
    <mergeCell ref="AK127:AK128"/>
    <mergeCell ref="AK129:AK130"/>
    <mergeCell ref="AK131:AK132"/>
    <mergeCell ref="AK133:AK134"/>
    <mergeCell ref="R129:R130"/>
    <mergeCell ref="R127:R128"/>
    <mergeCell ref="R133:R134"/>
    <mergeCell ref="R131:R132"/>
    <mergeCell ref="AU127:AU128"/>
    <mergeCell ref="AU129:AU130"/>
    <mergeCell ref="AU131:AU132"/>
    <mergeCell ref="AU133:AU134"/>
    <mergeCell ref="BA139:BA140"/>
    <mergeCell ref="BC139:BC140"/>
    <mergeCell ref="BE139:BE140"/>
    <mergeCell ref="M141:M142"/>
    <mergeCell ref="BA141:BA142"/>
    <mergeCell ref="BC141:BC142"/>
    <mergeCell ref="BE141:BE142"/>
    <mergeCell ref="M135:M136"/>
    <mergeCell ref="BA135:BA136"/>
    <mergeCell ref="BC135:BC136"/>
    <mergeCell ref="BE135:BE136"/>
    <mergeCell ref="M137:M138"/>
    <mergeCell ref="BA137:BA138"/>
    <mergeCell ref="BC137:BC138"/>
    <mergeCell ref="BE137:BE138"/>
    <mergeCell ref="AK135:AK136"/>
    <mergeCell ref="AK137:AK138"/>
    <mergeCell ref="AK139:AK140"/>
    <mergeCell ref="AK141:AK142"/>
    <mergeCell ref="R141:R142"/>
    <mergeCell ref="R139:R140"/>
    <mergeCell ref="R137:R138"/>
    <mergeCell ref="R135:R136"/>
    <mergeCell ref="AU139:AU140"/>
    <mergeCell ref="AU141:AU142"/>
    <mergeCell ref="AU135:AU136"/>
    <mergeCell ref="AU137:AU138"/>
    <mergeCell ref="BA147:BA148"/>
    <mergeCell ref="BC147:BC148"/>
    <mergeCell ref="BE147:BE148"/>
    <mergeCell ref="M149:M150"/>
    <mergeCell ref="BA149:BA150"/>
    <mergeCell ref="BC149:BC150"/>
    <mergeCell ref="BE149:BE150"/>
    <mergeCell ref="M143:M144"/>
    <mergeCell ref="BA143:BA144"/>
    <mergeCell ref="BC143:BC144"/>
    <mergeCell ref="BE143:BE144"/>
    <mergeCell ref="M145:M146"/>
    <mergeCell ref="BA145:BA146"/>
    <mergeCell ref="BC145:BC146"/>
    <mergeCell ref="BE145:BE146"/>
    <mergeCell ref="AK143:AK144"/>
    <mergeCell ref="AK145:AK146"/>
    <mergeCell ref="AK147:AK148"/>
    <mergeCell ref="AK149:AK150"/>
    <mergeCell ref="R149:R150"/>
    <mergeCell ref="R147:R148"/>
    <mergeCell ref="R145:R146"/>
    <mergeCell ref="R143:R144"/>
    <mergeCell ref="AU143:AU144"/>
    <mergeCell ref="AU145:AU146"/>
    <mergeCell ref="AU147:AU148"/>
    <mergeCell ref="AU149:AU150"/>
    <mergeCell ref="BA155:BA156"/>
    <mergeCell ref="BC155:BC156"/>
    <mergeCell ref="BE155:BE156"/>
    <mergeCell ref="M157:M158"/>
    <mergeCell ref="BA157:BA158"/>
    <mergeCell ref="BC157:BC158"/>
    <mergeCell ref="BE157:BE158"/>
    <mergeCell ref="M151:M152"/>
    <mergeCell ref="BA151:BA152"/>
    <mergeCell ref="BC151:BC152"/>
    <mergeCell ref="BE151:BE152"/>
    <mergeCell ref="M153:M154"/>
    <mergeCell ref="BA153:BA154"/>
    <mergeCell ref="BC153:BC154"/>
    <mergeCell ref="BE153:BE154"/>
    <mergeCell ref="AK151:AK152"/>
    <mergeCell ref="AK153:AK154"/>
    <mergeCell ref="AK155:AK156"/>
    <mergeCell ref="AK157:AK158"/>
    <mergeCell ref="R157:R158"/>
    <mergeCell ref="R155:R156"/>
    <mergeCell ref="R153:R154"/>
    <mergeCell ref="R151:R152"/>
    <mergeCell ref="AU151:AU152"/>
    <mergeCell ref="AU153:AU154"/>
    <mergeCell ref="AU155:AU156"/>
    <mergeCell ref="AU157:AU158"/>
    <mergeCell ref="BA163:BA164"/>
    <mergeCell ref="BC163:BC164"/>
    <mergeCell ref="BE163:BE164"/>
    <mergeCell ref="M165:M166"/>
    <mergeCell ref="BA165:BA166"/>
    <mergeCell ref="BC165:BC166"/>
    <mergeCell ref="BE165:BE166"/>
    <mergeCell ref="M159:M160"/>
    <mergeCell ref="BA159:BA160"/>
    <mergeCell ref="BC159:BC160"/>
    <mergeCell ref="BE159:BE160"/>
    <mergeCell ref="M161:M162"/>
    <mergeCell ref="BA161:BA162"/>
    <mergeCell ref="BC161:BC162"/>
    <mergeCell ref="BE161:BE162"/>
    <mergeCell ref="AK159:AK160"/>
    <mergeCell ref="AK161:AK162"/>
    <mergeCell ref="AK163:AK164"/>
    <mergeCell ref="AK165:AK166"/>
    <mergeCell ref="R163:R164"/>
    <mergeCell ref="R161:R162"/>
    <mergeCell ref="R159:R160"/>
    <mergeCell ref="R165:R166"/>
    <mergeCell ref="AU159:AU160"/>
    <mergeCell ref="AU161:AU162"/>
    <mergeCell ref="AU163:AU164"/>
    <mergeCell ref="AU165:AU166"/>
    <mergeCell ref="BA171:BA172"/>
    <mergeCell ref="BC171:BC172"/>
    <mergeCell ref="BE171:BE172"/>
    <mergeCell ref="M173:M174"/>
    <mergeCell ref="BA173:BA174"/>
    <mergeCell ref="BC173:BC174"/>
    <mergeCell ref="BE173:BE174"/>
    <mergeCell ref="M167:M168"/>
    <mergeCell ref="BA167:BA168"/>
    <mergeCell ref="BC167:BC168"/>
    <mergeCell ref="BE167:BE168"/>
    <mergeCell ref="M169:M170"/>
    <mergeCell ref="BA169:BA170"/>
    <mergeCell ref="BC169:BC170"/>
    <mergeCell ref="BE169:BE170"/>
    <mergeCell ref="AK167:AK168"/>
    <mergeCell ref="AK169:AK170"/>
    <mergeCell ref="AK171:AK172"/>
    <mergeCell ref="AK173:AK174"/>
    <mergeCell ref="R173:R174"/>
    <mergeCell ref="R171:R172"/>
    <mergeCell ref="R169:R170"/>
    <mergeCell ref="R167:R168"/>
    <mergeCell ref="AU167:AU168"/>
    <mergeCell ref="AU169:AU170"/>
    <mergeCell ref="AU171:AU172"/>
    <mergeCell ref="AU173:AU174"/>
    <mergeCell ref="BA179:BA180"/>
    <mergeCell ref="BC179:BC180"/>
    <mergeCell ref="BE179:BE180"/>
    <mergeCell ref="M181:M182"/>
    <mergeCell ref="BA181:BA182"/>
    <mergeCell ref="BC181:BC182"/>
    <mergeCell ref="BE181:BE182"/>
    <mergeCell ref="M175:M176"/>
    <mergeCell ref="BA175:BA176"/>
    <mergeCell ref="BC175:BC176"/>
    <mergeCell ref="BE175:BE176"/>
    <mergeCell ref="M177:M178"/>
    <mergeCell ref="BA177:BA178"/>
    <mergeCell ref="BC177:BC178"/>
    <mergeCell ref="BE177:BE178"/>
    <mergeCell ref="AK175:AK176"/>
    <mergeCell ref="AK177:AK178"/>
    <mergeCell ref="AK179:AK180"/>
    <mergeCell ref="AK181:AK182"/>
    <mergeCell ref="R181:R182"/>
    <mergeCell ref="R179:R180"/>
    <mergeCell ref="R177:R178"/>
    <mergeCell ref="R175:R176"/>
    <mergeCell ref="AU175:AU176"/>
    <mergeCell ref="AU177:AU178"/>
    <mergeCell ref="AU179:AU180"/>
    <mergeCell ref="AU181:AU182"/>
    <mergeCell ref="BA187:BA188"/>
    <mergeCell ref="BC187:BC188"/>
    <mergeCell ref="BE187:BE188"/>
    <mergeCell ref="M189:M190"/>
    <mergeCell ref="BA189:BA190"/>
    <mergeCell ref="BC189:BC190"/>
    <mergeCell ref="BE189:BE190"/>
    <mergeCell ref="M183:M184"/>
    <mergeCell ref="BA183:BA184"/>
    <mergeCell ref="BC183:BC184"/>
    <mergeCell ref="BE183:BE184"/>
    <mergeCell ref="M185:M186"/>
    <mergeCell ref="BA185:BA186"/>
    <mergeCell ref="BC185:BC186"/>
    <mergeCell ref="BE185:BE186"/>
    <mergeCell ref="AK183:AK184"/>
    <mergeCell ref="AK185:AK186"/>
    <mergeCell ref="AK187:AK188"/>
    <mergeCell ref="AK189:AK190"/>
    <mergeCell ref="R189:R190"/>
    <mergeCell ref="R187:R188"/>
    <mergeCell ref="R185:R186"/>
    <mergeCell ref="R183:R184"/>
    <mergeCell ref="AU183:AU184"/>
    <mergeCell ref="AU185:AU186"/>
    <mergeCell ref="AU187:AU188"/>
    <mergeCell ref="AU189:AU190"/>
    <mergeCell ref="BA195:BA196"/>
    <mergeCell ref="BC195:BC196"/>
    <mergeCell ref="BE195:BE196"/>
    <mergeCell ref="M197:M198"/>
    <mergeCell ref="BA197:BA198"/>
    <mergeCell ref="BC197:BC198"/>
    <mergeCell ref="BE197:BE198"/>
    <mergeCell ref="M191:M192"/>
    <mergeCell ref="BA191:BA192"/>
    <mergeCell ref="BC191:BC192"/>
    <mergeCell ref="BE191:BE192"/>
    <mergeCell ref="M193:M194"/>
    <mergeCell ref="BA193:BA194"/>
    <mergeCell ref="BC193:BC194"/>
    <mergeCell ref="BE193:BE194"/>
    <mergeCell ref="AK191:AK192"/>
    <mergeCell ref="AK193:AK194"/>
    <mergeCell ref="AK195:AK196"/>
    <mergeCell ref="AK197:AK198"/>
    <mergeCell ref="R197:R198"/>
    <mergeCell ref="R195:R196"/>
    <mergeCell ref="R193:R194"/>
    <mergeCell ref="R191:R192"/>
    <mergeCell ref="AU191:AU192"/>
    <mergeCell ref="AU193:AU194"/>
    <mergeCell ref="AU195:AU196"/>
    <mergeCell ref="AU197:AU198"/>
    <mergeCell ref="BA203:BA204"/>
    <mergeCell ref="BC203:BC204"/>
    <mergeCell ref="BE203:BE204"/>
    <mergeCell ref="M205:M206"/>
    <mergeCell ref="BA205:BA206"/>
    <mergeCell ref="BC205:BC206"/>
    <mergeCell ref="BE205:BE206"/>
    <mergeCell ref="M199:M200"/>
    <mergeCell ref="BA199:BA200"/>
    <mergeCell ref="BC199:BC200"/>
    <mergeCell ref="BE199:BE200"/>
    <mergeCell ref="M201:M202"/>
    <mergeCell ref="BA201:BA202"/>
    <mergeCell ref="BC201:BC202"/>
    <mergeCell ref="BE201:BE202"/>
    <mergeCell ref="AK199:AK200"/>
    <mergeCell ref="AK201:AK202"/>
    <mergeCell ref="AK203:AK204"/>
    <mergeCell ref="AK205:AK206"/>
    <mergeCell ref="R205:R206"/>
    <mergeCell ref="R203:R204"/>
    <mergeCell ref="R201:R202"/>
    <mergeCell ref="R199:R200"/>
    <mergeCell ref="AU199:AU200"/>
    <mergeCell ref="AU201:AU202"/>
    <mergeCell ref="AU203:AU204"/>
    <mergeCell ref="AU205:AU206"/>
    <mergeCell ref="BA211:BA212"/>
    <mergeCell ref="BC211:BC212"/>
    <mergeCell ref="BE211:BE212"/>
    <mergeCell ref="M213:M214"/>
    <mergeCell ref="BA213:BA214"/>
    <mergeCell ref="BC213:BC214"/>
    <mergeCell ref="BE213:BE214"/>
    <mergeCell ref="M207:M208"/>
    <mergeCell ref="BA207:BA208"/>
    <mergeCell ref="BC207:BC208"/>
    <mergeCell ref="BE207:BE208"/>
    <mergeCell ref="M209:M210"/>
    <mergeCell ref="BA209:BA210"/>
    <mergeCell ref="BC209:BC210"/>
    <mergeCell ref="BE209:BE210"/>
    <mergeCell ref="AK207:AK208"/>
    <mergeCell ref="AK209:AK210"/>
    <mergeCell ref="AK211:AK212"/>
    <mergeCell ref="AK213:AK214"/>
    <mergeCell ref="R213:R214"/>
    <mergeCell ref="R211:R212"/>
    <mergeCell ref="R209:R210"/>
    <mergeCell ref="R207:R208"/>
    <mergeCell ref="AU211:AU212"/>
    <mergeCell ref="AU213:AU214"/>
    <mergeCell ref="AU207:AU208"/>
    <mergeCell ref="AU209:AU210"/>
    <mergeCell ref="BA219:BA220"/>
    <mergeCell ref="BC219:BC220"/>
    <mergeCell ref="BE219:BE220"/>
    <mergeCell ref="M221:M222"/>
    <mergeCell ref="BA221:BA222"/>
    <mergeCell ref="BC221:BC222"/>
    <mergeCell ref="BE221:BE222"/>
    <mergeCell ref="M215:M216"/>
    <mergeCell ref="BA215:BA216"/>
    <mergeCell ref="BC215:BC216"/>
    <mergeCell ref="BE215:BE216"/>
    <mergeCell ref="M217:M218"/>
    <mergeCell ref="BA217:BA218"/>
    <mergeCell ref="BC217:BC218"/>
    <mergeCell ref="BE217:BE218"/>
    <mergeCell ref="AK215:AK216"/>
    <mergeCell ref="AK217:AK218"/>
    <mergeCell ref="AK219:AK220"/>
    <mergeCell ref="AK221:AK222"/>
    <mergeCell ref="R221:R222"/>
    <mergeCell ref="R219:R220"/>
    <mergeCell ref="R217:R218"/>
    <mergeCell ref="R215:R216"/>
    <mergeCell ref="AU215:AU216"/>
    <mergeCell ref="AU217:AU218"/>
    <mergeCell ref="AU219:AU220"/>
    <mergeCell ref="AU221:AU222"/>
    <mergeCell ref="BA227:BA228"/>
    <mergeCell ref="BC227:BC228"/>
    <mergeCell ref="BE227:BE228"/>
    <mergeCell ref="M229:M230"/>
    <mergeCell ref="BA229:BA230"/>
    <mergeCell ref="BC229:BC230"/>
    <mergeCell ref="BE229:BE230"/>
    <mergeCell ref="M223:M224"/>
    <mergeCell ref="BA223:BA224"/>
    <mergeCell ref="BC223:BC224"/>
    <mergeCell ref="BE223:BE224"/>
    <mergeCell ref="M225:M226"/>
    <mergeCell ref="BA225:BA226"/>
    <mergeCell ref="BC225:BC226"/>
    <mergeCell ref="BE225:BE226"/>
    <mergeCell ref="AK223:AK224"/>
    <mergeCell ref="AK225:AK226"/>
    <mergeCell ref="AK227:AK228"/>
    <mergeCell ref="AK229:AK230"/>
    <mergeCell ref="R229:R230"/>
    <mergeCell ref="R227:R228"/>
    <mergeCell ref="R225:R226"/>
    <mergeCell ref="R223:R224"/>
    <mergeCell ref="AU223:AU224"/>
    <mergeCell ref="AU225:AU226"/>
    <mergeCell ref="AU227:AU228"/>
    <mergeCell ref="AU229:AU230"/>
    <mergeCell ref="BA235:BA236"/>
    <mergeCell ref="BC235:BC236"/>
    <mergeCell ref="BE235:BE236"/>
    <mergeCell ref="M237:M238"/>
    <mergeCell ref="BA237:BA238"/>
    <mergeCell ref="BC237:BC238"/>
    <mergeCell ref="BE237:BE238"/>
    <mergeCell ref="M231:M232"/>
    <mergeCell ref="BA231:BA232"/>
    <mergeCell ref="BC231:BC232"/>
    <mergeCell ref="BE231:BE232"/>
    <mergeCell ref="M233:M234"/>
    <mergeCell ref="BA233:BA234"/>
    <mergeCell ref="BC233:BC234"/>
    <mergeCell ref="BE233:BE234"/>
    <mergeCell ref="AK231:AK232"/>
    <mergeCell ref="AK233:AK234"/>
    <mergeCell ref="AK235:AK236"/>
    <mergeCell ref="AK237:AK238"/>
    <mergeCell ref="R231:R232"/>
    <mergeCell ref="AU231:AU232"/>
    <mergeCell ref="AU233:AU234"/>
    <mergeCell ref="AU235:AU236"/>
    <mergeCell ref="AU237:AU238"/>
    <mergeCell ref="BA243:BA244"/>
    <mergeCell ref="BC243:BC244"/>
    <mergeCell ref="BE243:BE244"/>
    <mergeCell ref="M245:M246"/>
    <mergeCell ref="BA245:BA246"/>
    <mergeCell ref="BC245:BC246"/>
    <mergeCell ref="BE245:BE246"/>
    <mergeCell ref="M239:M240"/>
    <mergeCell ref="BA239:BA240"/>
    <mergeCell ref="BC239:BC240"/>
    <mergeCell ref="BE239:BE240"/>
    <mergeCell ref="M241:M242"/>
    <mergeCell ref="BA241:BA242"/>
    <mergeCell ref="BC241:BC242"/>
    <mergeCell ref="BE241:BE242"/>
    <mergeCell ref="AK239:AK240"/>
    <mergeCell ref="AK241:AK242"/>
    <mergeCell ref="AK243:AK244"/>
    <mergeCell ref="AK245:AK246"/>
    <mergeCell ref="AU239:AU240"/>
    <mergeCell ref="AU241:AU242"/>
    <mergeCell ref="AU243:AU244"/>
    <mergeCell ref="AU245:AU246"/>
    <mergeCell ref="M251:M252"/>
    <mergeCell ref="BA251:BA252"/>
    <mergeCell ref="BC251:BC252"/>
    <mergeCell ref="BE251:BE252"/>
    <mergeCell ref="M253:M254"/>
    <mergeCell ref="BA253:BA254"/>
    <mergeCell ref="BC253:BC254"/>
    <mergeCell ref="BE253:BE254"/>
    <mergeCell ref="M247:M248"/>
    <mergeCell ref="BA247:BA248"/>
    <mergeCell ref="BC247:BC248"/>
    <mergeCell ref="BE247:BE248"/>
    <mergeCell ref="M249:M250"/>
    <mergeCell ref="BA249:BA250"/>
    <mergeCell ref="BC249:BC250"/>
    <mergeCell ref="BE249:BE250"/>
    <mergeCell ref="AK247:AK248"/>
    <mergeCell ref="AK249:AK250"/>
    <mergeCell ref="AK251:AK252"/>
    <mergeCell ref="AK253:AK254"/>
    <mergeCell ref="AU247:AU248"/>
    <mergeCell ref="AU249:AU250"/>
    <mergeCell ref="AU251:AU252"/>
    <mergeCell ref="AU253:AU254"/>
    <mergeCell ref="M259:M260"/>
    <mergeCell ref="BA259:BA260"/>
    <mergeCell ref="BC259:BC260"/>
    <mergeCell ref="BE259:BE260"/>
    <mergeCell ref="M261:M262"/>
    <mergeCell ref="BA261:BA262"/>
    <mergeCell ref="BC261:BC262"/>
    <mergeCell ref="BE261:BE262"/>
    <mergeCell ref="M255:M256"/>
    <mergeCell ref="BA255:BA256"/>
    <mergeCell ref="BC255:BC256"/>
    <mergeCell ref="BE255:BE256"/>
    <mergeCell ref="M257:M258"/>
    <mergeCell ref="BA257:BA258"/>
    <mergeCell ref="BC257:BC258"/>
    <mergeCell ref="BE257:BE258"/>
    <mergeCell ref="AK255:AK256"/>
    <mergeCell ref="AK257:AK258"/>
    <mergeCell ref="AK259:AK260"/>
    <mergeCell ref="AK261:AK262"/>
    <mergeCell ref="AU255:AU256"/>
    <mergeCell ref="AU257:AU258"/>
    <mergeCell ref="AU259:AU260"/>
    <mergeCell ref="AU261:AU262"/>
    <mergeCell ref="M267:M268"/>
    <mergeCell ref="BA267:BA268"/>
    <mergeCell ref="BC267:BC268"/>
    <mergeCell ref="BE267:BE268"/>
    <mergeCell ref="M269:M270"/>
    <mergeCell ref="BA269:BA270"/>
    <mergeCell ref="BC269:BC270"/>
    <mergeCell ref="BE269:BE270"/>
    <mergeCell ref="M263:M264"/>
    <mergeCell ref="BA263:BA264"/>
    <mergeCell ref="BC263:BC264"/>
    <mergeCell ref="BE263:BE264"/>
    <mergeCell ref="M265:M266"/>
    <mergeCell ref="BA265:BA266"/>
    <mergeCell ref="BC265:BC266"/>
    <mergeCell ref="BE265:BE266"/>
    <mergeCell ref="AK263:AK264"/>
    <mergeCell ref="AK265:AK266"/>
    <mergeCell ref="AK267:AK268"/>
    <mergeCell ref="AK269:AK270"/>
    <mergeCell ref="AU265:AU266"/>
    <mergeCell ref="AU267:AU268"/>
    <mergeCell ref="AU269:AU270"/>
    <mergeCell ref="AU263:AU264"/>
    <mergeCell ref="M275:M276"/>
    <mergeCell ref="BA275:BA276"/>
    <mergeCell ref="BC275:BC276"/>
    <mergeCell ref="BE275:BE276"/>
    <mergeCell ref="M277:M278"/>
    <mergeCell ref="BA277:BA278"/>
    <mergeCell ref="BC277:BC278"/>
    <mergeCell ref="BE277:BE278"/>
    <mergeCell ref="M271:M272"/>
    <mergeCell ref="BA271:BA272"/>
    <mergeCell ref="BC271:BC272"/>
    <mergeCell ref="BE271:BE272"/>
    <mergeCell ref="M273:M274"/>
    <mergeCell ref="BA273:BA274"/>
    <mergeCell ref="BC273:BC274"/>
    <mergeCell ref="BE273:BE274"/>
    <mergeCell ref="AK271:AK272"/>
    <mergeCell ref="AK273:AK274"/>
    <mergeCell ref="AK275:AK276"/>
    <mergeCell ref="AK277:AK278"/>
    <mergeCell ref="AU271:AU272"/>
    <mergeCell ref="AU273:AU274"/>
    <mergeCell ref="AU275:AU276"/>
    <mergeCell ref="AU277:AU278"/>
  </mergeCells>
  <phoneticPr fontId="1"/>
  <conditionalFormatting sqref="F1:G1048576">
    <cfRule type="expression" dxfId="1499" priority="1009">
      <formula>F1&lt;#REF!</formula>
    </cfRule>
    <cfRule type="expression" dxfId="1498" priority="1010">
      <formula>F1&gt;#REF!</formula>
    </cfRule>
  </conditionalFormatting>
  <conditionalFormatting sqref="I1:K1048576">
    <cfRule type="expression" dxfId="1497" priority="1007">
      <formula>I1&lt;#REF!</formula>
    </cfRule>
    <cfRule type="expression" dxfId="1496" priority="1008">
      <formula>I1&gt;#REF!</formula>
    </cfRule>
  </conditionalFormatting>
  <conditionalFormatting sqref="M1:M1048576">
    <cfRule type="expression" dxfId="1495" priority="1005">
      <formula>M1&lt;#REF!</formula>
    </cfRule>
    <cfRule type="expression" dxfId="1494" priority="1006">
      <formula>M1&gt;#REF!</formula>
    </cfRule>
  </conditionalFormatting>
  <conditionalFormatting sqref="AZ1:BB6 AZ279:BB1048576 AZ39 AZ37 AZ35 AZ33 AZ31 AZ29 AZ27 AZ25 AZ23 AZ21 AZ19 AZ17 AZ15 AZ13 AZ11 BB9 BB11 BB13 BB15 BB17 BB19 BB21 BB23 BB25 BB27 BB29 BB31 BB33 BB35 BB37 BB39 AZ7:AZ9 BB7">
    <cfRule type="expression" dxfId="1493" priority="1003">
      <formula>AZ1&lt;#REF!</formula>
    </cfRule>
    <cfRule type="expression" dxfId="1492" priority="1004">
      <formula>AZ1&gt;#REF!</formula>
    </cfRule>
  </conditionalFormatting>
  <conditionalFormatting sqref="BB8">
    <cfRule type="expression" dxfId="1491" priority="1001">
      <formula>BB8&lt;#REF!</formula>
    </cfRule>
    <cfRule type="expression" dxfId="1490" priority="1002">
      <formula>BB8&gt;#REF!</formula>
    </cfRule>
  </conditionalFormatting>
  <conditionalFormatting sqref="BC1:BF6 BC279:BF1048576 BD29 BD31 BD33 BD35 BD37 BD39 BD11 BD13 BD15 BD17 BD19 BD21 BD23 BD25 BD27 BD7:BD9 BF7 BF27 BF25 BF23 BF21 BF19 BF17 BF15 BF13 BF11 BF9 BF39 BF37 BF35 BF33 BF31 BF29">
    <cfRule type="expression" dxfId="1489" priority="999">
      <formula>BC1&lt;#REF!</formula>
    </cfRule>
    <cfRule type="expression" dxfId="1488" priority="1000">
      <formula>BC1&gt;#REF!</formula>
    </cfRule>
  </conditionalFormatting>
  <conditionalFormatting sqref="BF8">
    <cfRule type="expression" dxfId="1487" priority="997">
      <formula>BF8&lt;#REF!</formula>
    </cfRule>
    <cfRule type="expression" dxfId="1486" priority="998">
      <formula>BF8&gt;#REF!</formula>
    </cfRule>
  </conditionalFormatting>
  <conditionalFormatting sqref="AZ41 AZ43 AZ45 AZ47 AZ49 AZ51 AZ53 AZ55 AZ57 AZ59 AZ61 AZ63 AZ65 AZ67 AZ69 AZ71 AZ73 BB73 BB71 BB69 BB67 BB65 BB63 BB61 BB59 BB57 BB55 BB53 BB51 BB49 BB47 BB45 BB43 BB41">
    <cfRule type="expression" dxfId="1485" priority="995">
      <formula>AZ41&lt;#REF!</formula>
    </cfRule>
    <cfRule type="expression" dxfId="1484" priority="996">
      <formula>AZ41&gt;#REF!</formula>
    </cfRule>
  </conditionalFormatting>
  <conditionalFormatting sqref="BD41 BD63 BD65 BD67 BD69 BD71 BD73 BD43 BD45 BD47 BD49 BD51 BD53 BD55 BD57 BD59 BD61 BF61 BF59 BF57 BF55 BF53 BF51 BF49 BF47 BF45 BF43 BF73 BF71 BF69 BF67 BF65 BF63 BF41">
    <cfRule type="expression" dxfId="1483" priority="993">
      <formula>BD41&lt;#REF!</formula>
    </cfRule>
    <cfRule type="expression" dxfId="1482" priority="994">
      <formula>BD41&gt;#REF!</formula>
    </cfRule>
  </conditionalFormatting>
  <conditionalFormatting sqref="AZ75 AZ77 AZ79 AZ81 AZ83 AZ85 AZ87 AZ89 AZ91 AZ93 AZ95 AZ97 AZ99 AZ101 AZ103 AZ105 AZ107 BB107 BB105 BB103 BB101 BB99 BB97 BB95 BB93 BB91 BB89 BB87 BB85 BB83 BB81 BB79 BB77 BB75">
    <cfRule type="expression" dxfId="1481" priority="991">
      <formula>AZ75&lt;#REF!</formula>
    </cfRule>
    <cfRule type="expression" dxfId="1480" priority="992">
      <formula>AZ75&gt;#REF!</formula>
    </cfRule>
  </conditionalFormatting>
  <conditionalFormatting sqref="BD75 BD97 BD99 BD101 BD103 BD105 BD107 BD77 BD79 BD81 BD83 BD85 BD87 BD89 BD91 BD93 BD95 BF95 BF93 BF91 BF89 BF87 BF85 BF83 BF81 BF79 BF77 BF107 BF105 BF103 BF101 BF99 BF97 BF75">
    <cfRule type="expression" dxfId="1479" priority="989">
      <formula>BD75&lt;#REF!</formula>
    </cfRule>
    <cfRule type="expression" dxfId="1478" priority="990">
      <formula>BD75&gt;#REF!</formula>
    </cfRule>
  </conditionalFormatting>
  <conditionalFormatting sqref="AZ109 AZ111 AZ113 AZ115 AZ117 AZ119 AZ121 AZ123 AZ125 AZ127 AZ129 AZ131 AZ133 AZ135 AZ137 AZ139 AZ141 BB141 BB139 BB137 BB135 BB133 BB131 BB129 BB127 BB125 BB123 BB121 BB119 BB117 BB115 BB113 BB111 BB109">
    <cfRule type="expression" dxfId="1477" priority="987">
      <formula>AZ109&lt;#REF!</formula>
    </cfRule>
    <cfRule type="expression" dxfId="1476" priority="988">
      <formula>AZ109&gt;#REF!</formula>
    </cfRule>
  </conditionalFormatting>
  <conditionalFormatting sqref="BD109 BD131 BD133 BD135 BD137 BD139 BD141 BD111 BD113 BD115 BD117 BD119 BD121 BD123 BD125 BD127 BD129 BF129 BF127 BF125 BF123 BF121 BF119 BF117 BF115 BF113 BF111 BF141 BF139 BF137 BF135 BF133 BF131 BF109">
    <cfRule type="expression" dxfId="1475" priority="985">
      <formula>BD109&lt;#REF!</formula>
    </cfRule>
    <cfRule type="expression" dxfId="1474" priority="986">
      <formula>BD109&gt;#REF!</formula>
    </cfRule>
  </conditionalFormatting>
  <conditionalFormatting sqref="AZ143 AZ145 AZ147 AZ149 AZ151 AZ153 AZ155 AZ157 AZ159 AZ161 AZ163 AZ165 AZ167 AZ169 AZ171 AZ173 AZ175 BB175 BB173 BB171 BB169 BB167 BB165 BB163 BB161 BB159 BB157 BB155 BB153 BB151 BB149 BB147 BB145 BB143">
    <cfRule type="expression" dxfId="1473" priority="983">
      <formula>AZ143&lt;#REF!</formula>
    </cfRule>
    <cfRule type="expression" dxfId="1472" priority="984">
      <formula>AZ143&gt;#REF!</formula>
    </cfRule>
  </conditionalFormatting>
  <conditionalFormatting sqref="BD143 BD165 BD167 BD169 BD171 BD173 BD175 BD145 BD147 BD149 BD151 BD153 BD155 BD157 BD159 BD161 BD163 BF163 BF161 BF159 BF157 BF155 BF153 BF151 BF149 BF147 BF145 BF175 BF173 BF171 BF169 BF167 BF165 BF143">
    <cfRule type="expression" dxfId="1471" priority="981">
      <formula>BD143&lt;#REF!</formula>
    </cfRule>
    <cfRule type="expression" dxfId="1470" priority="982">
      <formula>BD143&gt;#REF!</formula>
    </cfRule>
  </conditionalFormatting>
  <conditionalFormatting sqref="AZ177 AZ179 AZ181 AZ183 AZ185 AZ187 AZ189 AZ191 AZ193 AZ195 AZ197 AZ199 AZ201 AZ203 AZ205 AZ207 AZ209 BB209 BB207 BB205 BB203 BB201 BB199 BB197 BB195 BB193 BB191 BB189 BB187 BB185 BB183 BB181 BB179 BB177">
    <cfRule type="expression" dxfId="1469" priority="979">
      <formula>AZ177&lt;#REF!</formula>
    </cfRule>
    <cfRule type="expression" dxfId="1468" priority="980">
      <formula>AZ177&gt;#REF!</formula>
    </cfRule>
  </conditionalFormatting>
  <conditionalFormatting sqref="BD177 BD199 BD201 BD203 BD205 BD207 BD209 BD179 BD181 BD183 BD185 BD187 BD189 BD191 BD193 BD195 BD197 BF197 BF195 BF193 BF191 BF189 BF187 BF185 BF183 BF181 BF179 BF209 BF207 BF205 BF203 BF201 BF199 BF177">
    <cfRule type="expression" dxfId="1467" priority="977">
      <formula>BD177&lt;#REF!</formula>
    </cfRule>
    <cfRule type="expression" dxfId="1466" priority="978">
      <formula>BD177&gt;#REF!</formula>
    </cfRule>
  </conditionalFormatting>
  <conditionalFormatting sqref="AZ211 AZ213 AZ215 AZ217 AZ219 AZ221 AZ223 AZ225 AZ227 AZ229 AZ231 AZ233 AZ235 AZ237 AZ239 AZ241 AZ243 BB243 BB241 BB239 BB237 BB235 BB233 BB231 BB229 BB227 BB225 BB223 BB221 BB219 BB217 BB215 BB213 BB211">
    <cfRule type="expression" dxfId="1465" priority="975">
      <formula>AZ211&lt;#REF!</formula>
    </cfRule>
    <cfRule type="expression" dxfId="1464" priority="976">
      <formula>AZ211&gt;#REF!</formula>
    </cfRule>
  </conditionalFormatting>
  <conditionalFormatting sqref="BD211 BD233 BD235 BD237 BD239 BD241 BD243 BD213 BD215 BD217 BD219 BD221 BD223 BD225 BD227 BD229 BD231 BF231 BF229 BF227 BF225 BF223 BF221 BF219 BF217 BF215 BF213 BF243 BF241 BF239 BF237 BF235 BF233 BF211">
    <cfRule type="expression" dxfId="1463" priority="973">
      <formula>BD211&lt;#REF!</formula>
    </cfRule>
    <cfRule type="expression" dxfId="1462" priority="974">
      <formula>BD211&gt;#REF!</formula>
    </cfRule>
  </conditionalFormatting>
  <conditionalFormatting sqref="AZ245 AZ247 AZ249 AZ251 AZ253 AZ255 AZ257 AZ259 AZ261 AZ263 AZ265 AZ267 AZ269 AZ271 AZ273 AZ275 AZ277 BB277 BB275 BB273 BB271 BB269 BB267 BB265 BB263 BB261 BB259 BB257 BB255 BB253 BB251 BB249 BB247 BB245">
    <cfRule type="expression" dxfId="1461" priority="971">
      <formula>AZ245&lt;#REF!</formula>
    </cfRule>
    <cfRule type="expression" dxfId="1460" priority="972">
      <formula>AZ245&gt;#REF!</formula>
    </cfRule>
  </conditionalFormatting>
  <conditionalFormatting sqref="BD245 BD267 BD269 BD271 BD273 BD275 BD277 BD247 BD249 BD251 BD253 BD255 BD257 BD259 BD261 BD263 BD265 BF265 BF263 BF261 BF259 BF257 BF255 BF253 BF251 BF249 BF247 BF277 BF275 BF273 BF271 BF269 BF267 BF245">
    <cfRule type="expression" dxfId="1459" priority="969">
      <formula>BD245&lt;#REF!</formula>
    </cfRule>
    <cfRule type="expression" dxfId="1458" priority="970">
      <formula>BD245&gt;#REF!</formula>
    </cfRule>
  </conditionalFormatting>
  <conditionalFormatting sqref="AZ10">
    <cfRule type="expression" dxfId="1457" priority="967">
      <formula>AZ10&lt;#REF!</formula>
    </cfRule>
    <cfRule type="expression" dxfId="1456" priority="968">
      <formula>AZ10&gt;#REF!</formula>
    </cfRule>
  </conditionalFormatting>
  <conditionalFormatting sqref="BB10">
    <cfRule type="expression" dxfId="1455" priority="965">
      <formula>BB10&lt;#REF!</formula>
    </cfRule>
    <cfRule type="expression" dxfId="1454" priority="966">
      <formula>BB10&gt;#REF!</formula>
    </cfRule>
  </conditionalFormatting>
  <conditionalFormatting sqref="BD10">
    <cfRule type="expression" dxfId="1453" priority="963">
      <formula>BD10&lt;#REF!</formula>
    </cfRule>
    <cfRule type="expression" dxfId="1452" priority="964">
      <formula>BD10&gt;#REF!</formula>
    </cfRule>
  </conditionalFormatting>
  <conditionalFormatting sqref="BF10">
    <cfRule type="expression" dxfId="1451" priority="961">
      <formula>BF10&lt;#REF!</formula>
    </cfRule>
    <cfRule type="expression" dxfId="1450" priority="962">
      <formula>BF10&gt;#REF!</formula>
    </cfRule>
  </conditionalFormatting>
  <conditionalFormatting sqref="AZ12">
    <cfRule type="expression" dxfId="1449" priority="959">
      <formula>AZ12&lt;#REF!</formula>
    </cfRule>
    <cfRule type="expression" dxfId="1448" priority="960">
      <formula>AZ12&gt;#REF!</formula>
    </cfRule>
  </conditionalFormatting>
  <conditionalFormatting sqref="BB12">
    <cfRule type="expression" dxfId="1447" priority="957">
      <formula>BB12&lt;#REF!</formula>
    </cfRule>
    <cfRule type="expression" dxfId="1446" priority="958">
      <formula>BB12&gt;#REF!</formula>
    </cfRule>
  </conditionalFormatting>
  <conditionalFormatting sqref="BD12">
    <cfRule type="expression" dxfId="1445" priority="955">
      <formula>BD12&lt;#REF!</formula>
    </cfRule>
    <cfRule type="expression" dxfId="1444" priority="956">
      <formula>BD12&gt;#REF!</formula>
    </cfRule>
  </conditionalFormatting>
  <conditionalFormatting sqref="BF12">
    <cfRule type="expression" dxfId="1443" priority="953">
      <formula>BF12&lt;#REF!</formula>
    </cfRule>
    <cfRule type="expression" dxfId="1442" priority="954">
      <formula>BF12&gt;#REF!</formula>
    </cfRule>
  </conditionalFormatting>
  <conditionalFormatting sqref="AZ14">
    <cfRule type="expression" dxfId="1441" priority="951">
      <formula>AZ14&lt;#REF!</formula>
    </cfRule>
    <cfRule type="expression" dxfId="1440" priority="952">
      <formula>AZ14&gt;#REF!</formula>
    </cfRule>
  </conditionalFormatting>
  <conditionalFormatting sqref="BB14">
    <cfRule type="expression" dxfId="1439" priority="949">
      <formula>BB14&lt;#REF!</formula>
    </cfRule>
    <cfRule type="expression" dxfId="1438" priority="950">
      <formula>BB14&gt;#REF!</formula>
    </cfRule>
  </conditionalFormatting>
  <conditionalFormatting sqref="BD14">
    <cfRule type="expression" dxfId="1437" priority="947">
      <formula>BD14&lt;#REF!</formula>
    </cfRule>
    <cfRule type="expression" dxfId="1436" priority="948">
      <formula>BD14&gt;#REF!</formula>
    </cfRule>
  </conditionalFormatting>
  <conditionalFormatting sqref="BF14">
    <cfRule type="expression" dxfId="1435" priority="945">
      <formula>BF14&lt;#REF!</formula>
    </cfRule>
    <cfRule type="expression" dxfId="1434" priority="946">
      <formula>BF14&gt;#REF!</formula>
    </cfRule>
  </conditionalFormatting>
  <conditionalFormatting sqref="AZ16">
    <cfRule type="expression" dxfId="1433" priority="943">
      <formula>AZ16&lt;#REF!</formula>
    </cfRule>
    <cfRule type="expression" dxfId="1432" priority="944">
      <formula>AZ16&gt;#REF!</formula>
    </cfRule>
  </conditionalFormatting>
  <conditionalFormatting sqref="BB16">
    <cfRule type="expression" dxfId="1431" priority="941">
      <formula>BB16&lt;#REF!</formula>
    </cfRule>
    <cfRule type="expression" dxfId="1430" priority="942">
      <formula>BB16&gt;#REF!</formula>
    </cfRule>
  </conditionalFormatting>
  <conditionalFormatting sqref="BD16">
    <cfRule type="expression" dxfId="1429" priority="939">
      <formula>BD16&lt;#REF!</formula>
    </cfRule>
    <cfRule type="expression" dxfId="1428" priority="940">
      <formula>BD16&gt;#REF!</formula>
    </cfRule>
  </conditionalFormatting>
  <conditionalFormatting sqref="BF16">
    <cfRule type="expression" dxfId="1427" priority="937">
      <formula>BF16&lt;#REF!</formula>
    </cfRule>
    <cfRule type="expression" dxfId="1426" priority="938">
      <formula>BF16&gt;#REF!</formula>
    </cfRule>
  </conditionalFormatting>
  <conditionalFormatting sqref="AZ18">
    <cfRule type="expression" dxfId="1425" priority="935">
      <formula>AZ18&lt;#REF!</formula>
    </cfRule>
    <cfRule type="expression" dxfId="1424" priority="936">
      <formula>AZ18&gt;#REF!</formula>
    </cfRule>
  </conditionalFormatting>
  <conditionalFormatting sqref="BB18">
    <cfRule type="expression" dxfId="1423" priority="933">
      <formula>BB18&lt;#REF!</formula>
    </cfRule>
    <cfRule type="expression" dxfId="1422" priority="934">
      <formula>BB18&gt;#REF!</formula>
    </cfRule>
  </conditionalFormatting>
  <conditionalFormatting sqref="BD18">
    <cfRule type="expression" dxfId="1421" priority="931">
      <formula>BD18&lt;#REF!</formula>
    </cfRule>
    <cfRule type="expression" dxfId="1420" priority="932">
      <formula>BD18&gt;#REF!</formula>
    </cfRule>
  </conditionalFormatting>
  <conditionalFormatting sqref="BF18">
    <cfRule type="expression" dxfId="1419" priority="929">
      <formula>BF18&lt;#REF!</formula>
    </cfRule>
    <cfRule type="expression" dxfId="1418" priority="930">
      <formula>BF18&gt;#REF!</formula>
    </cfRule>
  </conditionalFormatting>
  <conditionalFormatting sqref="AZ20">
    <cfRule type="expression" dxfId="1417" priority="927">
      <formula>AZ20&lt;#REF!</formula>
    </cfRule>
    <cfRule type="expression" dxfId="1416" priority="928">
      <formula>AZ20&gt;#REF!</formula>
    </cfRule>
  </conditionalFormatting>
  <conditionalFormatting sqref="BB20">
    <cfRule type="expression" dxfId="1415" priority="925">
      <formula>BB20&lt;#REF!</formula>
    </cfRule>
    <cfRule type="expression" dxfId="1414" priority="926">
      <formula>BB20&gt;#REF!</formula>
    </cfRule>
  </conditionalFormatting>
  <conditionalFormatting sqref="BD20">
    <cfRule type="expression" dxfId="1413" priority="923">
      <formula>BD20&lt;#REF!</formula>
    </cfRule>
    <cfRule type="expression" dxfId="1412" priority="924">
      <formula>BD20&gt;#REF!</formula>
    </cfRule>
  </conditionalFormatting>
  <conditionalFormatting sqref="BF20">
    <cfRule type="expression" dxfId="1411" priority="921">
      <formula>BF20&lt;#REF!</formula>
    </cfRule>
    <cfRule type="expression" dxfId="1410" priority="922">
      <formula>BF20&gt;#REF!</formula>
    </cfRule>
  </conditionalFormatting>
  <conditionalFormatting sqref="AZ22">
    <cfRule type="expression" dxfId="1409" priority="919">
      <formula>AZ22&lt;#REF!</formula>
    </cfRule>
    <cfRule type="expression" dxfId="1408" priority="920">
      <formula>AZ22&gt;#REF!</formula>
    </cfRule>
  </conditionalFormatting>
  <conditionalFormatting sqref="BB22">
    <cfRule type="expression" dxfId="1407" priority="917">
      <formula>BB22&lt;#REF!</formula>
    </cfRule>
    <cfRule type="expression" dxfId="1406" priority="918">
      <formula>BB22&gt;#REF!</formula>
    </cfRule>
  </conditionalFormatting>
  <conditionalFormatting sqref="BD22">
    <cfRule type="expression" dxfId="1405" priority="915">
      <formula>BD22&lt;#REF!</formula>
    </cfRule>
    <cfRule type="expression" dxfId="1404" priority="916">
      <formula>BD22&gt;#REF!</formula>
    </cfRule>
  </conditionalFormatting>
  <conditionalFormatting sqref="BF22">
    <cfRule type="expression" dxfId="1403" priority="913">
      <formula>BF22&lt;#REF!</formula>
    </cfRule>
    <cfRule type="expression" dxfId="1402" priority="914">
      <formula>BF22&gt;#REF!</formula>
    </cfRule>
  </conditionalFormatting>
  <conditionalFormatting sqref="AZ24">
    <cfRule type="expression" dxfId="1401" priority="911">
      <formula>AZ24&lt;#REF!</formula>
    </cfRule>
    <cfRule type="expression" dxfId="1400" priority="912">
      <formula>AZ24&gt;#REF!</formula>
    </cfRule>
  </conditionalFormatting>
  <conditionalFormatting sqref="BB24">
    <cfRule type="expression" dxfId="1399" priority="909">
      <formula>BB24&lt;#REF!</formula>
    </cfRule>
    <cfRule type="expression" dxfId="1398" priority="910">
      <formula>BB24&gt;#REF!</formula>
    </cfRule>
  </conditionalFormatting>
  <conditionalFormatting sqref="BD24">
    <cfRule type="expression" dxfId="1397" priority="907">
      <formula>BD24&lt;#REF!</formula>
    </cfRule>
    <cfRule type="expression" dxfId="1396" priority="908">
      <formula>BD24&gt;#REF!</formula>
    </cfRule>
  </conditionalFormatting>
  <conditionalFormatting sqref="BF24">
    <cfRule type="expression" dxfId="1395" priority="905">
      <formula>BF24&lt;#REF!</formula>
    </cfRule>
    <cfRule type="expression" dxfId="1394" priority="906">
      <formula>BF24&gt;#REF!</formula>
    </cfRule>
  </conditionalFormatting>
  <conditionalFormatting sqref="AZ26">
    <cfRule type="expression" dxfId="1393" priority="903">
      <formula>AZ26&lt;#REF!</formula>
    </cfRule>
    <cfRule type="expression" dxfId="1392" priority="904">
      <formula>AZ26&gt;#REF!</formula>
    </cfRule>
  </conditionalFormatting>
  <conditionalFormatting sqref="BB26">
    <cfRule type="expression" dxfId="1391" priority="901">
      <formula>BB26&lt;#REF!</formula>
    </cfRule>
    <cfRule type="expression" dxfId="1390" priority="902">
      <formula>BB26&gt;#REF!</formula>
    </cfRule>
  </conditionalFormatting>
  <conditionalFormatting sqref="BD26">
    <cfRule type="expression" dxfId="1389" priority="899">
      <formula>BD26&lt;#REF!</formula>
    </cfRule>
    <cfRule type="expression" dxfId="1388" priority="900">
      <formula>BD26&gt;#REF!</formula>
    </cfRule>
  </conditionalFormatting>
  <conditionalFormatting sqref="BF26">
    <cfRule type="expression" dxfId="1387" priority="897">
      <formula>BF26&lt;#REF!</formula>
    </cfRule>
    <cfRule type="expression" dxfId="1386" priority="898">
      <formula>BF26&gt;#REF!</formula>
    </cfRule>
  </conditionalFormatting>
  <conditionalFormatting sqref="AZ28">
    <cfRule type="expression" dxfId="1385" priority="895">
      <formula>AZ28&lt;#REF!</formula>
    </cfRule>
    <cfRule type="expression" dxfId="1384" priority="896">
      <formula>AZ28&gt;#REF!</formula>
    </cfRule>
  </conditionalFormatting>
  <conditionalFormatting sqref="BB28">
    <cfRule type="expression" dxfId="1383" priority="893">
      <formula>BB28&lt;#REF!</formula>
    </cfRule>
    <cfRule type="expression" dxfId="1382" priority="894">
      <formula>BB28&gt;#REF!</formula>
    </cfRule>
  </conditionalFormatting>
  <conditionalFormatting sqref="BD28">
    <cfRule type="expression" dxfId="1381" priority="891">
      <formula>BD28&lt;#REF!</formula>
    </cfRule>
    <cfRule type="expression" dxfId="1380" priority="892">
      <formula>BD28&gt;#REF!</formula>
    </cfRule>
  </conditionalFormatting>
  <conditionalFormatting sqref="BF28">
    <cfRule type="expression" dxfId="1379" priority="889">
      <formula>BF28&lt;#REF!</formula>
    </cfRule>
    <cfRule type="expression" dxfId="1378" priority="890">
      <formula>BF28&gt;#REF!</formula>
    </cfRule>
  </conditionalFormatting>
  <conditionalFormatting sqref="AZ30">
    <cfRule type="expression" dxfId="1377" priority="887">
      <formula>AZ30&lt;#REF!</formula>
    </cfRule>
    <cfRule type="expression" dxfId="1376" priority="888">
      <formula>AZ30&gt;#REF!</formula>
    </cfRule>
  </conditionalFormatting>
  <conditionalFormatting sqref="BB30">
    <cfRule type="expression" dxfId="1375" priority="885">
      <formula>BB30&lt;#REF!</formula>
    </cfRule>
    <cfRule type="expression" dxfId="1374" priority="886">
      <formula>BB30&gt;#REF!</formula>
    </cfRule>
  </conditionalFormatting>
  <conditionalFormatting sqref="BD30">
    <cfRule type="expression" dxfId="1373" priority="883">
      <formula>BD30&lt;#REF!</formula>
    </cfRule>
    <cfRule type="expression" dxfId="1372" priority="884">
      <formula>BD30&gt;#REF!</formula>
    </cfRule>
  </conditionalFormatting>
  <conditionalFormatting sqref="BF30">
    <cfRule type="expression" dxfId="1371" priority="881">
      <formula>BF30&lt;#REF!</formula>
    </cfRule>
    <cfRule type="expression" dxfId="1370" priority="882">
      <formula>BF30&gt;#REF!</formula>
    </cfRule>
  </conditionalFormatting>
  <conditionalFormatting sqref="AZ32">
    <cfRule type="expression" dxfId="1369" priority="879">
      <formula>AZ32&lt;#REF!</formula>
    </cfRule>
    <cfRule type="expression" dxfId="1368" priority="880">
      <formula>AZ32&gt;#REF!</formula>
    </cfRule>
  </conditionalFormatting>
  <conditionalFormatting sqref="BB32">
    <cfRule type="expression" dxfId="1367" priority="877">
      <formula>BB32&lt;#REF!</formula>
    </cfRule>
    <cfRule type="expression" dxfId="1366" priority="878">
      <formula>BB32&gt;#REF!</formula>
    </cfRule>
  </conditionalFormatting>
  <conditionalFormatting sqref="BD32">
    <cfRule type="expression" dxfId="1365" priority="875">
      <formula>BD32&lt;#REF!</formula>
    </cfRule>
    <cfRule type="expression" dxfId="1364" priority="876">
      <formula>BD32&gt;#REF!</formula>
    </cfRule>
  </conditionalFormatting>
  <conditionalFormatting sqref="BF32">
    <cfRule type="expression" dxfId="1363" priority="873">
      <formula>BF32&lt;#REF!</formula>
    </cfRule>
    <cfRule type="expression" dxfId="1362" priority="874">
      <formula>BF32&gt;#REF!</formula>
    </cfRule>
  </conditionalFormatting>
  <conditionalFormatting sqref="AZ34">
    <cfRule type="expression" dxfId="1361" priority="871">
      <formula>AZ34&lt;#REF!</formula>
    </cfRule>
    <cfRule type="expression" dxfId="1360" priority="872">
      <formula>AZ34&gt;#REF!</formula>
    </cfRule>
  </conditionalFormatting>
  <conditionalFormatting sqref="BB34">
    <cfRule type="expression" dxfId="1359" priority="869">
      <formula>BB34&lt;#REF!</formula>
    </cfRule>
    <cfRule type="expression" dxfId="1358" priority="870">
      <formula>BB34&gt;#REF!</formula>
    </cfRule>
  </conditionalFormatting>
  <conditionalFormatting sqref="BD34">
    <cfRule type="expression" dxfId="1357" priority="867">
      <formula>BD34&lt;#REF!</formula>
    </cfRule>
    <cfRule type="expression" dxfId="1356" priority="868">
      <formula>BD34&gt;#REF!</formula>
    </cfRule>
  </conditionalFormatting>
  <conditionalFormatting sqref="BF34">
    <cfRule type="expression" dxfId="1355" priority="865">
      <formula>BF34&lt;#REF!</formula>
    </cfRule>
    <cfRule type="expression" dxfId="1354" priority="866">
      <formula>BF34&gt;#REF!</formula>
    </cfRule>
  </conditionalFormatting>
  <conditionalFormatting sqref="AZ36">
    <cfRule type="expression" dxfId="1353" priority="863">
      <formula>AZ36&lt;#REF!</formula>
    </cfRule>
    <cfRule type="expression" dxfId="1352" priority="864">
      <formula>AZ36&gt;#REF!</formula>
    </cfRule>
  </conditionalFormatting>
  <conditionalFormatting sqref="BB36">
    <cfRule type="expression" dxfId="1351" priority="861">
      <formula>BB36&lt;#REF!</formula>
    </cfRule>
    <cfRule type="expression" dxfId="1350" priority="862">
      <formula>BB36&gt;#REF!</formula>
    </cfRule>
  </conditionalFormatting>
  <conditionalFormatting sqref="BD36">
    <cfRule type="expression" dxfId="1349" priority="859">
      <formula>BD36&lt;#REF!</formula>
    </cfRule>
    <cfRule type="expression" dxfId="1348" priority="860">
      <formula>BD36&gt;#REF!</formula>
    </cfRule>
  </conditionalFormatting>
  <conditionalFormatting sqref="BF36">
    <cfRule type="expression" dxfId="1347" priority="857">
      <formula>BF36&lt;#REF!</formula>
    </cfRule>
    <cfRule type="expression" dxfId="1346" priority="858">
      <formula>BF36&gt;#REF!</formula>
    </cfRule>
  </conditionalFormatting>
  <conditionalFormatting sqref="AZ38">
    <cfRule type="expression" dxfId="1345" priority="855">
      <formula>AZ38&lt;#REF!</formula>
    </cfRule>
    <cfRule type="expression" dxfId="1344" priority="856">
      <formula>AZ38&gt;#REF!</formula>
    </cfRule>
  </conditionalFormatting>
  <conditionalFormatting sqref="BB38">
    <cfRule type="expression" dxfId="1343" priority="853">
      <formula>BB38&lt;#REF!</formula>
    </cfRule>
    <cfRule type="expression" dxfId="1342" priority="854">
      <formula>BB38&gt;#REF!</formula>
    </cfRule>
  </conditionalFormatting>
  <conditionalFormatting sqref="BD38">
    <cfRule type="expression" dxfId="1341" priority="851">
      <formula>BD38&lt;#REF!</formula>
    </cfRule>
    <cfRule type="expression" dxfId="1340" priority="852">
      <formula>BD38&gt;#REF!</formula>
    </cfRule>
  </conditionalFormatting>
  <conditionalFormatting sqref="BF38">
    <cfRule type="expression" dxfId="1339" priority="849">
      <formula>BF38&lt;#REF!</formula>
    </cfRule>
    <cfRule type="expression" dxfId="1338" priority="850">
      <formula>BF38&gt;#REF!</formula>
    </cfRule>
  </conditionalFormatting>
  <conditionalFormatting sqref="AZ40">
    <cfRule type="expression" dxfId="1337" priority="847">
      <formula>AZ40&lt;#REF!</formula>
    </cfRule>
    <cfRule type="expression" dxfId="1336" priority="848">
      <formula>AZ40&gt;#REF!</formula>
    </cfRule>
  </conditionalFormatting>
  <conditionalFormatting sqref="BB40">
    <cfRule type="expression" dxfId="1335" priority="845">
      <formula>BB40&lt;#REF!</formula>
    </cfRule>
    <cfRule type="expression" dxfId="1334" priority="846">
      <formula>BB40&gt;#REF!</formula>
    </cfRule>
  </conditionalFormatting>
  <conditionalFormatting sqref="BD40">
    <cfRule type="expression" dxfId="1333" priority="843">
      <formula>BD40&lt;#REF!</formula>
    </cfRule>
    <cfRule type="expression" dxfId="1332" priority="844">
      <formula>BD40&gt;#REF!</formula>
    </cfRule>
  </conditionalFormatting>
  <conditionalFormatting sqref="BF40">
    <cfRule type="expression" dxfId="1331" priority="841">
      <formula>BF40&lt;#REF!</formula>
    </cfRule>
    <cfRule type="expression" dxfId="1330" priority="842">
      <formula>BF40&gt;#REF!</formula>
    </cfRule>
  </conditionalFormatting>
  <conditionalFormatting sqref="AZ42">
    <cfRule type="expression" dxfId="1329" priority="839">
      <formula>AZ42&lt;#REF!</formula>
    </cfRule>
    <cfRule type="expression" dxfId="1328" priority="840">
      <formula>AZ42&gt;#REF!</formula>
    </cfRule>
  </conditionalFormatting>
  <conditionalFormatting sqref="BB42">
    <cfRule type="expression" dxfId="1327" priority="837">
      <formula>BB42&lt;#REF!</formula>
    </cfRule>
    <cfRule type="expression" dxfId="1326" priority="838">
      <formula>BB42&gt;#REF!</formula>
    </cfRule>
  </conditionalFormatting>
  <conditionalFormatting sqref="BD42">
    <cfRule type="expression" dxfId="1325" priority="835">
      <formula>BD42&lt;#REF!</formula>
    </cfRule>
    <cfRule type="expression" dxfId="1324" priority="836">
      <formula>BD42&gt;#REF!</formula>
    </cfRule>
  </conditionalFormatting>
  <conditionalFormatting sqref="BF42">
    <cfRule type="expression" dxfId="1323" priority="833">
      <formula>BF42&lt;#REF!</formula>
    </cfRule>
    <cfRule type="expression" dxfId="1322" priority="834">
      <formula>BF42&gt;#REF!</formula>
    </cfRule>
  </conditionalFormatting>
  <conditionalFormatting sqref="AZ44">
    <cfRule type="expression" dxfId="1321" priority="831">
      <formula>AZ44&lt;#REF!</formula>
    </cfRule>
    <cfRule type="expression" dxfId="1320" priority="832">
      <formula>AZ44&gt;#REF!</formula>
    </cfRule>
  </conditionalFormatting>
  <conditionalFormatting sqref="BB44">
    <cfRule type="expression" dxfId="1319" priority="829">
      <formula>BB44&lt;#REF!</formula>
    </cfRule>
    <cfRule type="expression" dxfId="1318" priority="830">
      <formula>BB44&gt;#REF!</formula>
    </cfRule>
  </conditionalFormatting>
  <conditionalFormatting sqref="BD44">
    <cfRule type="expression" dxfId="1317" priority="827">
      <formula>BD44&lt;#REF!</formula>
    </cfRule>
    <cfRule type="expression" dxfId="1316" priority="828">
      <formula>BD44&gt;#REF!</formula>
    </cfRule>
  </conditionalFormatting>
  <conditionalFormatting sqref="BF44">
    <cfRule type="expression" dxfId="1315" priority="825">
      <formula>BF44&lt;#REF!</formula>
    </cfRule>
    <cfRule type="expression" dxfId="1314" priority="826">
      <formula>BF44&gt;#REF!</formula>
    </cfRule>
  </conditionalFormatting>
  <conditionalFormatting sqref="AZ46">
    <cfRule type="expression" dxfId="1313" priority="823">
      <formula>AZ46&lt;#REF!</formula>
    </cfRule>
    <cfRule type="expression" dxfId="1312" priority="824">
      <formula>AZ46&gt;#REF!</formula>
    </cfRule>
  </conditionalFormatting>
  <conditionalFormatting sqref="BB46">
    <cfRule type="expression" dxfId="1311" priority="821">
      <formula>BB46&lt;#REF!</formula>
    </cfRule>
    <cfRule type="expression" dxfId="1310" priority="822">
      <formula>BB46&gt;#REF!</formula>
    </cfRule>
  </conditionalFormatting>
  <conditionalFormatting sqref="BD46">
    <cfRule type="expression" dxfId="1309" priority="819">
      <formula>BD46&lt;#REF!</formula>
    </cfRule>
    <cfRule type="expression" dxfId="1308" priority="820">
      <formula>BD46&gt;#REF!</formula>
    </cfRule>
  </conditionalFormatting>
  <conditionalFormatting sqref="BF46">
    <cfRule type="expression" dxfId="1307" priority="817">
      <formula>BF46&lt;#REF!</formula>
    </cfRule>
    <cfRule type="expression" dxfId="1306" priority="818">
      <formula>BF46&gt;#REF!</formula>
    </cfRule>
  </conditionalFormatting>
  <conditionalFormatting sqref="AZ48">
    <cfRule type="expression" dxfId="1305" priority="815">
      <formula>AZ48&lt;#REF!</formula>
    </cfRule>
    <cfRule type="expression" dxfId="1304" priority="816">
      <formula>AZ48&gt;#REF!</formula>
    </cfRule>
  </conditionalFormatting>
  <conditionalFormatting sqref="BB48">
    <cfRule type="expression" dxfId="1303" priority="813">
      <formula>BB48&lt;#REF!</formula>
    </cfRule>
    <cfRule type="expression" dxfId="1302" priority="814">
      <formula>BB48&gt;#REF!</formula>
    </cfRule>
  </conditionalFormatting>
  <conditionalFormatting sqref="BD48">
    <cfRule type="expression" dxfId="1301" priority="811">
      <formula>BD48&lt;#REF!</formula>
    </cfRule>
    <cfRule type="expression" dxfId="1300" priority="812">
      <formula>BD48&gt;#REF!</formula>
    </cfRule>
  </conditionalFormatting>
  <conditionalFormatting sqref="BF48">
    <cfRule type="expression" dxfId="1299" priority="809">
      <formula>BF48&lt;#REF!</formula>
    </cfRule>
    <cfRule type="expression" dxfId="1298" priority="810">
      <formula>BF48&gt;#REF!</formula>
    </cfRule>
  </conditionalFormatting>
  <conditionalFormatting sqref="AZ50">
    <cfRule type="expression" dxfId="1297" priority="807">
      <formula>AZ50&lt;#REF!</formula>
    </cfRule>
    <cfRule type="expression" dxfId="1296" priority="808">
      <formula>AZ50&gt;#REF!</formula>
    </cfRule>
  </conditionalFormatting>
  <conditionalFormatting sqref="BB50">
    <cfRule type="expression" dxfId="1295" priority="805">
      <formula>BB50&lt;#REF!</formula>
    </cfRule>
    <cfRule type="expression" dxfId="1294" priority="806">
      <formula>BB50&gt;#REF!</formula>
    </cfRule>
  </conditionalFormatting>
  <conditionalFormatting sqref="BD50">
    <cfRule type="expression" dxfId="1293" priority="803">
      <formula>BD50&lt;#REF!</formula>
    </cfRule>
    <cfRule type="expression" dxfId="1292" priority="804">
      <formula>BD50&gt;#REF!</formula>
    </cfRule>
  </conditionalFormatting>
  <conditionalFormatting sqref="BF50">
    <cfRule type="expression" dxfId="1291" priority="801">
      <formula>BF50&lt;#REF!</formula>
    </cfRule>
    <cfRule type="expression" dxfId="1290" priority="802">
      <formula>BF50&gt;#REF!</formula>
    </cfRule>
  </conditionalFormatting>
  <conditionalFormatting sqref="AZ52">
    <cfRule type="expression" dxfId="1289" priority="799">
      <formula>AZ52&lt;#REF!</formula>
    </cfRule>
    <cfRule type="expression" dxfId="1288" priority="800">
      <formula>AZ52&gt;#REF!</formula>
    </cfRule>
  </conditionalFormatting>
  <conditionalFormatting sqref="BB52">
    <cfRule type="expression" dxfId="1287" priority="797">
      <formula>BB52&lt;#REF!</formula>
    </cfRule>
    <cfRule type="expression" dxfId="1286" priority="798">
      <formula>BB52&gt;#REF!</formula>
    </cfRule>
  </conditionalFormatting>
  <conditionalFormatting sqref="BD52">
    <cfRule type="expression" dxfId="1285" priority="795">
      <formula>BD52&lt;#REF!</formula>
    </cfRule>
    <cfRule type="expression" dxfId="1284" priority="796">
      <formula>BD52&gt;#REF!</formula>
    </cfRule>
  </conditionalFormatting>
  <conditionalFormatting sqref="BF52">
    <cfRule type="expression" dxfId="1283" priority="793">
      <formula>BF52&lt;#REF!</formula>
    </cfRule>
    <cfRule type="expression" dxfId="1282" priority="794">
      <formula>BF52&gt;#REF!</formula>
    </cfRule>
  </conditionalFormatting>
  <conditionalFormatting sqref="AZ54">
    <cfRule type="expression" dxfId="1281" priority="791">
      <formula>AZ54&lt;#REF!</formula>
    </cfRule>
    <cfRule type="expression" dxfId="1280" priority="792">
      <formula>AZ54&gt;#REF!</formula>
    </cfRule>
  </conditionalFormatting>
  <conditionalFormatting sqref="BB54">
    <cfRule type="expression" dxfId="1279" priority="789">
      <formula>BB54&lt;#REF!</formula>
    </cfRule>
    <cfRule type="expression" dxfId="1278" priority="790">
      <formula>BB54&gt;#REF!</formula>
    </cfRule>
  </conditionalFormatting>
  <conditionalFormatting sqref="BD54">
    <cfRule type="expression" dxfId="1277" priority="787">
      <formula>BD54&lt;#REF!</formula>
    </cfRule>
    <cfRule type="expression" dxfId="1276" priority="788">
      <formula>BD54&gt;#REF!</formula>
    </cfRule>
  </conditionalFormatting>
  <conditionalFormatting sqref="BF54">
    <cfRule type="expression" dxfId="1275" priority="785">
      <formula>BF54&lt;#REF!</formula>
    </cfRule>
    <cfRule type="expression" dxfId="1274" priority="786">
      <formula>BF54&gt;#REF!</formula>
    </cfRule>
  </conditionalFormatting>
  <conditionalFormatting sqref="AZ56">
    <cfRule type="expression" dxfId="1273" priority="783">
      <formula>AZ56&lt;#REF!</formula>
    </cfRule>
    <cfRule type="expression" dxfId="1272" priority="784">
      <formula>AZ56&gt;#REF!</formula>
    </cfRule>
  </conditionalFormatting>
  <conditionalFormatting sqref="BB56">
    <cfRule type="expression" dxfId="1271" priority="781">
      <formula>BB56&lt;#REF!</formula>
    </cfRule>
    <cfRule type="expression" dxfId="1270" priority="782">
      <formula>BB56&gt;#REF!</formula>
    </cfRule>
  </conditionalFormatting>
  <conditionalFormatting sqref="BD56">
    <cfRule type="expression" dxfId="1269" priority="779">
      <formula>BD56&lt;#REF!</formula>
    </cfRule>
    <cfRule type="expression" dxfId="1268" priority="780">
      <formula>BD56&gt;#REF!</formula>
    </cfRule>
  </conditionalFormatting>
  <conditionalFormatting sqref="BF56">
    <cfRule type="expression" dxfId="1267" priority="777">
      <formula>BF56&lt;#REF!</formula>
    </cfRule>
    <cfRule type="expression" dxfId="1266" priority="778">
      <formula>BF56&gt;#REF!</formula>
    </cfRule>
  </conditionalFormatting>
  <conditionalFormatting sqref="AZ58">
    <cfRule type="expression" dxfId="1265" priority="775">
      <formula>AZ58&lt;#REF!</formula>
    </cfRule>
    <cfRule type="expression" dxfId="1264" priority="776">
      <formula>AZ58&gt;#REF!</formula>
    </cfRule>
  </conditionalFormatting>
  <conditionalFormatting sqref="BB58">
    <cfRule type="expression" dxfId="1263" priority="773">
      <formula>BB58&lt;#REF!</formula>
    </cfRule>
    <cfRule type="expression" dxfId="1262" priority="774">
      <formula>BB58&gt;#REF!</formula>
    </cfRule>
  </conditionalFormatting>
  <conditionalFormatting sqref="BD58">
    <cfRule type="expression" dxfId="1261" priority="771">
      <formula>BD58&lt;#REF!</formula>
    </cfRule>
    <cfRule type="expression" dxfId="1260" priority="772">
      <formula>BD58&gt;#REF!</formula>
    </cfRule>
  </conditionalFormatting>
  <conditionalFormatting sqref="BF58">
    <cfRule type="expression" dxfId="1259" priority="769">
      <formula>BF58&lt;#REF!</formula>
    </cfRule>
    <cfRule type="expression" dxfId="1258" priority="770">
      <formula>BF58&gt;#REF!</formula>
    </cfRule>
  </conditionalFormatting>
  <conditionalFormatting sqref="AZ60">
    <cfRule type="expression" dxfId="1257" priority="767">
      <formula>AZ60&lt;#REF!</formula>
    </cfRule>
    <cfRule type="expression" dxfId="1256" priority="768">
      <formula>AZ60&gt;#REF!</formula>
    </cfRule>
  </conditionalFormatting>
  <conditionalFormatting sqref="BB60">
    <cfRule type="expression" dxfId="1255" priority="765">
      <formula>BB60&lt;#REF!</formula>
    </cfRule>
    <cfRule type="expression" dxfId="1254" priority="766">
      <formula>BB60&gt;#REF!</formula>
    </cfRule>
  </conditionalFormatting>
  <conditionalFormatting sqref="BD60">
    <cfRule type="expression" dxfId="1253" priority="763">
      <formula>BD60&lt;#REF!</formula>
    </cfRule>
    <cfRule type="expression" dxfId="1252" priority="764">
      <formula>BD60&gt;#REF!</formula>
    </cfRule>
  </conditionalFormatting>
  <conditionalFormatting sqref="BF60">
    <cfRule type="expression" dxfId="1251" priority="761">
      <formula>BF60&lt;#REF!</formula>
    </cfRule>
    <cfRule type="expression" dxfId="1250" priority="762">
      <formula>BF60&gt;#REF!</formula>
    </cfRule>
  </conditionalFormatting>
  <conditionalFormatting sqref="AZ62">
    <cfRule type="expression" dxfId="1249" priority="759">
      <formula>AZ62&lt;#REF!</formula>
    </cfRule>
    <cfRule type="expression" dxfId="1248" priority="760">
      <formula>AZ62&gt;#REF!</formula>
    </cfRule>
  </conditionalFormatting>
  <conditionalFormatting sqref="BB62">
    <cfRule type="expression" dxfId="1247" priority="757">
      <formula>BB62&lt;#REF!</formula>
    </cfRule>
    <cfRule type="expression" dxfId="1246" priority="758">
      <formula>BB62&gt;#REF!</formula>
    </cfRule>
  </conditionalFormatting>
  <conditionalFormatting sqref="BD62">
    <cfRule type="expression" dxfId="1245" priority="755">
      <formula>BD62&lt;#REF!</formula>
    </cfRule>
    <cfRule type="expression" dxfId="1244" priority="756">
      <formula>BD62&gt;#REF!</formula>
    </cfRule>
  </conditionalFormatting>
  <conditionalFormatting sqref="BF62">
    <cfRule type="expression" dxfId="1243" priority="753">
      <formula>BF62&lt;#REF!</formula>
    </cfRule>
    <cfRule type="expression" dxfId="1242" priority="754">
      <formula>BF62&gt;#REF!</formula>
    </cfRule>
  </conditionalFormatting>
  <conditionalFormatting sqref="AZ64">
    <cfRule type="expression" dxfId="1241" priority="751">
      <formula>AZ64&lt;#REF!</formula>
    </cfRule>
    <cfRule type="expression" dxfId="1240" priority="752">
      <formula>AZ64&gt;#REF!</formula>
    </cfRule>
  </conditionalFormatting>
  <conditionalFormatting sqref="BB64">
    <cfRule type="expression" dxfId="1239" priority="749">
      <formula>BB64&lt;#REF!</formula>
    </cfRule>
    <cfRule type="expression" dxfId="1238" priority="750">
      <formula>BB64&gt;#REF!</formula>
    </cfRule>
  </conditionalFormatting>
  <conditionalFormatting sqref="BD64">
    <cfRule type="expression" dxfId="1237" priority="747">
      <formula>BD64&lt;#REF!</formula>
    </cfRule>
    <cfRule type="expression" dxfId="1236" priority="748">
      <formula>BD64&gt;#REF!</formula>
    </cfRule>
  </conditionalFormatting>
  <conditionalFormatting sqref="BF64">
    <cfRule type="expression" dxfId="1235" priority="745">
      <formula>BF64&lt;#REF!</formula>
    </cfRule>
    <cfRule type="expression" dxfId="1234" priority="746">
      <formula>BF64&gt;#REF!</formula>
    </cfRule>
  </conditionalFormatting>
  <conditionalFormatting sqref="AZ66">
    <cfRule type="expression" dxfId="1233" priority="743">
      <formula>AZ66&lt;#REF!</formula>
    </cfRule>
    <cfRule type="expression" dxfId="1232" priority="744">
      <formula>AZ66&gt;#REF!</formula>
    </cfRule>
  </conditionalFormatting>
  <conditionalFormatting sqref="BB66">
    <cfRule type="expression" dxfId="1231" priority="741">
      <formula>BB66&lt;#REF!</formula>
    </cfRule>
    <cfRule type="expression" dxfId="1230" priority="742">
      <formula>BB66&gt;#REF!</formula>
    </cfRule>
  </conditionalFormatting>
  <conditionalFormatting sqref="BD66">
    <cfRule type="expression" dxfId="1229" priority="739">
      <formula>BD66&lt;#REF!</formula>
    </cfRule>
    <cfRule type="expression" dxfId="1228" priority="740">
      <formula>BD66&gt;#REF!</formula>
    </cfRule>
  </conditionalFormatting>
  <conditionalFormatting sqref="BF66">
    <cfRule type="expression" dxfId="1227" priority="737">
      <formula>BF66&lt;#REF!</formula>
    </cfRule>
    <cfRule type="expression" dxfId="1226" priority="738">
      <formula>BF66&gt;#REF!</formula>
    </cfRule>
  </conditionalFormatting>
  <conditionalFormatting sqref="AZ68">
    <cfRule type="expression" dxfId="1225" priority="735">
      <formula>AZ68&lt;#REF!</formula>
    </cfRule>
    <cfRule type="expression" dxfId="1224" priority="736">
      <formula>AZ68&gt;#REF!</formula>
    </cfRule>
  </conditionalFormatting>
  <conditionalFormatting sqref="BB68">
    <cfRule type="expression" dxfId="1223" priority="733">
      <formula>BB68&lt;#REF!</formula>
    </cfRule>
    <cfRule type="expression" dxfId="1222" priority="734">
      <formula>BB68&gt;#REF!</formula>
    </cfRule>
  </conditionalFormatting>
  <conditionalFormatting sqref="BD68">
    <cfRule type="expression" dxfId="1221" priority="731">
      <formula>BD68&lt;#REF!</formula>
    </cfRule>
    <cfRule type="expression" dxfId="1220" priority="732">
      <formula>BD68&gt;#REF!</formula>
    </cfRule>
  </conditionalFormatting>
  <conditionalFormatting sqref="BF68">
    <cfRule type="expression" dxfId="1219" priority="729">
      <formula>BF68&lt;#REF!</formula>
    </cfRule>
    <cfRule type="expression" dxfId="1218" priority="730">
      <formula>BF68&gt;#REF!</formula>
    </cfRule>
  </conditionalFormatting>
  <conditionalFormatting sqref="AZ70">
    <cfRule type="expression" dxfId="1217" priority="727">
      <formula>AZ70&lt;#REF!</formula>
    </cfRule>
    <cfRule type="expression" dxfId="1216" priority="728">
      <formula>AZ70&gt;#REF!</formula>
    </cfRule>
  </conditionalFormatting>
  <conditionalFormatting sqref="BB70">
    <cfRule type="expression" dxfId="1215" priority="725">
      <formula>BB70&lt;#REF!</formula>
    </cfRule>
    <cfRule type="expression" dxfId="1214" priority="726">
      <formula>BB70&gt;#REF!</formula>
    </cfRule>
  </conditionalFormatting>
  <conditionalFormatting sqref="BD70">
    <cfRule type="expression" dxfId="1213" priority="723">
      <formula>BD70&lt;#REF!</formula>
    </cfRule>
    <cfRule type="expression" dxfId="1212" priority="724">
      <formula>BD70&gt;#REF!</formula>
    </cfRule>
  </conditionalFormatting>
  <conditionalFormatting sqref="BF70">
    <cfRule type="expression" dxfId="1211" priority="721">
      <formula>BF70&lt;#REF!</formula>
    </cfRule>
    <cfRule type="expression" dxfId="1210" priority="722">
      <formula>BF70&gt;#REF!</formula>
    </cfRule>
  </conditionalFormatting>
  <conditionalFormatting sqref="AZ72">
    <cfRule type="expression" dxfId="1209" priority="719">
      <formula>AZ72&lt;#REF!</formula>
    </cfRule>
    <cfRule type="expression" dxfId="1208" priority="720">
      <formula>AZ72&gt;#REF!</formula>
    </cfRule>
  </conditionalFormatting>
  <conditionalFormatting sqref="BB72">
    <cfRule type="expression" dxfId="1207" priority="717">
      <formula>BB72&lt;#REF!</formula>
    </cfRule>
    <cfRule type="expression" dxfId="1206" priority="718">
      <formula>BB72&gt;#REF!</formula>
    </cfRule>
  </conditionalFormatting>
  <conditionalFormatting sqref="BD72">
    <cfRule type="expression" dxfId="1205" priority="715">
      <formula>BD72&lt;#REF!</formula>
    </cfRule>
    <cfRule type="expression" dxfId="1204" priority="716">
      <formula>BD72&gt;#REF!</formula>
    </cfRule>
  </conditionalFormatting>
  <conditionalFormatting sqref="BF72">
    <cfRule type="expression" dxfId="1203" priority="713">
      <formula>BF72&lt;#REF!</formula>
    </cfRule>
    <cfRule type="expression" dxfId="1202" priority="714">
      <formula>BF72&gt;#REF!</formula>
    </cfRule>
  </conditionalFormatting>
  <conditionalFormatting sqref="AZ74">
    <cfRule type="expression" dxfId="1201" priority="711">
      <formula>AZ74&lt;#REF!</formula>
    </cfRule>
    <cfRule type="expression" dxfId="1200" priority="712">
      <formula>AZ74&gt;#REF!</formula>
    </cfRule>
  </conditionalFormatting>
  <conditionalFormatting sqref="BB74">
    <cfRule type="expression" dxfId="1199" priority="709">
      <formula>BB74&lt;#REF!</formula>
    </cfRule>
    <cfRule type="expression" dxfId="1198" priority="710">
      <formula>BB74&gt;#REF!</formula>
    </cfRule>
  </conditionalFormatting>
  <conditionalFormatting sqref="BD74">
    <cfRule type="expression" dxfId="1197" priority="707">
      <formula>BD74&lt;#REF!</formula>
    </cfRule>
    <cfRule type="expression" dxfId="1196" priority="708">
      <formula>BD74&gt;#REF!</formula>
    </cfRule>
  </conditionalFormatting>
  <conditionalFormatting sqref="BF74">
    <cfRule type="expression" dxfId="1195" priority="705">
      <formula>BF74&lt;#REF!</formula>
    </cfRule>
    <cfRule type="expression" dxfId="1194" priority="706">
      <formula>BF74&gt;#REF!</formula>
    </cfRule>
  </conditionalFormatting>
  <conditionalFormatting sqref="AZ76">
    <cfRule type="expression" dxfId="1193" priority="703">
      <formula>AZ76&lt;#REF!</formula>
    </cfRule>
    <cfRule type="expression" dxfId="1192" priority="704">
      <formula>AZ76&gt;#REF!</formula>
    </cfRule>
  </conditionalFormatting>
  <conditionalFormatting sqref="BB76">
    <cfRule type="expression" dxfId="1191" priority="701">
      <formula>BB76&lt;#REF!</formula>
    </cfRule>
    <cfRule type="expression" dxfId="1190" priority="702">
      <formula>BB76&gt;#REF!</formula>
    </cfRule>
  </conditionalFormatting>
  <conditionalFormatting sqref="BD76">
    <cfRule type="expression" dxfId="1189" priority="699">
      <formula>BD76&lt;#REF!</formula>
    </cfRule>
    <cfRule type="expression" dxfId="1188" priority="700">
      <formula>BD76&gt;#REF!</formula>
    </cfRule>
  </conditionalFormatting>
  <conditionalFormatting sqref="BF76">
    <cfRule type="expression" dxfId="1187" priority="697">
      <formula>BF76&lt;#REF!</formula>
    </cfRule>
    <cfRule type="expression" dxfId="1186" priority="698">
      <formula>BF76&gt;#REF!</formula>
    </cfRule>
  </conditionalFormatting>
  <conditionalFormatting sqref="AZ78">
    <cfRule type="expression" dxfId="1185" priority="695">
      <formula>AZ78&lt;#REF!</formula>
    </cfRule>
    <cfRule type="expression" dxfId="1184" priority="696">
      <formula>AZ78&gt;#REF!</formula>
    </cfRule>
  </conditionalFormatting>
  <conditionalFormatting sqref="BB78">
    <cfRule type="expression" dxfId="1183" priority="693">
      <formula>BB78&lt;#REF!</formula>
    </cfRule>
    <cfRule type="expression" dxfId="1182" priority="694">
      <formula>BB78&gt;#REF!</formula>
    </cfRule>
  </conditionalFormatting>
  <conditionalFormatting sqref="BD78">
    <cfRule type="expression" dxfId="1181" priority="691">
      <formula>BD78&lt;#REF!</formula>
    </cfRule>
    <cfRule type="expression" dxfId="1180" priority="692">
      <formula>BD78&gt;#REF!</formula>
    </cfRule>
  </conditionalFormatting>
  <conditionalFormatting sqref="BF78">
    <cfRule type="expression" dxfId="1179" priority="689">
      <formula>BF78&lt;#REF!</formula>
    </cfRule>
    <cfRule type="expression" dxfId="1178" priority="690">
      <formula>BF78&gt;#REF!</formula>
    </cfRule>
  </conditionalFormatting>
  <conditionalFormatting sqref="AZ80">
    <cfRule type="expression" dxfId="1177" priority="687">
      <formula>AZ80&lt;#REF!</formula>
    </cfRule>
    <cfRule type="expression" dxfId="1176" priority="688">
      <formula>AZ80&gt;#REF!</formula>
    </cfRule>
  </conditionalFormatting>
  <conditionalFormatting sqref="BB80">
    <cfRule type="expression" dxfId="1175" priority="685">
      <formula>BB80&lt;#REF!</formula>
    </cfRule>
    <cfRule type="expression" dxfId="1174" priority="686">
      <formula>BB80&gt;#REF!</formula>
    </cfRule>
  </conditionalFormatting>
  <conditionalFormatting sqref="BD80">
    <cfRule type="expression" dxfId="1173" priority="683">
      <formula>BD80&lt;#REF!</formula>
    </cfRule>
    <cfRule type="expression" dxfId="1172" priority="684">
      <formula>BD80&gt;#REF!</formula>
    </cfRule>
  </conditionalFormatting>
  <conditionalFormatting sqref="BF80">
    <cfRule type="expression" dxfId="1171" priority="681">
      <formula>BF80&lt;#REF!</formula>
    </cfRule>
    <cfRule type="expression" dxfId="1170" priority="682">
      <formula>BF80&gt;#REF!</formula>
    </cfRule>
  </conditionalFormatting>
  <conditionalFormatting sqref="AZ86 AZ84 AZ82">
    <cfRule type="expression" dxfId="1169" priority="679">
      <formula>AZ82&lt;#REF!</formula>
    </cfRule>
    <cfRule type="expression" dxfId="1168" priority="680">
      <formula>AZ82&gt;#REF!</formula>
    </cfRule>
  </conditionalFormatting>
  <conditionalFormatting sqref="BB86 BB84 BB82">
    <cfRule type="expression" dxfId="1167" priority="677">
      <formula>BB82&lt;#REF!</formula>
    </cfRule>
    <cfRule type="expression" dxfId="1166" priority="678">
      <formula>BB82&gt;#REF!</formula>
    </cfRule>
  </conditionalFormatting>
  <conditionalFormatting sqref="BD86 BD84 BD82">
    <cfRule type="expression" dxfId="1165" priority="675">
      <formula>BD82&lt;#REF!</formula>
    </cfRule>
    <cfRule type="expression" dxfId="1164" priority="676">
      <formula>BD82&gt;#REF!</formula>
    </cfRule>
  </conditionalFormatting>
  <conditionalFormatting sqref="BF86 BF84 BF82">
    <cfRule type="expression" dxfId="1163" priority="673">
      <formula>BF82&lt;#REF!</formula>
    </cfRule>
    <cfRule type="expression" dxfId="1162" priority="674">
      <formula>BF82&gt;#REF!</formula>
    </cfRule>
  </conditionalFormatting>
  <conditionalFormatting sqref="AZ88">
    <cfRule type="expression" dxfId="1161" priority="671">
      <formula>AZ88&lt;#REF!</formula>
    </cfRule>
    <cfRule type="expression" dxfId="1160" priority="672">
      <formula>AZ88&gt;#REF!</formula>
    </cfRule>
  </conditionalFormatting>
  <conditionalFormatting sqref="BB88">
    <cfRule type="expression" dxfId="1159" priority="669">
      <formula>BB88&lt;#REF!</formula>
    </cfRule>
    <cfRule type="expression" dxfId="1158" priority="670">
      <formula>BB88&gt;#REF!</formula>
    </cfRule>
  </conditionalFormatting>
  <conditionalFormatting sqref="BD88">
    <cfRule type="expression" dxfId="1157" priority="667">
      <formula>BD88&lt;#REF!</formula>
    </cfRule>
    <cfRule type="expression" dxfId="1156" priority="668">
      <formula>BD88&gt;#REF!</formula>
    </cfRule>
  </conditionalFormatting>
  <conditionalFormatting sqref="BF88">
    <cfRule type="expression" dxfId="1155" priority="665">
      <formula>BF88&lt;#REF!</formula>
    </cfRule>
    <cfRule type="expression" dxfId="1154" priority="666">
      <formula>BF88&gt;#REF!</formula>
    </cfRule>
  </conditionalFormatting>
  <conditionalFormatting sqref="AZ90">
    <cfRule type="expression" dxfId="1153" priority="663">
      <formula>AZ90&lt;#REF!</formula>
    </cfRule>
    <cfRule type="expression" dxfId="1152" priority="664">
      <formula>AZ90&gt;#REF!</formula>
    </cfRule>
  </conditionalFormatting>
  <conditionalFormatting sqref="BB90">
    <cfRule type="expression" dxfId="1151" priority="661">
      <formula>BB90&lt;#REF!</formula>
    </cfRule>
    <cfRule type="expression" dxfId="1150" priority="662">
      <formula>BB90&gt;#REF!</formula>
    </cfRule>
  </conditionalFormatting>
  <conditionalFormatting sqref="BD90">
    <cfRule type="expression" dxfId="1149" priority="659">
      <formula>BD90&lt;#REF!</formula>
    </cfRule>
    <cfRule type="expression" dxfId="1148" priority="660">
      <formula>BD90&gt;#REF!</formula>
    </cfRule>
  </conditionalFormatting>
  <conditionalFormatting sqref="BF90">
    <cfRule type="expression" dxfId="1147" priority="657">
      <formula>BF90&lt;#REF!</formula>
    </cfRule>
    <cfRule type="expression" dxfId="1146" priority="658">
      <formula>BF90&gt;#REF!</formula>
    </cfRule>
  </conditionalFormatting>
  <conditionalFormatting sqref="AZ92">
    <cfRule type="expression" dxfId="1145" priority="655">
      <formula>AZ92&lt;#REF!</formula>
    </cfRule>
    <cfRule type="expression" dxfId="1144" priority="656">
      <formula>AZ92&gt;#REF!</formula>
    </cfRule>
  </conditionalFormatting>
  <conditionalFormatting sqref="BB92">
    <cfRule type="expression" dxfId="1143" priority="653">
      <formula>BB92&lt;#REF!</formula>
    </cfRule>
    <cfRule type="expression" dxfId="1142" priority="654">
      <formula>BB92&gt;#REF!</formula>
    </cfRule>
  </conditionalFormatting>
  <conditionalFormatting sqref="BD92">
    <cfRule type="expression" dxfId="1141" priority="651">
      <formula>BD92&lt;#REF!</formula>
    </cfRule>
    <cfRule type="expression" dxfId="1140" priority="652">
      <formula>BD92&gt;#REF!</formula>
    </cfRule>
  </conditionalFormatting>
  <conditionalFormatting sqref="BF92">
    <cfRule type="expression" dxfId="1139" priority="649">
      <formula>BF92&lt;#REF!</formula>
    </cfRule>
    <cfRule type="expression" dxfId="1138" priority="650">
      <formula>BF92&gt;#REF!</formula>
    </cfRule>
  </conditionalFormatting>
  <conditionalFormatting sqref="AZ94">
    <cfRule type="expression" dxfId="1137" priority="647">
      <formula>AZ94&lt;#REF!</formula>
    </cfRule>
    <cfRule type="expression" dxfId="1136" priority="648">
      <formula>AZ94&gt;#REF!</formula>
    </cfRule>
  </conditionalFormatting>
  <conditionalFormatting sqref="BB94">
    <cfRule type="expression" dxfId="1135" priority="645">
      <formula>BB94&lt;#REF!</formula>
    </cfRule>
    <cfRule type="expression" dxfId="1134" priority="646">
      <formula>BB94&gt;#REF!</formula>
    </cfRule>
  </conditionalFormatting>
  <conditionalFormatting sqref="BD94">
    <cfRule type="expression" dxfId="1133" priority="643">
      <formula>BD94&lt;#REF!</formula>
    </cfRule>
    <cfRule type="expression" dxfId="1132" priority="644">
      <formula>BD94&gt;#REF!</formula>
    </cfRule>
  </conditionalFormatting>
  <conditionalFormatting sqref="BF94">
    <cfRule type="expression" dxfId="1131" priority="641">
      <formula>BF94&lt;#REF!</formula>
    </cfRule>
    <cfRule type="expression" dxfId="1130" priority="642">
      <formula>BF94&gt;#REF!</formula>
    </cfRule>
  </conditionalFormatting>
  <conditionalFormatting sqref="AZ96">
    <cfRule type="expression" dxfId="1129" priority="639">
      <formula>AZ96&lt;#REF!</formula>
    </cfRule>
    <cfRule type="expression" dxfId="1128" priority="640">
      <formula>AZ96&gt;#REF!</formula>
    </cfRule>
  </conditionalFormatting>
  <conditionalFormatting sqref="BB96">
    <cfRule type="expression" dxfId="1127" priority="637">
      <formula>BB96&lt;#REF!</formula>
    </cfRule>
    <cfRule type="expression" dxfId="1126" priority="638">
      <formula>BB96&gt;#REF!</formula>
    </cfRule>
  </conditionalFormatting>
  <conditionalFormatting sqref="BD96">
    <cfRule type="expression" dxfId="1125" priority="635">
      <formula>BD96&lt;#REF!</formula>
    </cfRule>
    <cfRule type="expression" dxfId="1124" priority="636">
      <formula>BD96&gt;#REF!</formula>
    </cfRule>
  </conditionalFormatting>
  <conditionalFormatting sqref="BF96">
    <cfRule type="expression" dxfId="1123" priority="633">
      <formula>BF96&lt;#REF!</formula>
    </cfRule>
    <cfRule type="expression" dxfId="1122" priority="634">
      <formula>BF96&gt;#REF!</formula>
    </cfRule>
  </conditionalFormatting>
  <conditionalFormatting sqref="AZ98">
    <cfRule type="expression" dxfId="1121" priority="631">
      <formula>AZ98&lt;#REF!</formula>
    </cfRule>
    <cfRule type="expression" dxfId="1120" priority="632">
      <formula>AZ98&gt;#REF!</formula>
    </cfRule>
  </conditionalFormatting>
  <conditionalFormatting sqref="BB98">
    <cfRule type="expression" dxfId="1119" priority="629">
      <formula>BB98&lt;#REF!</formula>
    </cfRule>
    <cfRule type="expression" dxfId="1118" priority="630">
      <formula>BB98&gt;#REF!</formula>
    </cfRule>
  </conditionalFormatting>
  <conditionalFormatting sqref="BD98">
    <cfRule type="expression" dxfId="1117" priority="627">
      <formula>BD98&lt;#REF!</formula>
    </cfRule>
    <cfRule type="expression" dxfId="1116" priority="628">
      <formula>BD98&gt;#REF!</formula>
    </cfRule>
  </conditionalFormatting>
  <conditionalFormatting sqref="BF98">
    <cfRule type="expression" dxfId="1115" priority="625">
      <formula>BF98&lt;#REF!</formula>
    </cfRule>
    <cfRule type="expression" dxfId="1114" priority="626">
      <formula>BF98&gt;#REF!</formula>
    </cfRule>
  </conditionalFormatting>
  <conditionalFormatting sqref="AZ100">
    <cfRule type="expression" dxfId="1113" priority="623">
      <formula>AZ100&lt;#REF!</formula>
    </cfRule>
    <cfRule type="expression" dxfId="1112" priority="624">
      <formula>AZ100&gt;#REF!</formula>
    </cfRule>
  </conditionalFormatting>
  <conditionalFormatting sqref="BB100">
    <cfRule type="expression" dxfId="1111" priority="621">
      <formula>BB100&lt;#REF!</formula>
    </cfRule>
    <cfRule type="expression" dxfId="1110" priority="622">
      <formula>BB100&gt;#REF!</formula>
    </cfRule>
  </conditionalFormatting>
  <conditionalFormatting sqref="BD100">
    <cfRule type="expression" dxfId="1109" priority="619">
      <formula>BD100&lt;#REF!</formula>
    </cfRule>
    <cfRule type="expression" dxfId="1108" priority="620">
      <formula>BD100&gt;#REF!</formula>
    </cfRule>
  </conditionalFormatting>
  <conditionalFormatting sqref="BF100">
    <cfRule type="expression" dxfId="1107" priority="617">
      <formula>BF100&lt;#REF!</formula>
    </cfRule>
    <cfRule type="expression" dxfId="1106" priority="618">
      <formula>BF100&gt;#REF!</formula>
    </cfRule>
  </conditionalFormatting>
  <conditionalFormatting sqref="AZ106 AZ104 AZ102">
    <cfRule type="expression" dxfId="1105" priority="615">
      <formula>AZ102&lt;#REF!</formula>
    </cfRule>
    <cfRule type="expression" dxfId="1104" priority="616">
      <formula>AZ102&gt;#REF!</formula>
    </cfRule>
  </conditionalFormatting>
  <conditionalFormatting sqref="BB106 BB104 BB102">
    <cfRule type="expression" dxfId="1103" priority="613">
      <formula>BB102&lt;#REF!</formula>
    </cfRule>
    <cfRule type="expression" dxfId="1102" priority="614">
      <formula>BB102&gt;#REF!</formula>
    </cfRule>
  </conditionalFormatting>
  <conditionalFormatting sqref="BD106 BD104 BD102">
    <cfRule type="expression" dxfId="1101" priority="611">
      <formula>BD102&lt;#REF!</formula>
    </cfRule>
    <cfRule type="expression" dxfId="1100" priority="612">
      <formula>BD102&gt;#REF!</formula>
    </cfRule>
  </conditionalFormatting>
  <conditionalFormatting sqref="BF106 BF104 BF102">
    <cfRule type="expression" dxfId="1099" priority="609">
      <formula>BF102&lt;#REF!</formula>
    </cfRule>
    <cfRule type="expression" dxfId="1098" priority="610">
      <formula>BF102&gt;#REF!</formula>
    </cfRule>
  </conditionalFormatting>
  <conditionalFormatting sqref="AZ108">
    <cfRule type="expression" dxfId="1097" priority="607">
      <formula>AZ108&lt;#REF!</formula>
    </cfRule>
    <cfRule type="expression" dxfId="1096" priority="608">
      <formula>AZ108&gt;#REF!</formula>
    </cfRule>
  </conditionalFormatting>
  <conditionalFormatting sqref="BB108">
    <cfRule type="expression" dxfId="1095" priority="605">
      <formula>BB108&lt;#REF!</formula>
    </cfRule>
    <cfRule type="expression" dxfId="1094" priority="606">
      <formula>BB108&gt;#REF!</formula>
    </cfRule>
  </conditionalFormatting>
  <conditionalFormatting sqref="BD108">
    <cfRule type="expression" dxfId="1093" priority="603">
      <formula>BD108&lt;#REF!</formula>
    </cfRule>
    <cfRule type="expression" dxfId="1092" priority="604">
      <formula>BD108&gt;#REF!</formula>
    </cfRule>
  </conditionalFormatting>
  <conditionalFormatting sqref="BF108">
    <cfRule type="expression" dxfId="1091" priority="601">
      <formula>BF108&lt;#REF!</formula>
    </cfRule>
    <cfRule type="expression" dxfId="1090" priority="602">
      <formula>BF108&gt;#REF!</formula>
    </cfRule>
  </conditionalFormatting>
  <conditionalFormatting sqref="AZ116 AZ114 AZ112 AZ110">
    <cfRule type="expression" dxfId="1089" priority="599">
      <formula>AZ110&lt;#REF!</formula>
    </cfRule>
    <cfRule type="expression" dxfId="1088" priority="600">
      <formula>AZ110&gt;#REF!</formula>
    </cfRule>
  </conditionalFormatting>
  <conditionalFormatting sqref="BB116 BB114 BB112 BB110">
    <cfRule type="expression" dxfId="1087" priority="597">
      <formula>BB110&lt;#REF!</formula>
    </cfRule>
    <cfRule type="expression" dxfId="1086" priority="598">
      <formula>BB110&gt;#REF!</formula>
    </cfRule>
  </conditionalFormatting>
  <conditionalFormatting sqref="BD116 BD114 BD112 BD110">
    <cfRule type="expression" dxfId="1085" priority="595">
      <formula>BD110&lt;#REF!</formula>
    </cfRule>
    <cfRule type="expression" dxfId="1084" priority="596">
      <formula>BD110&gt;#REF!</formula>
    </cfRule>
  </conditionalFormatting>
  <conditionalFormatting sqref="BF116 BF114 BF112 BF110">
    <cfRule type="expression" dxfId="1083" priority="593">
      <formula>BF110&lt;#REF!</formula>
    </cfRule>
    <cfRule type="expression" dxfId="1082" priority="594">
      <formula>BF110&gt;#REF!</formula>
    </cfRule>
  </conditionalFormatting>
  <conditionalFormatting sqref="AZ118">
    <cfRule type="expression" dxfId="1081" priority="591">
      <formula>AZ118&lt;#REF!</formula>
    </cfRule>
    <cfRule type="expression" dxfId="1080" priority="592">
      <formula>AZ118&gt;#REF!</formula>
    </cfRule>
  </conditionalFormatting>
  <conditionalFormatting sqref="BB118">
    <cfRule type="expression" dxfId="1079" priority="589">
      <formula>BB118&lt;#REF!</formula>
    </cfRule>
    <cfRule type="expression" dxfId="1078" priority="590">
      <formula>BB118&gt;#REF!</formula>
    </cfRule>
  </conditionalFormatting>
  <conditionalFormatting sqref="BD118">
    <cfRule type="expression" dxfId="1077" priority="587">
      <formula>BD118&lt;#REF!</formula>
    </cfRule>
    <cfRule type="expression" dxfId="1076" priority="588">
      <formula>BD118&gt;#REF!</formula>
    </cfRule>
  </conditionalFormatting>
  <conditionalFormatting sqref="BF118">
    <cfRule type="expression" dxfId="1075" priority="585">
      <formula>BF118&lt;#REF!</formula>
    </cfRule>
    <cfRule type="expression" dxfId="1074" priority="586">
      <formula>BF118&gt;#REF!</formula>
    </cfRule>
  </conditionalFormatting>
  <conditionalFormatting sqref="AZ126 AZ124 AZ122 AZ120">
    <cfRule type="expression" dxfId="1073" priority="583">
      <formula>AZ120&lt;#REF!</formula>
    </cfRule>
    <cfRule type="expression" dxfId="1072" priority="584">
      <formula>AZ120&gt;#REF!</formula>
    </cfRule>
  </conditionalFormatting>
  <conditionalFormatting sqref="BB126 BB124 BB122 BB120">
    <cfRule type="expression" dxfId="1071" priority="581">
      <formula>BB120&lt;#REF!</formula>
    </cfRule>
    <cfRule type="expression" dxfId="1070" priority="582">
      <formula>BB120&gt;#REF!</formula>
    </cfRule>
  </conditionalFormatting>
  <conditionalFormatting sqref="BD126 BD124 BD122 BD120">
    <cfRule type="expression" dxfId="1069" priority="579">
      <formula>BD120&lt;#REF!</formula>
    </cfRule>
    <cfRule type="expression" dxfId="1068" priority="580">
      <formula>BD120&gt;#REF!</formula>
    </cfRule>
  </conditionalFormatting>
  <conditionalFormatting sqref="BF126 BF124 BF122 BF120">
    <cfRule type="expression" dxfId="1067" priority="577">
      <formula>BF120&lt;#REF!</formula>
    </cfRule>
    <cfRule type="expression" dxfId="1066" priority="578">
      <formula>BF120&gt;#REF!</formula>
    </cfRule>
  </conditionalFormatting>
  <conditionalFormatting sqref="AZ128">
    <cfRule type="expression" dxfId="1065" priority="575">
      <formula>AZ128&lt;#REF!</formula>
    </cfRule>
    <cfRule type="expression" dxfId="1064" priority="576">
      <formula>AZ128&gt;#REF!</formula>
    </cfRule>
  </conditionalFormatting>
  <conditionalFormatting sqref="BB128">
    <cfRule type="expression" dxfId="1063" priority="573">
      <formula>BB128&lt;#REF!</formula>
    </cfRule>
    <cfRule type="expression" dxfId="1062" priority="574">
      <formula>BB128&gt;#REF!</formula>
    </cfRule>
  </conditionalFormatting>
  <conditionalFormatting sqref="BD128">
    <cfRule type="expression" dxfId="1061" priority="571">
      <formula>BD128&lt;#REF!</formula>
    </cfRule>
    <cfRule type="expression" dxfId="1060" priority="572">
      <formula>BD128&gt;#REF!</formula>
    </cfRule>
  </conditionalFormatting>
  <conditionalFormatting sqref="BF128">
    <cfRule type="expression" dxfId="1059" priority="569">
      <formula>BF128&lt;#REF!</formula>
    </cfRule>
    <cfRule type="expression" dxfId="1058" priority="570">
      <formula>BF128&gt;#REF!</formula>
    </cfRule>
  </conditionalFormatting>
  <conditionalFormatting sqref="AZ136 AZ134 AZ132 AZ130">
    <cfRule type="expression" dxfId="1057" priority="567">
      <formula>AZ130&lt;#REF!</formula>
    </cfRule>
    <cfRule type="expression" dxfId="1056" priority="568">
      <formula>AZ130&gt;#REF!</formula>
    </cfRule>
  </conditionalFormatting>
  <conditionalFormatting sqref="BB136 BB134 BB132 BB130">
    <cfRule type="expression" dxfId="1055" priority="565">
      <formula>BB130&lt;#REF!</formula>
    </cfRule>
    <cfRule type="expression" dxfId="1054" priority="566">
      <formula>BB130&gt;#REF!</formula>
    </cfRule>
  </conditionalFormatting>
  <conditionalFormatting sqref="BD136 BD134 BD132 BD130">
    <cfRule type="expression" dxfId="1053" priority="563">
      <formula>BD130&lt;#REF!</formula>
    </cfRule>
    <cfRule type="expression" dxfId="1052" priority="564">
      <formula>BD130&gt;#REF!</formula>
    </cfRule>
  </conditionalFormatting>
  <conditionalFormatting sqref="BF136 BF134 BF132 BF130">
    <cfRule type="expression" dxfId="1051" priority="561">
      <formula>BF130&lt;#REF!</formula>
    </cfRule>
    <cfRule type="expression" dxfId="1050" priority="562">
      <formula>BF130&gt;#REF!</formula>
    </cfRule>
  </conditionalFormatting>
  <conditionalFormatting sqref="AZ138">
    <cfRule type="expression" dxfId="1049" priority="559">
      <formula>AZ138&lt;#REF!</formula>
    </cfRule>
    <cfRule type="expression" dxfId="1048" priority="560">
      <formula>AZ138&gt;#REF!</formula>
    </cfRule>
  </conditionalFormatting>
  <conditionalFormatting sqref="BB138">
    <cfRule type="expression" dxfId="1047" priority="557">
      <formula>BB138&lt;#REF!</formula>
    </cfRule>
    <cfRule type="expression" dxfId="1046" priority="558">
      <formula>BB138&gt;#REF!</formula>
    </cfRule>
  </conditionalFormatting>
  <conditionalFormatting sqref="BD138">
    <cfRule type="expression" dxfId="1045" priority="555">
      <formula>BD138&lt;#REF!</formula>
    </cfRule>
    <cfRule type="expression" dxfId="1044" priority="556">
      <formula>BD138&gt;#REF!</formula>
    </cfRule>
  </conditionalFormatting>
  <conditionalFormatting sqref="BF138">
    <cfRule type="expression" dxfId="1043" priority="553">
      <formula>BF138&lt;#REF!</formula>
    </cfRule>
    <cfRule type="expression" dxfId="1042" priority="554">
      <formula>BF138&gt;#REF!</formula>
    </cfRule>
  </conditionalFormatting>
  <conditionalFormatting sqref="AZ140">
    <cfRule type="expression" dxfId="1041" priority="551">
      <formula>AZ140&lt;#REF!</formula>
    </cfRule>
    <cfRule type="expression" dxfId="1040" priority="552">
      <formula>AZ140&gt;#REF!</formula>
    </cfRule>
  </conditionalFormatting>
  <conditionalFormatting sqref="BB140">
    <cfRule type="expression" dxfId="1039" priority="549">
      <formula>BB140&lt;#REF!</formula>
    </cfRule>
    <cfRule type="expression" dxfId="1038" priority="550">
      <formula>BB140&gt;#REF!</formula>
    </cfRule>
  </conditionalFormatting>
  <conditionalFormatting sqref="BD140">
    <cfRule type="expression" dxfId="1037" priority="547">
      <formula>BD140&lt;#REF!</formula>
    </cfRule>
    <cfRule type="expression" dxfId="1036" priority="548">
      <formula>BD140&gt;#REF!</formula>
    </cfRule>
  </conditionalFormatting>
  <conditionalFormatting sqref="BF140">
    <cfRule type="expression" dxfId="1035" priority="545">
      <formula>BF140&lt;#REF!</formula>
    </cfRule>
    <cfRule type="expression" dxfId="1034" priority="546">
      <formula>BF140&gt;#REF!</formula>
    </cfRule>
  </conditionalFormatting>
  <conditionalFormatting sqref="AZ142">
    <cfRule type="expression" dxfId="1033" priority="543">
      <formula>AZ142&lt;#REF!</formula>
    </cfRule>
    <cfRule type="expression" dxfId="1032" priority="544">
      <formula>AZ142&gt;#REF!</formula>
    </cfRule>
  </conditionalFormatting>
  <conditionalFormatting sqref="BB142">
    <cfRule type="expression" dxfId="1031" priority="541">
      <formula>BB142&lt;#REF!</formula>
    </cfRule>
    <cfRule type="expression" dxfId="1030" priority="542">
      <formula>BB142&gt;#REF!</formula>
    </cfRule>
  </conditionalFormatting>
  <conditionalFormatting sqref="BD142">
    <cfRule type="expression" dxfId="1029" priority="539">
      <formula>BD142&lt;#REF!</formula>
    </cfRule>
    <cfRule type="expression" dxfId="1028" priority="540">
      <formula>BD142&gt;#REF!</formula>
    </cfRule>
  </conditionalFormatting>
  <conditionalFormatting sqref="BF142">
    <cfRule type="expression" dxfId="1027" priority="537">
      <formula>BF142&lt;#REF!</formula>
    </cfRule>
    <cfRule type="expression" dxfId="1026" priority="538">
      <formula>BF142&gt;#REF!</formula>
    </cfRule>
  </conditionalFormatting>
  <conditionalFormatting sqref="AZ144">
    <cfRule type="expression" dxfId="1025" priority="535">
      <formula>AZ144&lt;#REF!</formula>
    </cfRule>
    <cfRule type="expression" dxfId="1024" priority="536">
      <formula>AZ144&gt;#REF!</formula>
    </cfRule>
  </conditionalFormatting>
  <conditionalFormatting sqref="BB144">
    <cfRule type="expression" dxfId="1023" priority="533">
      <formula>BB144&lt;#REF!</formula>
    </cfRule>
    <cfRule type="expression" dxfId="1022" priority="534">
      <formula>BB144&gt;#REF!</formula>
    </cfRule>
  </conditionalFormatting>
  <conditionalFormatting sqref="BD144">
    <cfRule type="expression" dxfId="1021" priority="531">
      <formula>BD144&lt;#REF!</formula>
    </cfRule>
    <cfRule type="expression" dxfId="1020" priority="532">
      <formula>BD144&gt;#REF!</formula>
    </cfRule>
  </conditionalFormatting>
  <conditionalFormatting sqref="BF144">
    <cfRule type="expression" dxfId="1019" priority="529">
      <formula>BF144&lt;#REF!</formula>
    </cfRule>
    <cfRule type="expression" dxfId="1018" priority="530">
      <formula>BF144&gt;#REF!</formula>
    </cfRule>
  </conditionalFormatting>
  <conditionalFormatting sqref="AZ150 AZ148 AZ146">
    <cfRule type="expression" dxfId="1017" priority="527">
      <formula>AZ146&lt;#REF!</formula>
    </cfRule>
    <cfRule type="expression" dxfId="1016" priority="528">
      <formula>AZ146&gt;#REF!</formula>
    </cfRule>
  </conditionalFormatting>
  <conditionalFormatting sqref="BB150 BB148 BB146">
    <cfRule type="expression" dxfId="1015" priority="525">
      <formula>BB146&lt;#REF!</formula>
    </cfRule>
    <cfRule type="expression" dxfId="1014" priority="526">
      <formula>BB146&gt;#REF!</formula>
    </cfRule>
  </conditionalFormatting>
  <conditionalFormatting sqref="BD150 BD148 BD146">
    <cfRule type="expression" dxfId="1013" priority="523">
      <formula>BD146&lt;#REF!</formula>
    </cfRule>
    <cfRule type="expression" dxfId="1012" priority="524">
      <formula>BD146&gt;#REF!</formula>
    </cfRule>
  </conditionalFormatting>
  <conditionalFormatting sqref="BF150 BF148 BF146">
    <cfRule type="expression" dxfId="1011" priority="521">
      <formula>BF146&lt;#REF!</formula>
    </cfRule>
    <cfRule type="expression" dxfId="1010" priority="522">
      <formula>BF146&gt;#REF!</formula>
    </cfRule>
  </conditionalFormatting>
  <conditionalFormatting sqref="AZ152">
    <cfRule type="expression" dxfId="1009" priority="519">
      <formula>AZ152&lt;#REF!</formula>
    </cfRule>
    <cfRule type="expression" dxfId="1008" priority="520">
      <formula>AZ152&gt;#REF!</formula>
    </cfRule>
  </conditionalFormatting>
  <conditionalFormatting sqref="BB152">
    <cfRule type="expression" dxfId="1007" priority="517">
      <formula>BB152&lt;#REF!</formula>
    </cfRule>
    <cfRule type="expression" dxfId="1006" priority="518">
      <formula>BB152&gt;#REF!</formula>
    </cfRule>
  </conditionalFormatting>
  <conditionalFormatting sqref="BD152">
    <cfRule type="expression" dxfId="1005" priority="515">
      <formula>BD152&lt;#REF!</formula>
    </cfRule>
    <cfRule type="expression" dxfId="1004" priority="516">
      <formula>BD152&gt;#REF!</formula>
    </cfRule>
  </conditionalFormatting>
  <conditionalFormatting sqref="BF152">
    <cfRule type="expression" dxfId="1003" priority="513">
      <formula>BF152&lt;#REF!</formula>
    </cfRule>
    <cfRule type="expression" dxfId="1002" priority="514">
      <formula>BF152&gt;#REF!</formula>
    </cfRule>
  </conditionalFormatting>
  <conditionalFormatting sqref="AZ154">
    <cfRule type="expression" dxfId="1001" priority="511">
      <formula>AZ154&lt;#REF!</formula>
    </cfRule>
    <cfRule type="expression" dxfId="1000" priority="512">
      <formula>AZ154&gt;#REF!</formula>
    </cfRule>
  </conditionalFormatting>
  <conditionalFormatting sqref="BB154">
    <cfRule type="expression" dxfId="999" priority="509">
      <formula>BB154&lt;#REF!</formula>
    </cfRule>
    <cfRule type="expression" dxfId="998" priority="510">
      <formula>BB154&gt;#REF!</formula>
    </cfRule>
  </conditionalFormatting>
  <conditionalFormatting sqref="BD154">
    <cfRule type="expression" dxfId="997" priority="507">
      <formula>BD154&lt;#REF!</formula>
    </cfRule>
    <cfRule type="expression" dxfId="996" priority="508">
      <formula>BD154&gt;#REF!</formula>
    </cfRule>
  </conditionalFormatting>
  <conditionalFormatting sqref="BF154">
    <cfRule type="expression" dxfId="995" priority="505">
      <formula>BF154&lt;#REF!</formula>
    </cfRule>
    <cfRule type="expression" dxfId="994" priority="506">
      <formula>BF154&gt;#REF!</formula>
    </cfRule>
  </conditionalFormatting>
  <conditionalFormatting sqref="AZ156">
    <cfRule type="expression" dxfId="993" priority="503">
      <formula>AZ156&lt;#REF!</formula>
    </cfRule>
    <cfRule type="expression" dxfId="992" priority="504">
      <formula>AZ156&gt;#REF!</formula>
    </cfRule>
  </conditionalFormatting>
  <conditionalFormatting sqref="BB156">
    <cfRule type="expression" dxfId="991" priority="501">
      <formula>BB156&lt;#REF!</formula>
    </cfRule>
    <cfRule type="expression" dxfId="990" priority="502">
      <formula>BB156&gt;#REF!</formula>
    </cfRule>
  </conditionalFormatting>
  <conditionalFormatting sqref="BD156">
    <cfRule type="expression" dxfId="989" priority="499">
      <formula>BD156&lt;#REF!</formula>
    </cfRule>
    <cfRule type="expression" dxfId="988" priority="500">
      <formula>BD156&gt;#REF!</formula>
    </cfRule>
  </conditionalFormatting>
  <conditionalFormatting sqref="BF156">
    <cfRule type="expression" dxfId="987" priority="497">
      <formula>BF156&lt;#REF!</formula>
    </cfRule>
    <cfRule type="expression" dxfId="986" priority="498">
      <formula>BF156&gt;#REF!</formula>
    </cfRule>
  </conditionalFormatting>
  <conditionalFormatting sqref="AZ158">
    <cfRule type="expression" dxfId="985" priority="495">
      <formula>AZ158&lt;#REF!</formula>
    </cfRule>
    <cfRule type="expression" dxfId="984" priority="496">
      <formula>AZ158&gt;#REF!</formula>
    </cfRule>
  </conditionalFormatting>
  <conditionalFormatting sqref="BB158">
    <cfRule type="expression" dxfId="983" priority="493">
      <formula>BB158&lt;#REF!</formula>
    </cfRule>
    <cfRule type="expression" dxfId="982" priority="494">
      <formula>BB158&gt;#REF!</formula>
    </cfRule>
  </conditionalFormatting>
  <conditionalFormatting sqref="BD158">
    <cfRule type="expression" dxfId="981" priority="491">
      <formula>BD158&lt;#REF!</formula>
    </cfRule>
    <cfRule type="expression" dxfId="980" priority="492">
      <formula>BD158&gt;#REF!</formula>
    </cfRule>
  </conditionalFormatting>
  <conditionalFormatting sqref="BF158">
    <cfRule type="expression" dxfId="979" priority="489">
      <formula>BF158&lt;#REF!</formula>
    </cfRule>
    <cfRule type="expression" dxfId="978" priority="490">
      <formula>BF158&gt;#REF!</formula>
    </cfRule>
  </conditionalFormatting>
  <conditionalFormatting sqref="AZ160">
    <cfRule type="expression" dxfId="977" priority="487">
      <formula>AZ160&lt;#REF!</formula>
    </cfRule>
    <cfRule type="expression" dxfId="976" priority="488">
      <formula>AZ160&gt;#REF!</formula>
    </cfRule>
  </conditionalFormatting>
  <conditionalFormatting sqref="BB160">
    <cfRule type="expression" dxfId="975" priority="485">
      <formula>BB160&lt;#REF!</formula>
    </cfRule>
    <cfRule type="expression" dxfId="974" priority="486">
      <formula>BB160&gt;#REF!</formula>
    </cfRule>
  </conditionalFormatting>
  <conditionalFormatting sqref="BD160">
    <cfRule type="expression" dxfId="973" priority="483">
      <formula>BD160&lt;#REF!</formula>
    </cfRule>
    <cfRule type="expression" dxfId="972" priority="484">
      <formula>BD160&gt;#REF!</formula>
    </cfRule>
  </conditionalFormatting>
  <conditionalFormatting sqref="BF160">
    <cfRule type="expression" dxfId="971" priority="481">
      <formula>BF160&lt;#REF!</formula>
    </cfRule>
    <cfRule type="expression" dxfId="970" priority="482">
      <formula>BF160&gt;#REF!</formula>
    </cfRule>
  </conditionalFormatting>
  <conditionalFormatting sqref="AZ162">
    <cfRule type="expression" dxfId="969" priority="479">
      <formula>AZ162&lt;#REF!</formula>
    </cfRule>
    <cfRule type="expression" dxfId="968" priority="480">
      <formula>AZ162&gt;#REF!</formula>
    </cfRule>
  </conditionalFormatting>
  <conditionalFormatting sqref="BB162">
    <cfRule type="expression" dxfId="967" priority="477">
      <formula>BB162&lt;#REF!</formula>
    </cfRule>
    <cfRule type="expression" dxfId="966" priority="478">
      <formula>BB162&gt;#REF!</formula>
    </cfRule>
  </conditionalFormatting>
  <conditionalFormatting sqref="BD162">
    <cfRule type="expression" dxfId="965" priority="475">
      <formula>BD162&lt;#REF!</formula>
    </cfRule>
    <cfRule type="expression" dxfId="964" priority="476">
      <formula>BD162&gt;#REF!</formula>
    </cfRule>
  </conditionalFormatting>
  <conditionalFormatting sqref="BF162">
    <cfRule type="expression" dxfId="963" priority="473">
      <formula>BF162&lt;#REF!</formula>
    </cfRule>
    <cfRule type="expression" dxfId="962" priority="474">
      <formula>BF162&gt;#REF!</formula>
    </cfRule>
  </conditionalFormatting>
  <conditionalFormatting sqref="AZ164">
    <cfRule type="expression" dxfId="961" priority="471">
      <formula>AZ164&lt;#REF!</formula>
    </cfRule>
    <cfRule type="expression" dxfId="960" priority="472">
      <formula>AZ164&gt;#REF!</formula>
    </cfRule>
  </conditionalFormatting>
  <conditionalFormatting sqref="BB164">
    <cfRule type="expression" dxfId="959" priority="469">
      <formula>BB164&lt;#REF!</formula>
    </cfRule>
    <cfRule type="expression" dxfId="958" priority="470">
      <formula>BB164&gt;#REF!</formula>
    </cfRule>
  </conditionalFormatting>
  <conditionalFormatting sqref="BD164">
    <cfRule type="expression" dxfId="957" priority="467">
      <formula>BD164&lt;#REF!</formula>
    </cfRule>
    <cfRule type="expression" dxfId="956" priority="468">
      <formula>BD164&gt;#REF!</formula>
    </cfRule>
  </conditionalFormatting>
  <conditionalFormatting sqref="BF164">
    <cfRule type="expression" dxfId="955" priority="465">
      <formula>BF164&lt;#REF!</formula>
    </cfRule>
    <cfRule type="expression" dxfId="954" priority="466">
      <formula>BF164&gt;#REF!</formula>
    </cfRule>
  </conditionalFormatting>
  <conditionalFormatting sqref="AZ166">
    <cfRule type="expression" dxfId="953" priority="463">
      <formula>AZ166&lt;#REF!</formula>
    </cfRule>
    <cfRule type="expression" dxfId="952" priority="464">
      <formula>AZ166&gt;#REF!</formula>
    </cfRule>
  </conditionalFormatting>
  <conditionalFormatting sqref="BB166">
    <cfRule type="expression" dxfId="951" priority="461">
      <formula>BB166&lt;#REF!</formula>
    </cfRule>
    <cfRule type="expression" dxfId="950" priority="462">
      <formula>BB166&gt;#REF!</formula>
    </cfRule>
  </conditionalFormatting>
  <conditionalFormatting sqref="BD166">
    <cfRule type="expression" dxfId="949" priority="459">
      <formula>BD166&lt;#REF!</formula>
    </cfRule>
    <cfRule type="expression" dxfId="948" priority="460">
      <formula>BD166&gt;#REF!</formula>
    </cfRule>
  </conditionalFormatting>
  <conditionalFormatting sqref="BF166">
    <cfRule type="expression" dxfId="947" priority="457">
      <formula>BF166&lt;#REF!</formula>
    </cfRule>
    <cfRule type="expression" dxfId="946" priority="458">
      <formula>BF166&gt;#REF!</formula>
    </cfRule>
  </conditionalFormatting>
  <conditionalFormatting sqref="AZ168">
    <cfRule type="expression" dxfId="945" priority="455">
      <formula>AZ168&lt;#REF!</formula>
    </cfRule>
    <cfRule type="expression" dxfId="944" priority="456">
      <formula>AZ168&gt;#REF!</formula>
    </cfRule>
  </conditionalFormatting>
  <conditionalFormatting sqref="BB168">
    <cfRule type="expression" dxfId="943" priority="453">
      <formula>BB168&lt;#REF!</formula>
    </cfRule>
    <cfRule type="expression" dxfId="942" priority="454">
      <formula>BB168&gt;#REF!</formula>
    </cfRule>
  </conditionalFormatting>
  <conditionalFormatting sqref="BD168">
    <cfRule type="expression" dxfId="941" priority="451">
      <formula>BD168&lt;#REF!</formula>
    </cfRule>
    <cfRule type="expression" dxfId="940" priority="452">
      <formula>BD168&gt;#REF!</formula>
    </cfRule>
  </conditionalFormatting>
  <conditionalFormatting sqref="BF168">
    <cfRule type="expression" dxfId="939" priority="449">
      <formula>BF168&lt;#REF!</formula>
    </cfRule>
    <cfRule type="expression" dxfId="938" priority="450">
      <formula>BF168&gt;#REF!</formula>
    </cfRule>
  </conditionalFormatting>
  <conditionalFormatting sqref="AZ170">
    <cfRule type="expression" dxfId="937" priority="447">
      <formula>AZ170&lt;#REF!</formula>
    </cfRule>
    <cfRule type="expression" dxfId="936" priority="448">
      <formula>AZ170&gt;#REF!</formula>
    </cfRule>
  </conditionalFormatting>
  <conditionalFormatting sqref="BB170">
    <cfRule type="expression" dxfId="935" priority="445">
      <formula>BB170&lt;#REF!</formula>
    </cfRule>
    <cfRule type="expression" dxfId="934" priority="446">
      <formula>BB170&gt;#REF!</formula>
    </cfRule>
  </conditionalFormatting>
  <conditionalFormatting sqref="BD170">
    <cfRule type="expression" dxfId="933" priority="443">
      <formula>BD170&lt;#REF!</formula>
    </cfRule>
    <cfRule type="expression" dxfId="932" priority="444">
      <formula>BD170&gt;#REF!</formula>
    </cfRule>
  </conditionalFormatting>
  <conditionalFormatting sqref="BF170">
    <cfRule type="expression" dxfId="931" priority="441">
      <formula>BF170&lt;#REF!</formula>
    </cfRule>
    <cfRule type="expression" dxfId="930" priority="442">
      <formula>BF170&gt;#REF!</formula>
    </cfRule>
  </conditionalFormatting>
  <conditionalFormatting sqref="AZ172">
    <cfRule type="expression" dxfId="929" priority="439">
      <formula>AZ172&lt;#REF!</formula>
    </cfRule>
    <cfRule type="expression" dxfId="928" priority="440">
      <formula>AZ172&gt;#REF!</formula>
    </cfRule>
  </conditionalFormatting>
  <conditionalFormatting sqref="BB172">
    <cfRule type="expression" dxfId="927" priority="437">
      <formula>BB172&lt;#REF!</formula>
    </cfRule>
    <cfRule type="expression" dxfId="926" priority="438">
      <formula>BB172&gt;#REF!</formula>
    </cfRule>
  </conditionalFormatting>
  <conditionalFormatting sqref="BD172">
    <cfRule type="expression" dxfId="925" priority="435">
      <formula>BD172&lt;#REF!</formula>
    </cfRule>
    <cfRule type="expression" dxfId="924" priority="436">
      <formula>BD172&gt;#REF!</formula>
    </cfRule>
  </conditionalFormatting>
  <conditionalFormatting sqref="BF172">
    <cfRule type="expression" dxfId="923" priority="433">
      <formula>BF172&lt;#REF!</formula>
    </cfRule>
    <cfRule type="expression" dxfId="922" priority="434">
      <formula>BF172&gt;#REF!</formula>
    </cfRule>
  </conditionalFormatting>
  <conditionalFormatting sqref="AZ174">
    <cfRule type="expression" dxfId="921" priority="431">
      <formula>AZ174&lt;#REF!</formula>
    </cfRule>
    <cfRule type="expression" dxfId="920" priority="432">
      <formula>AZ174&gt;#REF!</formula>
    </cfRule>
  </conditionalFormatting>
  <conditionalFormatting sqref="BB174">
    <cfRule type="expression" dxfId="919" priority="429">
      <formula>BB174&lt;#REF!</formula>
    </cfRule>
    <cfRule type="expression" dxfId="918" priority="430">
      <formula>BB174&gt;#REF!</formula>
    </cfRule>
  </conditionalFormatting>
  <conditionalFormatting sqref="BD174">
    <cfRule type="expression" dxfId="917" priority="427">
      <formula>BD174&lt;#REF!</formula>
    </cfRule>
    <cfRule type="expression" dxfId="916" priority="428">
      <formula>BD174&gt;#REF!</formula>
    </cfRule>
  </conditionalFormatting>
  <conditionalFormatting sqref="BF174">
    <cfRule type="expression" dxfId="915" priority="425">
      <formula>BF174&lt;#REF!</formula>
    </cfRule>
    <cfRule type="expression" dxfId="914" priority="426">
      <formula>BF174&gt;#REF!</formula>
    </cfRule>
  </conditionalFormatting>
  <conditionalFormatting sqref="AZ176">
    <cfRule type="expression" dxfId="913" priority="423">
      <formula>AZ176&lt;#REF!</formula>
    </cfRule>
    <cfRule type="expression" dxfId="912" priority="424">
      <formula>AZ176&gt;#REF!</formula>
    </cfRule>
  </conditionalFormatting>
  <conditionalFormatting sqref="BB176">
    <cfRule type="expression" dxfId="911" priority="421">
      <formula>BB176&lt;#REF!</formula>
    </cfRule>
    <cfRule type="expression" dxfId="910" priority="422">
      <formula>BB176&gt;#REF!</formula>
    </cfRule>
  </conditionalFormatting>
  <conditionalFormatting sqref="BD176">
    <cfRule type="expression" dxfId="909" priority="419">
      <formula>BD176&lt;#REF!</formula>
    </cfRule>
    <cfRule type="expression" dxfId="908" priority="420">
      <formula>BD176&gt;#REF!</formula>
    </cfRule>
  </conditionalFormatting>
  <conditionalFormatting sqref="BF176">
    <cfRule type="expression" dxfId="907" priority="417">
      <formula>BF176&lt;#REF!</formula>
    </cfRule>
    <cfRule type="expression" dxfId="906" priority="418">
      <formula>BF176&gt;#REF!</formula>
    </cfRule>
  </conditionalFormatting>
  <conditionalFormatting sqref="AZ178">
    <cfRule type="expression" dxfId="905" priority="415">
      <formula>AZ178&lt;#REF!</formula>
    </cfRule>
    <cfRule type="expression" dxfId="904" priority="416">
      <formula>AZ178&gt;#REF!</formula>
    </cfRule>
  </conditionalFormatting>
  <conditionalFormatting sqref="BB178">
    <cfRule type="expression" dxfId="903" priority="413">
      <formula>BB178&lt;#REF!</formula>
    </cfRule>
    <cfRule type="expression" dxfId="902" priority="414">
      <formula>BB178&gt;#REF!</formula>
    </cfRule>
  </conditionalFormatting>
  <conditionalFormatting sqref="BD178">
    <cfRule type="expression" dxfId="901" priority="411">
      <formula>BD178&lt;#REF!</formula>
    </cfRule>
    <cfRule type="expression" dxfId="900" priority="412">
      <formula>BD178&gt;#REF!</formula>
    </cfRule>
  </conditionalFormatting>
  <conditionalFormatting sqref="BF178">
    <cfRule type="expression" dxfId="899" priority="409">
      <formula>BF178&lt;#REF!</formula>
    </cfRule>
    <cfRule type="expression" dxfId="898" priority="410">
      <formula>BF178&gt;#REF!</formula>
    </cfRule>
  </conditionalFormatting>
  <conditionalFormatting sqref="AZ180">
    <cfRule type="expression" dxfId="897" priority="407">
      <formula>AZ180&lt;#REF!</formula>
    </cfRule>
    <cfRule type="expression" dxfId="896" priority="408">
      <formula>AZ180&gt;#REF!</formula>
    </cfRule>
  </conditionalFormatting>
  <conditionalFormatting sqref="BB180">
    <cfRule type="expression" dxfId="895" priority="405">
      <formula>BB180&lt;#REF!</formula>
    </cfRule>
    <cfRule type="expression" dxfId="894" priority="406">
      <formula>BB180&gt;#REF!</formula>
    </cfRule>
  </conditionalFormatting>
  <conditionalFormatting sqref="BD180">
    <cfRule type="expression" dxfId="893" priority="403">
      <formula>BD180&lt;#REF!</formula>
    </cfRule>
    <cfRule type="expression" dxfId="892" priority="404">
      <formula>BD180&gt;#REF!</formula>
    </cfRule>
  </conditionalFormatting>
  <conditionalFormatting sqref="BF180">
    <cfRule type="expression" dxfId="891" priority="401">
      <formula>BF180&lt;#REF!</formula>
    </cfRule>
    <cfRule type="expression" dxfId="890" priority="402">
      <formula>BF180&gt;#REF!</formula>
    </cfRule>
  </conditionalFormatting>
  <conditionalFormatting sqref="AZ182">
    <cfRule type="expression" dxfId="889" priority="399">
      <formula>AZ182&lt;#REF!</formula>
    </cfRule>
    <cfRule type="expression" dxfId="888" priority="400">
      <formula>AZ182&gt;#REF!</formula>
    </cfRule>
  </conditionalFormatting>
  <conditionalFormatting sqref="BB182">
    <cfRule type="expression" dxfId="887" priority="397">
      <formula>BB182&lt;#REF!</formula>
    </cfRule>
    <cfRule type="expression" dxfId="886" priority="398">
      <formula>BB182&gt;#REF!</formula>
    </cfRule>
  </conditionalFormatting>
  <conditionalFormatting sqref="BD182">
    <cfRule type="expression" dxfId="885" priority="395">
      <formula>BD182&lt;#REF!</formula>
    </cfRule>
    <cfRule type="expression" dxfId="884" priority="396">
      <formula>BD182&gt;#REF!</formula>
    </cfRule>
  </conditionalFormatting>
  <conditionalFormatting sqref="BF182">
    <cfRule type="expression" dxfId="883" priority="393">
      <formula>BF182&lt;#REF!</formula>
    </cfRule>
    <cfRule type="expression" dxfId="882" priority="394">
      <formula>BF182&gt;#REF!</formula>
    </cfRule>
  </conditionalFormatting>
  <conditionalFormatting sqref="AZ184">
    <cfRule type="expression" dxfId="881" priority="391">
      <formula>AZ184&lt;#REF!</formula>
    </cfRule>
    <cfRule type="expression" dxfId="880" priority="392">
      <formula>AZ184&gt;#REF!</formula>
    </cfRule>
  </conditionalFormatting>
  <conditionalFormatting sqref="BB184">
    <cfRule type="expression" dxfId="879" priority="389">
      <formula>BB184&lt;#REF!</formula>
    </cfRule>
    <cfRule type="expression" dxfId="878" priority="390">
      <formula>BB184&gt;#REF!</formula>
    </cfRule>
  </conditionalFormatting>
  <conditionalFormatting sqref="BD184">
    <cfRule type="expression" dxfId="877" priority="387">
      <formula>BD184&lt;#REF!</formula>
    </cfRule>
    <cfRule type="expression" dxfId="876" priority="388">
      <formula>BD184&gt;#REF!</formula>
    </cfRule>
  </conditionalFormatting>
  <conditionalFormatting sqref="BF184">
    <cfRule type="expression" dxfId="875" priority="385">
      <formula>BF184&lt;#REF!</formula>
    </cfRule>
    <cfRule type="expression" dxfId="874" priority="386">
      <formula>BF184&gt;#REF!</formula>
    </cfRule>
  </conditionalFormatting>
  <conditionalFormatting sqref="AZ186">
    <cfRule type="expression" dxfId="873" priority="383">
      <formula>AZ186&lt;#REF!</formula>
    </cfRule>
    <cfRule type="expression" dxfId="872" priority="384">
      <formula>AZ186&gt;#REF!</formula>
    </cfRule>
  </conditionalFormatting>
  <conditionalFormatting sqref="BB186">
    <cfRule type="expression" dxfId="871" priority="381">
      <formula>BB186&lt;#REF!</formula>
    </cfRule>
    <cfRule type="expression" dxfId="870" priority="382">
      <formula>BB186&gt;#REF!</formula>
    </cfRule>
  </conditionalFormatting>
  <conditionalFormatting sqref="BD186">
    <cfRule type="expression" dxfId="869" priority="379">
      <formula>BD186&lt;#REF!</formula>
    </cfRule>
    <cfRule type="expression" dxfId="868" priority="380">
      <formula>BD186&gt;#REF!</formula>
    </cfRule>
  </conditionalFormatting>
  <conditionalFormatting sqref="BF186">
    <cfRule type="expression" dxfId="867" priority="377">
      <formula>BF186&lt;#REF!</formula>
    </cfRule>
    <cfRule type="expression" dxfId="866" priority="378">
      <formula>BF186&gt;#REF!</formula>
    </cfRule>
  </conditionalFormatting>
  <conditionalFormatting sqref="AZ188">
    <cfRule type="expression" dxfId="865" priority="375">
      <formula>AZ188&lt;#REF!</formula>
    </cfRule>
    <cfRule type="expression" dxfId="864" priority="376">
      <formula>AZ188&gt;#REF!</formula>
    </cfRule>
  </conditionalFormatting>
  <conditionalFormatting sqref="BB188">
    <cfRule type="expression" dxfId="863" priority="373">
      <formula>BB188&lt;#REF!</formula>
    </cfRule>
    <cfRule type="expression" dxfId="862" priority="374">
      <formula>BB188&gt;#REF!</formula>
    </cfRule>
  </conditionalFormatting>
  <conditionalFormatting sqref="BD188">
    <cfRule type="expression" dxfId="861" priority="371">
      <formula>BD188&lt;#REF!</formula>
    </cfRule>
    <cfRule type="expression" dxfId="860" priority="372">
      <formula>BD188&gt;#REF!</formula>
    </cfRule>
  </conditionalFormatting>
  <conditionalFormatting sqref="BF188">
    <cfRule type="expression" dxfId="859" priority="369">
      <formula>BF188&lt;#REF!</formula>
    </cfRule>
    <cfRule type="expression" dxfId="858" priority="370">
      <formula>BF188&gt;#REF!</formula>
    </cfRule>
  </conditionalFormatting>
  <conditionalFormatting sqref="AZ190">
    <cfRule type="expression" dxfId="857" priority="367">
      <formula>AZ190&lt;#REF!</formula>
    </cfRule>
    <cfRule type="expression" dxfId="856" priority="368">
      <formula>AZ190&gt;#REF!</formula>
    </cfRule>
  </conditionalFormatting>
  <conditionalFormatting sqref="BB190">
    <cfRule type="expression" dxfId="855" priority="365">
      <formula>BB190&lt;#REF!</formula>
    </cfRule>
    <cfRule type="expression" dxfId="854" priority="366">
      <formula>BB190&gt;#REF!</formula>
    </cfRule>
  </conditionalFormatting>
  <conditionalFormatting sqref="BD190">
    <cfRule type="expression" dxfId="853" priority="363">
      <formula>BD190&lt;#REF!</formula>
    </cfRule>
    <cfRule type="expression" dxfId="852" priority="364">
      <formula>BD190&gt;#REF!</formula>
    </cfRule>
  </conditionalFormatting>
  <conditionalFormatting sqref="BF190">
    <cfRule type="expression" dxfId="851" priority="361">
      <formula>BF190&lt;#REF!</formula>
    </cfRule>
    <cfRule type="expression" dxfId="850" priority="362">
      <formula>BF190&gt;#REF!</formula>
    </cfRule>
  </conditionalFormatting>
  <conditionalFormatting sqref="AZ192">
    <cfRule type="expression" dxfId="849" priority="359">
      <formula>AZ192&lt;#REF!</formula>
    </cfRule>
    <cfRule type="expression" dxfId="848" priority="360">
      <formula>AZ192&gt;#REF!</formula>
    </cfRule>
  </conditionalFormatting>
  <conditionalFormatting sqref="BB192">
    <cfRule type="expression" dxfId="847" priority="357">
      <formula>BB192&lt;#REF!</formula>
    </cfRule>
    <cfRule type="expression" dxfId="846" priority="358">
      <formula>BB192&gt;#REF!</formula>
    </cfRule>
  </conditionalFormatting>
  <conditionalFormatting sqref="BD192">
    <cfRule type="expression" dxfId="845" priority="355">
      <formula>BD192&lt;#REF!</formula>
    </cfRule>
    <cfRule type="expression" dxfId="844" priority="356">
      <formula>BD192&gt;#REF!</formula>
    </cfRule>
  </conditionalFormatting>
  <conditionalFormatting sqref="BF192">
    <cfRule type="expression" dxfId="843" priority="353">
      <formula>BF192&lt;#REF!</formula>
    </cfRule>
    <cfRule type="expression" dxfId="842" priority="354">
      <formula>BF192&gt;#REF!</formula>
    </cfRule>
  </conditionalFormatting>
  <conditionalFormatting sqref="AZ194">
    <cfRule type="expression" dxfId="841" priority="351">
      <formula>AZ194&lt;#REF!</formula>
    </cfRule>
    <cfRule type="expression" dxfId="840" priority="352">
      <formula>AZ194&gt;#REF!</formula>
    </cfRule>
  </conditionalFormatting>
  <conditionalFormatting sqref="BB194">
    <cfRule type="expression" dxfId="839" priority="349">
      <formula>BB194&lt;#REF!</formula>
    </cfRule>
    <cfRule type="expression" dxfId="838" priority="350">
      <formula>BB194&gt;#REF!</formula>
    </cfRule>
  </conditionalFormatting>
  <conditionalFormatting sqref="BD194">
    <cfRule type="expression" dxfId="837" priority="347">
      <formula>BD194&lt;#REF!</formula>
    </cfRule>
    <cfRule type="expression" dxfId="836" priority="348">
      <formula>BD194&gt;#REF!</formula>
    </cfRule>
  </conditionalFormatting>
  <conditionalFormatting sqref="BF194">
    <cfRule type="expression" dxfId="835" priority="345">
      <formula>BF194&lt;#REF!</formula>
    </cfRule>
    <cfRule type="expression" dxfId="834" priority="346">
      <formula>BF194&gt;#REF!</formula>
    </cfRule>
  </conditionalFormatting>
  <conditionalFormatting sqref="AZ196">
    <cfRule type="expression" dxfId="833" priority="343">
      <formula>AZ196&lt;#REF!</formula>
    </cfRule>
    <cfRule type="expression" dxfId="832" priority="344">
      <formula>AZ196&gt;#REF!</formula>
    </cfRule>
  </conditionalFormatting>
  <conditionalFormatting sqref="BB196">
    <cfRule type="expression" dxfId="831" priority="341">
      <formula>BB196&lt;#REF!</formula>
    </cfRule>
    <cfRule type="expression" dxfId="830" priority="342">
      <formula>BB196&gt;#REF!</formula>
    </cfRule>
  </conditionalFormatting>
  <conditionalFormatting sqref="BD196">
    <cfRule type="expression" dxfId="829" priority="339">
      <formula>BD196&lt;#REF!</formula>
    </cfRule>
    <cfRule type="expression" dxfId="828" priority="340">
      <formula>BD196&gt;#REF!</formula>
    </cfRule>
  </conditionalFormatting>
  <conditionalFormatting sqref="BF196">
    <cfRule type="expression" dxfId="827" priority="337">
      <formula>BF196&lt;#REF!</formula>
    </cfRule>
    <cfRule type="expression" dxfId="826" priority="338">
      <formula>BF196&gt;#REF!</formula>
    </cfRule>
  </conditionalFormatting>
  <conditionalFormatting sqref="AZ198">
    <cfRule type="expression" dxfId="825" priority="335">
      <formula>AZ198&lt;#REF!</formula>
    </cfRule>
    <cfRule type="expression" dxfId="824" priority="336">
      <formula>AZ198&gt;#REF!</formula>
    </cfRule>
  </conditionalFormatting>
  <conditionalFormatting sqref="BB198">
    <cfRule type="expression" dxfId="823" priority="333">
      <formula>BB198&lt;#REF!</formula>
    </cfRule>
    <cfRule type="expression" dxfId="822" priority="334">
      <formula>BB198&gt;#REF!</formula>
    </cfRule>
  </conditionalFormatting>
  <conditionalFormatting sqref="BD198">
    <cfRule type="expression" dxfId="821" priority="331">
      <formula>BD198&lt;#REF!</formula>
    </cfRule>
    <cfRule type="expression" dxfId="820" priority="332">
      <formula>BD198&gt;#REF!</formula>
    </cfRule>
  </conditionalFormatting>
  <conditionalFormatting sqref="BF198">
    <cfRule type="expression" dxfId="819" priority="329">
      <formula>BF198&lt;#REF!</formula>
    </cfRule>
    <cfRule type="expression" dxfId="818" priority="330">
      <formula>BF198&gt;#REF!</formula>
    </cfRule>
  </conditionalFormatting>
  <conditionalFormatting sqref="AZ200">
    <cfRule type="expression" dxfId="817" priority="327">
      <formula>AZ200&lt;#REF!</formula>
    </cfRule>
    <cfRule type="expression" dxfId="816" priority="328">
      <formula>AZ200&gt;#REF!</formula>
    </cfRule>
  </conditionalFormatting>
  <conditionalFormatting sqref="BB200">
    <cfRule type="expression" dxfId="815" priority="325">
      <formula>BB200&lt;#REF!</formula>
    </cfRule>
    <cfRule type="expression" dxfId="814" priority="326">
      <formula>BB200&gt;#REF!</formula>
    </cfRule>
  </conditionalFormatting>
  <conditionalFormatting sqref="BD200">
    <cfRule type="expression" dxfId="813" priority="323">
      <formula>BD200&lt;#REF!</formula>
    </cfRule>
    <cfRule type="expression" dxfId="812" priority="324">
      <formula>BD200&gt;#REF!</formula>
    </cfRule>
  </conditionalFormatting>
  <conditionalFormatting sqref="BF200">
    <cfRule type="expression" dxfId="811" priority="321">
      <formula>BF200&lt;#REF!</formula>
    </cfRule>
    <cfRule type="expression" dxfId="810" priority="322">
      <formula>BF200&gt;#REF!</formula>
    </cfRule>
  </conditionalFormatting>
  <conditionalFormatting sqref="AZ202">
    <cfRule type="expression" dxfId="809" priority="319">
      <formula>AZ202&lt;#REF!</formula>
    </cfRule>
    <cfRule type="expression" dxfId="808" priority="320">
      <formula>AZ202&gt;#REF!</formula>
    </cfRule>
  </conditionalFormatting>
  <conditionalFormatting sqref="BB202">
    <cfRule type="expression" dxfId="807" priority="317">
      <formula>BB202&lt;#REF!</formula>
    </cfRule>
    <cfRule type="expression" dxfId="806" priority="318">
      <formula>BB202&gt;#REF!</formula>
    </cfRule>
  </conditionalFormatting>
  <conditionalFormatting sqref="BD202">
    <cfRule type="expression" dxfId="805" priority="315">
      <formula>BD202&lt;#REF!</formula>
    </cfRule>
    <cfRule type="expression" dxfId="804" priority="316">
      <formula>BD202&gt;#REF!</formula>
    </cfRule>
  </conditionalFormatting>
  <conditionalFormatting sqref="BF202">
    <cfRule type="expression" dxfId="803" priority="313">
      <formula>BF202&lt;#REF!</formula>
    </cfRule>
    <cfRule type="expression" dxfId="802" priority="314">
      <formula>BF202&gt;#REF!</formula>
    </cfRule>
  </conditionalFormatting>
  <conditionalFormatting sqref="AZ204">
    <cfRule type="expression" dxfId="801" priority="311">
      <formula>AZ204&lt;#REF!</formula>
    </cfRule>
    <cfRule type="expression" dxfId="800" priority="312">
      <formula>AZ204&gt;#REF!</formula>
    </cfRule>
  </conditionalFormatting>
  <conditionalFormatting sqref="BB204">
    <cfRule type="expression" dxfId="799" priority="309">
      <formula>BB204&lt;#REF!</formula>
    </cfRule>
    <cfRule type="expression" dxfId="798" priority="310">
      <formula>BB204&gt;#REF!</formula>
    </cfRule>
  </conditionalFormatting>
  <conditionalFormatting sqref="BD204">
    <cfRule type="expression" dxfId="797" priority="307">
      <formula>BD204&lt;#REF!</formula>
    </cfRule>
    <cfRule type="expression" dxfId="796" priority="308">
      <formula>BD204&gt;#REF!</formula>
    </cfRule>
  </conditionalFormatting>
  <conditionalFormatting sqref="BF204">
    <cfRule type="expression" dxfId="795" priority="305">
      <formula>BF204&lt;#REF!</formula>
    </cfRule>
    <cfRule type="expression" dxfId="794" priority="306">
      <formula>BF204&gt;#REF!</formula>
    </cfRule>
  </conditionalFormatting>
  <conditionalFormatting sqref="AZ206">
    <cfRule type="expression" dxfId="793" priority="303">
      <formula>AZ206&lt;#REF!</formula>
    </cfRule>
    <cfRule type="expression" dxfId="792" priority="304">
      <formula>AZ206&gt;#REF!</formula>
    </cfRule>
  </conditionalFormatting>
  <conditionalFormatting sqref="BB206">
    <cfRule type="expression" dxfId="791" priority="301">
      <formula>BB206&lt;#REF!</formula>
    </cfRule>
    <cfRule type="expression" dxfId="790" priority="302">
      <formula>BB206&gt;#REF!</formula>
    </cfRule>
  </conditionalFormatting>
  <conditionalFormatting sqref="BD206">
    <cfRule type="expression" dxfId="789" priority="299">
      <formula>BD206&lt;#REF!</formula>
    </cfRule>
    <cfRule type="expression" dxfId="788" priority="300">
      <formula>BD206&gt;#REF!</formula>
    </cfRule>
  </conditionalFormatting>
  <conditionalFormatting sqref="BF206">
    <cfRule type="expression" dxfId="787" priority="297">
      <formula>BF206&lt;#REF!</formula>
    </cfRule>
    <cfRule type="expression" dxfId="786" priority="298">
      <formula>BF206&gt;#REF!</formula>
    </cfRule>
  </conditionalFormatting>
  <conditionalFormatting sqref="AZ208">
    <cfRule type="expression" dxfId="785" priority="295">
      <formula>AZ208&lt;#REF!</formula>
    </cfRule>
    <cfRule type="expression" dxfId="784" priority="296">
      <formula>AZ208&gt;#REF!</formula>
    </cfRule>
  </conditionalFormatting>
  <conditionalFormatting sqref="BB208">
    <cfRule type="expression" dxfId="783" priority="293">
      <formula>BB208&lt;#REF!</formula>
    </cfRule>
    <cfRule type="expression" dxfId="782" priority="294">
      <formula>BB208&gt;#REF!</formula>
    </cfRule>
  </conditionalFormatting>
  <conditionalFormatting sqref="BD208">
    <cfRule type="expression" dxfId="781" priority="291">
      <formula>BD208&lt;#REF!</formula>
    </cfRule>
    <cfRule type="expression" dxfId="780" priority="292">
      <formula>BD208&gt;#REF!</formula>
    </cfRule>
  </conditionalFormatting>
  <conditionalFormatting sqref="BF208">
    <cfRule type="expression" dxfId="779" priority="289">
      <formula>BF208&lt;#REF!</formula>
    </cfRule>
    <cfRule type="expression" dxfId="778" priority="290">
      <formula>BF208&gt;#REF!</formula>
    </cfRule>
  </conditionalFormatting>
  <conditionalFormatting sqref="AZ210">
    <cfRule type="expression" dxfId="777" priority="287">
      <formula>AZ210&lt;#REF!</formula>
    </cfRule>
    <cfRule type="expression" dxfId="776" priority="288">
      <formula>AZ210&gt;#REF!</formula>
    </cfRule>
  </conditionalFormatting>
  <conditionalFormatting sqref="BB210">
    <cfRule type="expression" dxfId="775" priority="285">
      <formula>BB210&lt;#REF!</formula>
    </cfRule>
    <cfRule type="expression" dxfId="774" priority="286">
      <formula>BB210&gt;#REF!</formula>
    </cfRule>
  </conditionalFormatting>
  <conditionalFormatting sqref="BD210">
    <cfRule type="expression" dxfId="773" priority="283">
      <formula>BD210&lt;#REF!</formula>
    </cfRule>
    <cfRule type="expression" dxfId="772" priority="284">
      <formula>BD210&gt;#REF!</formula>
    </cfRule>
  </conditionalFormatting>
  <conditionalFormatting sqref="BF210">
    <cfRule type="expression" dxfId="771" priority="281">
      <formula>BF210&lt;#REF!</formula>
    </cfRule>
    <cfRule type="expression" dxfId="770" priority="282">
      <formula>BF210&gt;#REF!</formula>
    </cfRule>
  </conditionalFormatting>
  <conditionalFormatting sqref="AZ212">
    <cfRule type="expression" dxfId="769" priority="279">
      <formula>AZ212&lt;#REF!</formula>
    </cfRule>
    <cfRule type="expression" dxfId="768" priority="280">
      <formula>AZ212&gt;#REF!</formula>
    </cfRule>
  </conditionalFormatting>
  <conditionalFormatting sqref="BB212">
    <cfRule type="expression" dxfId="767" priority="277">
      <formula>BB212&lt;#REF!</formula>
    </cfRule>
    <cfRule type="expression" dxfId="766" priority="278">
      <formula>BB212&gt;#REF!</formula>
    </cfRule>
  </conditionalFormatting>
  <conditionalFormatting sqref="BD212">
    <cfRule type="expression" dxfId="765" priority="275">
      <formula>BD212&lt;#REF!</formula>
    </cfRule>
    <cfRule type="expression" dxfId="764" priority="276">
      <formula>BD212&gt;#REF!</formula>
    </cfRule>
  </conditionalFormatting>
  <conditionalFormatting sqref="BF212">
    <cfRule type="expression" dxfId="763" priority="273">
      <formula>BF212&lt;#REF!</formula>
    </cfRule>
    <cfRule type="expression" dxfId="762" priority="274">
      <formula>BF212&gt;#REF!</formula>
    </cfRule>
  </conditionalFormatting>
  <conditionalFormatting sqref="AZ214">
    <cfRule type="expression" dxfId="761" priority="271">
      <formula>AZ214&lt;#REF!</formula>
    </cfRule>
    <cfRule type="expression" dxfId="760" priority="272">
      <formula>AZ214&gt;#REF!</formula>
    </cfRule>
  </conditionalFormatting>
  <conditionalFormatting sqref="BB214">
    <cfRule type="expression" dxfId="759" priority="269">
      <formula>BB214&lt;#REF!</formula>
    </cfRule>
    <cfRule type="expression" dxfId="758" priority="270">
      <formula>BB214&gt;#REF!</formula>
    </cfRule>
  </conditionalFormatting>
  <conditionalFormatting sqref="BD214">
    <cfRule type="expression" dxfId="757" priority="267">
      <formula>BD214&lt;#REF!</formula>
    </cfRule>
    <cfRule type="expression" dxfId="756" priority="268">
      <formula>BD214&gt;#REF!</formula>
    </cfRule>
  </conditionalFormatting>
  <conditionalFormatting sqref="BF214">
    <cfRule type="expression" dxfId="755" priority="265">
      <formula>BF214&lt;#REF!</formula>
    </cfRule>
    <cfRule type="expression" dxfId="754" priority="266">
      <formula>BF214&gt;#REF!</formula>
    </cfRule>
  </conditionalFormatting>
  <conditionalFormatting sqref="AZ216">
    <cfRule type="expression" dxfId="753" priority="263">
      <formula>AZ216&lt;#REF!</formula>
    </cfRule>
    <cfRule type="expression" dxfId="752" priority="264">
      <formula>AZ216&gt;#REF!</formula>
    </cfRule>
  </conditionalFormatting>
  <conditionalFormatting sqref="BB216">
    <cfRule type="expression" dxfId="751" priority="261">
      <formula>BB216&lt;#REF!</formula>
    </cfRule>
    <cfRule type="expression" dxfId="750" priority="262">
      <formula>BB216&gt;#REF!</formula>
    </cfRule>
  </conditionalFormatting>
  <conditionalFormatting sqref="BD216">
    <cfRule type="expression" dxfId="749" priority="259">
      <formula>BD216&lt;#REF!</formula>
    </cfRule>
    <cfRule type="expression" dxfId="748" priority="260">
      <formula>BD216&gt;#REF!</formula>
    </cfRule>
  </conditionalFormatting>
  <conditionalFormatting sqref="BF216">
    <cfRule type="expression" dxfId="747" priority="257">
      <formula>BF216&lt;#REF!</formula>
    </cfRule>
    <cfRule type="expression" dxfId="746" priority="258">
      <formula>BF216&gt;#REF!</formula>
    </cfRule>
  </conditionalFormatting>
  <conditionalFormatting sqref="AZ218">
    <cfRule type="expression" dxfId="745" priority="255">
      <formula>AZ218&lt;#REF!</formula>
    </cfRule>
    <cfRule type="expression" dxfId="744" priority="256">
      <formula>AZ218&gt;#REF!</formula>
    </cfRule>
  </conditionalFormatting>
  <conditionalFormatting sqref="BB218">
    <cfRule type="expression" dxfId="743" priority="253">
      <formula>BB218&lt;#REF!</formula>
    </cfRule>
    <cfRule type="expression" dxfId="742" priority="254">
      <formula>BB218&gt;#REF!</formula>
    </cfRule>
  </conditionalFormatting>
  <conditionalFormatting sqref="BD218">
    <cfRule type="expression" dxfId="741" priority="251">
      <formula>BD218&lt;#REF!</formula>
    </cfRule>
    <cfRule type="expression" dxfId="740" priority="252">
      <formula>BD218&gt;#REF!</formula>
    </cfRule>
  </conditionalFormatting>
  <conditionalFormatting sqref="BF218">
    <cfRule type="expression" dxfId="739" priority="249">
      <formula>BF218&lt;#REF!</formula>
    </cfRule>
    <cfRule type="expression" dxfId="738" priority="250">
      <formula>BF218&gt;#REF!</formula>
    </cfRule>
  </conditionalFormatting>
  <conditionalFormatting sqref="AZ220">
    <cfRule type="expression" dxfId="737" priority="247">
      <formula>AZ220&lt;#REF!</formula>
    </cfRule>
    <cfRule type="expression" dxfId="736" priority="248">
      <formula>AZ220&gt;#REF!</formula>
    </cfRule>
  </conditionalFormatting>
  <conditionalFormatting sqref="BB220">
    <cfRule type="expression" dxfId="735" priority="245">
      <formula>BB220&lt;#REF!</formula>
    </cfRule>
    <cfRule type="expression" dxfId="734" priority="246">
      <formula>BB220&gt;#REF!</formula>
    </cfRule>
  </conditionalFormatting>
  <conditionalFormatting sqref="BD220">
    <cfRule type="expression" dxfId="733" priority="243">
      <formula>BD220&lt;#REF!</formula>
    </cfRule>
    <cfRule type="expression" dxfId="732" priority="244">
      <formula>BD220&gt;#REF!</formula>
    </cfRule>
  </conditionalFormatting>
  <conditionalFormatting sqref="BF220">
    <cfRule type="expression" dxfId="731" priority="241">
      <formula>BF220&lt;#REF!</formula>
    </cfRule>
    <cfRule type="expression" dxfId="730" priority="242">
      <formula>BF220&gt;#REF!</formula>
    </cfRule>
  </conditionalFormatting>
  <conditionalFormatting sqref="AZ222">
    <cfRule type="expression" dxfId="729" priority="239">
      <formula>AZ222&lt;#REF!</formula>
    </cfRule>
    <cfRule type="expression" dxfId="728" priority="240">
      <formula>AZ222&gt;#REF!</formula>
    </cfRule>
  </conditionalFormatting>
  <conditionalFormatting sqref="BB222">
    <cfRule type="expression" dxfId="727" priority="237">
      <formula>BB222&lt;#REF!</formula>
    </cfRule>
    <cfRule type="expression" dxfId="726" priority="238">
      <formula>BB222&gt;#REF!</formula>
    </cfRule>
  </conditionalFormatting>
  <conditionalFormatting sqref="BD222">
    <cfRule type="expression" dxfId="725" priority="235">
      <formula>BD222&lt;#REF!</formula>
    </cfRule>
    <cfRule type="expression" dxfId="724" priority="236">
      <formula>BD222&gt;#REF!</formula>
    </cfRule>
  </conditionalFormatting>
  <conditionalFormatting sqref="BF222">
    <cfRule type="expression" dxfId="723" priority="233">
      <formula>BF222&lt;#REF!</formula>
    </cfRule>
    <cfRule type="expression" dxfId="722" priority="234">
      <formula>BF222&gt;#REF!</formula>
    </cfRule>
  </conditionalFormatting>
  <conditionalFormatting sqref="AZ224">
    <cfRule type="expression" dxfId="721" priority="231">
      <formula>AZ224&lt;#REF!</formula>
    </cfRule>
    <cfRule type="expression" dxfId="720" priority="232">
      <formula>AZ224&gt;#REF!</formula>
    </cfRule>
  </conditionalFormatting>
  <conditionalFormatting sqref="BB224">
    <cfRule type="expression" dxfId="719" priority="229">
      <formula>BB224&lt;#REF!</formula>
    </cfRule>
    <cfRule type="expression" dxfId="718" priority="230">
      <formula>BB224&gt;#REF!</formula>
    </cfRule>
  </conditionalFormatting>
  <conditionalFormatting sqref="BD224">
    <cfRule type="expression" dxfId="717" priority="227">
      <formula>BD224&lt;#REF!</formula>
    </cfRule>
    <cfRule type="expression" dxfId="716" priority="228">
      <formula>BD224&gt;#REF!</formula>
    </cfRule>
  </conditionalFormatting>
  <conditionalFormatting sqref="BF224">
    <cfRule type="expression" dxfId="715" priority="225">
      <formula>BF224&lt;#REF!</formula>
    </cfRule>
    <cfRule type="expression" dxfId="714" priority="226">
      <formula>BF224&gt;#REF!</formula>
    </cfRule>
  </conditionalFormatting>
  <conditionalFormatting sqref="AZ226">
    <cfRule type="expression" dxfId="713" priority="223">
      <formula>AZ226&lt;#REF!</formula>
    </cfRule>
    <cfRule type="expression" dxfId="712" priority="224">
      <formula>AZ226&gt;#REF!</formula>
    </cfRule>
  </conditionalFormatting>
  <conditionalFormatting sqref="BB226">
    <cfRule type="expression" dxfId="711" priority="221">
      <formula>BB226&lt;#REF!</formula>
    </cfRule>
    <cfRule type="expression" dxfId="710" priority="222">
      <formula>BB226&gt;#REF!</formula>
    </cfRule>
  </conditionalFormatting>
  <conditionalFormatting sqref="BD226">
    <cfRule type="expression" dxfId="709" priority="219">
      <formula>BD226&lt;#REF!</formula>
    </cfRule>
    <cfRule type="expression" dxfId="708" priority="220">
      <formula>BD226&gt;#REF!</formula>
    </cfRule>
  </conditionalFormatting>
  <conditionalFormatting sqref="BF226">
    <cfRule type="expression" dxfId="707" priority="217">
      <formula>BF226&lt;#REF!</formula>
    </cfRule>
    <cfRule type="expression" dxfId="706" priority="218">
      <formula>BF226&gt;#REF!</formula>
    </cfRule>
  </conditionalFormatting>
  <conditionalFormatting sqref="AZ228">
    <cfRule type="expression" dxfId="705" priority="215">
      <formula>AZ228&lt;#REF!</formula>
    </cfRule>
    <cfRule type="expression" dxfId="704" priority="216">
      <formula>AZ228&gt;#REF!</formula>
    </cfRule>
  </conditionalFormatting>
  <conditionalFormatting sqref="BB228">
    <cfRule type="expression" dxfId="703" priority="213">
      <formula>BB228&lt;#REF!</formula>
    </cfRule>
    <cfRule type="expression" dxfId="702" priority="214">
      <formula>BB228&gt;#REF!</formula>
    </cfRule>
  </conditionalFormatting>
  <conditionalFormatting sqref="BD228">
    <cfRule type="expression" dxfId="701" priority="211">
      <formula>BD228&lt;#REF!</formula>
    </cfRule>
    <cfRule type="expression" dxfId="700" priority="212">
      <formula>BD228&gt;#REF!</formula>
    </cfRule>
  </conditionalFormatting>
  <conditionalFormatting sqref="BF228">
    <cfRule type="expression" dxfId="699" priority="209">
      <formula>BF228&lt;#REF!</formula>
    </cfRule>
    <cfRule type="expression" dxfId="698" priority="210">
      <formula>BF228&gt;#REF!</formula>
    </cfRule>
  </conditionalFormatting>
  <conditionalFormatting sqref="AZ230">
    <cfRule type="expression" dxfId="697" priority="207">
      <formula>AZ230&lt;#REF!</formula>
    </cfRule>
    <cfRule type="expression" dxfId="696" priority="208">
      <formula>AZ230&gt;#REF!</formula>
    </cfRule>
  </conditionalFormatting>
  <conditionalFormatting sqref="BB230">
    <cfRule type="expression" dxfId="695" priority="205">
      <formula>BB230&lt;#REF!</formula>
    </cfRule>
    <cfRule type="expression" dxfId="694" priority="206">
      <formula>BB230&gt;#REF!</formula>
    </cfRule>
  </conditionalFormatting>
  <conditionalFormatting sqref="BD230">
    <cfRule type="expression" dxfId="693" priority="203">
      <formula>BD230&lt;#REF!</formula>
    </cfRule>
    <cfRule type="expression" dxfId="692" priority="204">
      <formula>BD230&gt;#REF!</formula>
    </cfRule>
  </conditionalFormatting>
  <conditionalFormatting sqref="BF230">
    <cfRule type="expression" dxfId="691" priority="201">
      <formula>BF230&lt;#REF!</formula>
    </cfRule>
    <cfRule type="expression" dxfId="690" priority="202">
      <formula>BF230&gt;#REF!</formula>
    </cfRule>
  </conditionalFormatting>
  <conditionalFormatting sqref="AZ232">
    <cfRule type="expression" dxfId="689" priority="199">
      <formula>AZ232&lt;#REF!</formula>
    </cfRule>
    <cfRule type="expression" dxfId="688" priority="200">
      <formula>AZ232&gt;#REF!</formula>
    </cfRule>
  </conditionalFormatting>
  <conditionalFormatting sqref="BB232">
    <cfRule type="expression" dxfId="687" priority="197">
      <formula>BB232&lt;#REF!</formula>
    </cfRule>
    <cfRule type="expression" dxfId="686" priority="198">
      <formula>BB232&gt;#REF!</formula>
    </cfRule>
  </conditionalFormatting>
  <conditionalFormatting sqref="BD232">
    <cfRule type="expression" dxfId="685" priority="195">
      <formula>BD232&lt;#REF!</formula>
    </cfRule>
    <cfRule type="expression" dxfId="684" priority="196">
      <formula>BD232&gt;#REF!</formula>
    </cfRule>
  </conditionalFormatting>
  <conditionalFormatting sqref="BF232">
    <cfRule type="expression" dxfId="683" priority="193">
      <formula>BF232&lt;#REF!</formula>
    </cfRule>
    <cfRule type="expression" dxfId="682" priority="194">
      <formula>BF232&gt;#REF!</formula>
    </cfRule>
  </conditionalFormatting>
  <conditionalFormatting sqref="AZ234">
    <cfRule type="expression" dxfId="681" priority="191">
      <formula>AZ234&lt;#REF!</formula>
    </cfRule>
    <cfRule type="expression" dxfId="680" priority="192">
      <formula>AZ234&gt;#REF!</formula>
    </cfRule>
  </conditionalFormatting>
  <conditionalFormatting sqref="BB234">
    <cfRule type="expression" dxfId="679" priority="189">
      <formula>BB234&lt;#REF!</formula>
    </cfRule>
    <cfRule type="expression" dxfId="678" priority="190">
      <formula>BB234&gt;#REF!</formula>
    </cfRule>
  </conditionalFormatting>
  <conditionalFormatting sqref="BD234">
    <cfRule type="expression" dxfId="677" priority="187">
      <formula>BD234&lt;#REF!</formula>
    </cfRule>
    <cfRule type="expression" dxfId="676" priority="188">
      <formula>BD234&gt;#REF!</formula>
    </cfRule>
  </conditionalFormatting>
  <conditionalFormatting sqref="BF234">
    <cfRule type="expression" dxfId="675" priority="185">
      <formula>BF234&lt;#REF!</formula>
    </cfRule>
    <cfRule type="expression" dxfId="674" priority="186">
      <formula>BF234&gt;#REF!</formula>
    </cfRule>
  </conditionalFormatting>
  <conditionalFormatting sqref="AZ236">
    <cfRule type="expression" dxfId="673" priority="183">
      <formula>AZ236&lt;#REF!</formula>
    </cfRule>
    <cfRule type="expression" dxfId="672" priority="184">
      <formula>AZ236&gt;#REF!</formula>
    </cfRule>
  </conditionalFormatting>
  <conditionalFormatting sqref="BB236">
    <cfRule type="expression" dxfId="671" priority="181">
      <formula>BB236&lt;#REF!</formula>
    </cfRule>
    <cfRule type="expression" dxfId="670" priority="182">
      <formula>BB236&gt;#REF!</formula>
    </cfRule>
  </conditionalFormatting>
  <conditionalFormatting sqref="BD236">
    <cfRule type="expression" dxfId="669" priority="179">
      <formula>BD236&lt;#REF!</formula>
    </cfRule>
    <cfRule type="expression" dxfId="668" priority="180">
      <formula>BD236&gt;#REF!</formula>
    </cfRule>
  </conditionalFormatting>
  <conditionalFormatting sqref="BF236">
    <cfRule type="expression" dxfId="667" priority="177">
      <formula>BF236&lt;#REF!</formula>
    </cfRule>
    <cfRule type="expression" dxfId="666" priority="178">
      <formula>BF236&gt;#REF!</formula>
    </cfRule>
  </conditionalFormatting>
  <conditionalFormatting sqref="AZ238">
    <cfRule type="expression" dxfId="665" priority="175">
      <formula>AZ238&lt;#REF!</formula>
    </cfRule>
    <cfRule type="expression" dxfId="664" priority="176">
      <formula>AZ238&gt;#REF!</formula>
    </cfRule>
  </conditionalFormatting>
  <conditionalFormatting sqref="BB238">
    <cfRule type="expression" dxfId="663" priority="173">
      <formula>BB238&lt;#REF!</formula>
    </cfRule>
    <cfRule type="expression" dxfId="662" priority="174">
      <formula>BB238&gt;#REF!</formula>
    </cfRule>
  </conditionalFormatting>
  <conditionalFormatting sqref="BD238">
    <cfRule type="expression" dxfId="661" priority="171">
      <formula>BD238&lt;#REF!</formula>
    </cfRule>
    <cfRule type="expression" dxfId="660" priority="172">
      <formula>BD238&gt;#REF!</formula>
    </cfRule>
  </conditionalFormatting>
  <conditionalFormatting sqref="BF238">
    <cfRule type="expression" dxfId="659" priority="169">
      <formula>BF238&lt;#REF!</formula>
    </cfRule>
    <cfRule type="expression" dxfId="658" priority="170">
      <formula>BF238&gt;#REF!</formula>
    </cfRule>
  </conditionalFormatting>
  <conditionalFormatting sqref="AZ240">
    <cfRule type="expression" dxfId="657" priority="167">
      <formula>AZ240&lt;#REF!</formula>
    </cfRule>
    <cfRule type="expression" dxfId="656" priority="168">
      <formula>AZ240&gt;#REF!</formula>
    </cfRule>
  </conditionalFormatting>
  <conditionalFormatting sqref="BB240">
    <cfRule type="expression" dxfId="655" priority="165">
      <formula>BB240&lt;#REF!</formula>
    </cfRule>
    <cfRule type="expression" dxfId="654" priority="166">
      <formula>BB240&gt;#REF!</formula>
    </cfRule>
  </conditionalFormatting>
  <conditionalFormatting sqref="BD240">
    <cfRule type="expression" dxfId="653" priority="163">
      <formula>BD240&lt;#REF!</formula>
    </cfRule>
    <cfRule type="expression" dxfId="652" priority="164">
      <formula>BD240&gt;#REF!</formula>
    </cfRule>
  </conditionalFormatting>
  <conditionalFormatting sqref="BF240">
    <cfRule type="expression" dxfId="651" priority="161">
      <formula>BF240&lt;#REF!</formula>
    </cfRule>
    <cfRule type="expression" dxfId="650" priority="162">
      <formula>BF240&gt;#REF!</formula>
    </cfRule>
  </conditionalFormatting>
  <conditionalFormatting sqref="AZ242">
    <cfRule type="expression" dxfId="649" priority="159">
      <formula>AZ242&lt;#REF!</formula>
    </cfRule>
    <cfRule type="expression" dxfId="648" priority="160">
      <formula>AZ242&gt;#REF!</formula>
    </cfRule>
  </conditionalFormatting>
  <conditionalFormatting sqref="BB242">
    <cfRule type="expression" dxfId="647" priority="157">
      <formula>BB242&lt;#REF!</formula>
    </cfRule>
    <cfRule type="expression" dxfId="646" priority="158">
      <formula>BB242&gt;#REF!</formula>
    </cfRule>
  </conditionalFormatting>
  <conditionalFormatting sqref="BD242">
    <cfRule type="expression" dxfId="645" priority="155">
      <formula>BD242&lt;#REF!</formula>
    </cfRule>
    <cfRule type="expression" dxfId="644" priority="156">
      <formula>BD242&gt;#REF!</formula>
    </cfRule>
  </conditionalFormatting>
  <conditionalFormatting sqref="BF242">
    <cfRule type="expression" dxfId="643" priority="153">
      <formula>BF242&lt;#REF!</formula>
    </cfRule>
    <cfRule type="expression" dxfId="642" priority="154">
      <formula>BF242&gt;#REF!</formula>
    </cfRule>
  </conditionalFormatting>
  <conditionalFormatting sqref="AZ244">
    <cfRule type="expression" dxfId="641" priority="151">
      <formula>AZ244&lt;#REF!</formula>
    </cfRule>
    <cfRule type="expression" dxfId="640" priority="152">
      <formula>AZ244&gt;#REF!</formula>
    </cfRule>
  </conditionalFormatting>
  <conditionalFormatting sqref="BB244">
    <cfRule type="expression" dxfId="639" priority="149">
      <formula>BB244&lt;#REF!</formula>
    </cfRule>
    <cfRule type="expression" dxfId="638" priority="150">
      <formula>BB244&gt;#REF!</formula>
    </cfRule>
  </conditionalFormatting>
  <conditionalFormatting sqref="BD244">
    <cfRule type="expression" dxfId="637" priority="147">
      <formula>BD244&lt;#REF!</formula>
    </cfRule>
    <cfRule type="expression" dxfId="636" priority="148">
      <formula>BD244&gt;#REF!</formula>
    </cfRule>
  </conditionalFormatting>
  <conditionalFormatting sqref="BF244">
    <cfRule type="expression" dxfId="635" priority="145">
      <formula>BF244&lt;#REF!</formula>
    </cfRule>
    <cfRule type="expression" dxfId="634" priority="146">
      <formula>BF244&gt;#REF!</formula>
    </cfRule>
  </conditionalFormatting>
  <conditionalFormatting sqref="AZ246">
    <cfRule type="expression" dxfId="633" priority="143">
      <formula>AZ246&lt;#REF!</formula>
    </cfRule>
    <cfRule type="expression" dxfId="632" priority="144">
      <formula>AZ246&gt;#REF!</formula>
    </cfRule>
  </conditionalFormatting>
  <conditionalFormatting sqref="BB246">
    <cfRule type="expression" dxfId="631" priority="141">
      <formula>BB246&lt;#REF!</formula>
    </cfRule>
    <cfRule type="expression" dxfId="630" priority="142">
      <formula>BB246&gt;#REF!</formula>
    </cfRule>
  </conditionalFormatting>
  <conditionalFormatting sqref="BD246">
    <cfRule type="expression" dxfId="629" priority="139">
      <formula>BD246&lt;#REF!</formula>
    </cfRule>
    <cfRule type="expression" dxfId="628" priority="140">
      <formula>BD246&gt;#REF!</formula>
    </cfRule>
  </conditionalFormatting>
  <conditionalFormatting sqref="BF246">
    <cfRule type="expression" dxfId="627" priority="137">
      <formula>BF246&lt;#REF!</formula>
    </cfRule>
    <cfRule type="expression" dxfId="626" priority="138">
      <formula>BF246&gt;#REF!</formula>
    </cfRule>
  </conditionalFormatting>
  <conditionalFormatting sqref="AZ248">
    <cfRule type="expression" dxfId="625" priority="135">
      <formula>AZ248&lt;#REF!</formula>
    </cfRule>
    <cfRule type="expression" dxfId="624" priority="136">
      <formula>AZ248&gt;#REF!</formula>
    </cfRule>
  </conditionalFormatting>
  <conditionalFormatting sqref="BB248">
    <cfRule type="expression" dxfId="623" priority="133">
      <formula>BB248&lt;#REF!</formula>
    </cfRule>
    <cfRule type="expression" dxfId="622" priority="134">
      <formula>BB248&gt;#REF!</formula>
    </cfRule>
  </conditionalFormatting>
  <conditionalFormatting sqref="BD248">
    <cfRule type="expression" dxfId="621" priority="131">
      <formula>BD248&lt;#REF!</formula>
    </cfRule>
    <cfRule type="expression" dxfId="620" priority="132">
      <formula>BD248&gt;#REF!</formula>
    </cfRule>
  </conditionalFormatting>
  <conditionalFormatting sqref="BF248">
    <cfRule type="expression" dxfId="619" priority="129">
      <formula>BF248&lt;#REF!</formula>
    </cfRule>
    <cfRule type="expression" dxfId="618" priority="130">
      <formula>BF248&gt;#REF!</formula>
    </cfRule>
  </conditionalFormatting>
  <conditionalFormatting sqref="AZ250">
    <cfRule type="expression" dxfId="617" priority="127">
      <formula>AZ250&lt;#REF!</formula>
    </cfRule>
    <cfRule type="expression" dxfId="616" priority="128">
      <formula>AZ250&gt;#REF!</formula>
    </cfRule>
  </conditionalFormatting>
  <conditionalFormatting sqref="BB250">
    <cfRule type="expression" dxfId="615" priority="125">
      <formula>BB250&lt;#REF!</formula>
    </cfRule>
    <cfRule type="expression" dxfId="614" priority="126">
      <formula>BB250&gt;#REF!</formula>
    </cfRule>
  </conditionalFormatting>
  <conditionalFormatting sqref="BD250">
    <cfRule type="expression" dxfId="613" priority="123">
      <formula>BD250&lt;#REF!</formula>
    </cfRule>
    <cfRule type="expression" dxfId="612" priority="124">
      <formula>BD250&gt;#REF!</formula>
    </cfRule>
  </conditionalFormatting>
  <conditionalFormatting sqref="BF250">
    <cfRule type="expression" dxfId="611" priority="121">
      <formula>BF250&lt;#REF!</formula>
    </cfRule>
    <cfRule type="expression" dxfId="610" priority="122">
      <formula>BF250&gt;#REF!</formula>
    </cfRule>
  </conditionalFormatting>
  <conditionalFormatting sqref="AZ252">
    <cfRule type="expression" dxfId="609" priority="119">
      <formula>AZ252&lt;#REF!</formula>
    </cfRule>
    <cfRule type="expression" dxfId="608" priority="120">
      <formula>AZ252&gt;#REF!</formula>
    </cfRule>
  </conditionalFormatting>
  <conditionalFormatting sqref="BB252">
    <cfRule type="expression" dxfId="607" priority="117">
      <formula>BB252&lt;#REF!</formula>
    </cfRule>
    <cfRule type="expression" dxfId="606" priority="118">
      <formula>BB252&gt;#REF!</formula>
    </cfRule>
  </conditionalFormatting>
  <conditionalFormatting sqref="BD252">
    <cfRule type="expression" dxfId="605" priority="115">
      <formula>BD252&lt;#REF!</formula>
    </cfRule>
    <cfRule type="expression" dxfId="604" priority="116">
      <formula>BD252&gt;#REF!</formula>
    </cfRule>
  </conditionalFormatting>
  <conditionalFormatting sqref="BF252">
    <cfRule type="expression" dxfId="603" priority="113">
      <formula>BF252&lt;#REF!</formula>
    </cfRule>
    <cfRule type="expression" dxfId="602" priority="114">
      <formula>BF252&gt;#REF!</formula>
    </cfRule>
  </conditionalFormatting>
  <conditionalFormatting sqref="AZ254">
    <cfRule type="expression" dxfId="601" priority="111">
      <formula>AZ254&lt;#REF!</formula>
    </cfRule>
    <cfRule type="expression" dxfId="600" priority="112">
      <formula>AZ254&gt;#REF!</formula>
    </cfRule>
  </conditionalFormatting>
  <conditionalFormatting sqref="BB254">
    <cfRule type="expression" dxfId="599" priority="109">
      <formula>BB254&lt;#REF!</formula>
    </cfRule>
    <cfRule type="expression" dxfId="598" priority="110">
      <formula>BB254&gt;#REF!</formula>
    </cfRule>
  </conditionalFormatting>
  <conditionalFormatting sqref="BD254">
    <cfRule type="expression" dxfId="597" priority="107">
      <formula>BD254&lt;#REF!</formula>
    </cfRule>
    <cfRule type="expression" dxfId="596" priority="108">
      <formula>BD254&gt;#REF!</formula>
    </cfRule>
  </conditionalFormatting>
  <conditionalFormatting sqref="BF254">
    <cfRule type="expression" dxfId="595" priority="105">
      <formula>BF254&lt;#REF!</formula>
    </cfRule>
    <cfRule type="expression" dxfId="594" priority="106">
      <formula>BF254&gt;#REF!</formula>
    </cfRule>
  </conditionalFormatting>
  <conditionalFormatting sqref="AZ256">
    <cfRule type="expression" dxfId="593" priority="103">
      <formula>AZ256&lt;#REF!</formula>
    </cfRule>
    <cfRule type="expression" dxfId="592" priority="104">
      <formula>AZ256&gt;#REF!</formula>
    </cfRule>
  </conditionalFormatting>
  <conditionalFormatting sqref="BB256">
    <cfRule type="expression" dxfId="591" priority="101">
      <formula>BB256&lt;#REF!</formula>
    </cfRule>
    <cfRule type="expression" dxfId="590" priority="102">
      <formula>BB256&gt;#REF!</formula>
    </cfRule>
  </conditionalFormatting>
  <conditionalFormatting sqref="BD256">
    <cfRule type="expression" dxfId="589" priority="99">
      <formula>BD256&lt;#REF!</formula>
    </cfRule>
    <cfRule type="expression" dxfId="588" priority="100">
      <formula>BD256&gt;#REF!</formula>
    </cfRule>
  </conditionalFormatting>
  <conditionalFormatting sqref="BF256">
    <cfRule type="expression" dxfId="587" priority="97">
      <formula>BF256&lt;#REF!</formula>
    </cfRule>
    <cfRule type="expression" dxfId="586" priority="98">
      <formula>BF256&gt;#REF!</formula>
    </cfRule>
  </conditionalFormatting>
  <conditionalFormatting sqref="AZ258">
    <cfRule type="expression" dxfId="585" priority="95">
      <formula>AZ258&lt;#REF!</formula>
    </cfRule>
    <cfRule type="expression" dxfId="584" priority="96">
      <formula>AZ258&gt;#REF!</formula>
    </cfRule>
  </conditionalFormatting>
  <conditionalFormatting sqref="BB258">
    <cfRule type="expression" dxfId="583" priority="93">
      <formula>BB258&lt;#REF!</formula>
    </cfRule>
    <cfRule type="expression" dxfId="582" priority="94">
      <formula>BB258&gt;#REF!</formula>
    </cfRule>
  </conditionalFormatting>
  <conditionalFormatting sqref="BD258">
    <cfRule type="expression" dxfId="581" priority="91">
      <formula>BD258&lt;#REF!</formula>
    </cfRule>
    <cfRule type="expression" dxfId="580" priority="92">
      <formula>BD258&gt;#REF!</formula>
    </cfRule>
  </conditionalFormatting>
  <conditionalFormatting sqref="BF258">
    <cfRule type="expression" dxfId="579" priority="89">
      <formula>BF258&lt;#REF!</formula>
    </cfRule>
    <cfRule type="expression" dxfId="578" priority="90">
      <formula>BF258&gt;#REF!</formula>
    </cfRule>
  </conditionalFormatting>
  <conditionalFormatting sqref="AZ260">
    <cfRule type="expression" dxfId="577" priority="87">
      <formula>AZ260&lt;#REF!</formula>
    </cfRule>
    <cfRule type="expression" dxfId="576" priority="88">
      <formula>AZ260&gt;#REF!</formula>
    </cfRule>
  </conditionalFormatting>
  <conditionalFormatting sqref="BB260">
    <cfRule type="expression" dxfId="575" priority="85">
      <formula>BB260&lt;#REF!</formula>
    </cfRule>
    <cfRule type="expression" dxfId="574" priority="86">
      <formula>BB260&gt;#REF!</formula>
    </cfRule>
  </conditionalFormatting>
  <conditionalFormatting sqref="BD260">
    <cfRule type="expression" dxfId="573" priority="83">
      <formula>BD260&lt;#REF!</formula>
    </cfRule>
    <cfRule type="expression" dxfId="572" priority="84">
      <formula>BD260&gt;#REF!</formula>
    </cfRule>
  </conditionalFormatting>
  <conditionalFormatting sqref="BF260">
    <cfRule type="expression" dxfId="571" priority="81">
      <formula>BF260&lt;#REF!</formula>
    </cfRule>
    <cfRule type="expression" dxfId="570" priority="82">
      <formula>BF260&gt;#REF!</formula>
    </cfRule>
  </conditionalFormatting>
  <conditionalFormatting sqref="AZ264">
    <cfRule type="expression" dxfId="569" priority="79">
      <formula>AZ264&lt;#REF!</formula>
    </cfRule>
    <cfRule type="expression" dxfId="568" priority="80">
      <formula>AZ264&gt;#REF!</formula>
    </cfRule>
  </conditionalFormatting>
  <conditionalFormatting sqref="BB264">
    <cfRule type="expression" dxfId="567" priority="77">
      <formula>BB264&lt;#REF!</formula>
    </cfRule>
    <cfRule type="expression" dxfId="566" priority="78">
      <formula>BB264&gt;#REF!</formula>
    </cfRule>
  </conditionalFormatting>
  <conditionalFormatting sqref="BD264">
    <cfRule type="expression" dxfId="565" priority="75">
      <formula>BD264&lt;#REF!</formula>
    </cfRule>
    <cfRule type="expression" dxfId="564" priority="76">
      <formula>BD264&gt;#REF!</formula>
    </cfRule>
  </conditionalFormatting>
  <conditionalFormatting sqref="BF264">
    <cfRule type="expression" dxfId="563" priority="73">
      <formula>BF264&lt;#REF!</formula>
    </cfRule>
    <cfRule type="expression" dxfId="562" priority="74">
      <formula>BF264&gt;#REF!</formula>
    </cfRule>
  </conditionalFormatting>
  <conditionalFormatting sqref="AZ262">
    <cfRule type="expression" dxfId="561" priority="71">
      <formula>AZ262&lt;#REF!</formula>
    </cfRule>
    <cfRule type="expression" dxfId="560" priority="72">
      <formula>AZ262&gt;#REF!</formula>
    </cfRule>
  </conditionalFormatting>
  <conditionalFormatting sqref="BB262">
    <cfRule type="expression" dxfId="559" priority="69">
      <formula>BB262&lt;#REF!</formula>
    </cfRule>
    <cfRule type="expression" dxfId="558" priority="70">
      <formula>BB262&gt;#REF!</formula>
    </cfRule>
  </conditionalFormatting>
  <conditionalFormatting sqref="BD262">
    <cfRule type="expression" dxfId="557" priority="67">
      <formula>BD262&lt;#REF!</formula>
    </cfRule>
    <cfRule type="expression" dxfId="556" priority="68">
      <formula>BD262&gt;#REF!</formula>
    </cfRule>
  </conditionalFormatting>
  <conditionalFormatting sqref="BF262">
    <cfRule type="expression" dxfId="555" priority="65">
      <formula>BF262&lt;#REF!</formula>
    </cfRule>
    <cfRule type="expression" dxfId="554" priority="66">
      <formula>BF262&gt;#REF!</formula>
    </cfRule>
  </conditionalFormatting>
  <conditionalFormatting sqref="AZ266">
    <cfRule type="expression" dxfId="553" priority="63">
      <formula>AZ266&lt;#REF!</formula>
    </cfRule>
    <cfRule type="expression" dxfId="552" priority="64">
      <formula>AZ266&gt;#REF!</formula>
    </cfRule>
  </conditionalFormatting>
  <conditionalFormatting sqref="BB266">
    <cfRule type="expression" dxfId="551" priority="61">
      <formula>BB266&lt;#REF!</formula>
    </cfRule>
    <cfRule type="expression" dxfId="550" priority="62">
      <formula>BB266&gt;#REF!</formula>
    </cfRule>
  </conditionalFormatting>
  <conditionalFormatting sqref="BD266">
    <cfRule type="expression" dxfId="549" priority="59">
      <formula>BD266&lt;#REF!</formula>
    </cfRule>
    <cfRule type="expression" dxfId="548" priority="60">
      <formula>BD266&gt;#REF!</formula>
    </cfRule>
  </conditionalFormatting>
  <conditionalFormatting sqref="BF266">
    <cfRule type="expression" dxfId="547" priority="57">
      <formula>BF266&lt;#REF!</formula>
    </cfRule>
    <cfRule type="expression" dxfId="546" priority="58">
      <formula>BF266&gt;#REF!</formula>
    </cfRule>
  </conditionalFormatting>
  <conditionalFormatting sqref="AZ268">
    <cfRule type="expression" dxfId="545" priority="55">
      <formula>AZ268&lt;#REF!</formula>
    </cfRule>
    <cfRule type="expression" dxfId="544" priority="56">
      <formula>AZ268&gt;#REF!</formula>
    </cfRule>
  </conditionalFormatting>
  <conditionalFormatting sqref="BB268">
    <cfRule type="expression" dxfId="543" priority="53">
      <formula>BB268&lt;#REF!</formula>
    </cfRule>
    <cfRule type="expression" dxfId="542" priority="54">
      <formula>BB268&gt;#REF!</formula>
    </cfRule>
  </conditionalFormatting>
  <conditionalFormatting sqref="BD268">
    <cfRule type="expression" dxfId="541" priority="51">
      <formula>BD268&lt;#REF!</formula>
    </cfRule>
    <cfRule type="expression" dxfId="540" priority="52">
      <formula>BD268&gt;#REF!</formula>
    </cfRule>
  </conditionalFormatting>
  <conditionalFormatting sqref="BF268">
    <cfRule type="expression" dxfId="539" priority="49">
      <formula>BF268&lt;#REF!</formula>
    </cfRule>
    <cfRule type="expression" dxfId="538" priority="50">
      <formula>BF268&gt;#REF!</formula>
    </cfRule>
  </conditionalFormatting>
  <conditionalFormatting sqref="AZ270">
    <cfRule type="expression" dxfId="537" priority="47">
      <formula>AZ270&lt;#REF!</formula>
    </cfRule>
    <cfRule type="expression" dxfId="536" priority="48">
      <formula>AZ270&gt;#REF!</formula>
    </cfRule>
  </conditionalFormatting>
  <conditionalFormatting sqref="BB270">
    <cfRule type="expression" dxfId="535" priority="45">
      <formula>BB270&lt;#REF!</formula>
    </cfRule>
    <cfRule type="expression" dxfId="534" priority="46">
      <formula>BB270&gt;#REF!</formula>
    </cfRule>
  </conditionalFormatting>
  <conditionalFormatting sqref="BD270">
    <cfRule type="expression" dxfId="533" priority="43">
      <formula>BD270&lt;#REF!</formula>
    </cfRule>
    <cfRule type="expression" dxfId="532" priority="44">
      <formula>BD270&gt;#REF!</formula>
    </cfRule>
  </conditionalFormatting>
  <conditionalFormatting sqref="BF270">
    <cfRule type="expression" dxfId="531" priority="41">
      <formula>BF270&lt;#REF!</formula>
    </cfRule>
    <cfRule type="expression" dxfId="530" priority="42">
      <formula>BF270&gt;#REF!</formula>
    </cfRule>
  </conditionalFormatting>
  <conditionalFormatting sqref="AZ272">
    <cfRule type="expression" dxfId="529" priority="39">
      <formula>AZ272&lt;#REF!</formula>
    </cfRule>
    <cfRule type="expression" dxfId="528" priority="40">
      <formula>AZ272&gt;#REF!</formula>
    </cfRule>
  </conditionalFormatting>
  <conditionalFormatting sqref="BB272">
    <cfRule type="expression" dxfId="527" priority="37">
      <formula>BB272&lt;#REF!</formula>
    </cfRule>
    <cfRule type="expression" dxfId="526" priority="38">
      <formula>BB272&gt;#REF!</formula>
    </cfRule>
  </conditionalFormatting>
  <conditionalFormatting sqref="BD272">
    <cfRule type="expression" dxfId="525" priority="35">
      <formula>BD272&lt;#REF!</formula>
    </cfRule>
    <cfRule type="expression" dxfId="524" priority="36">
      <formula>BD272&gt;#REF!</formula>
    </cfRule>
  </conditionalFormatting>
  <conditionalFormatting sqref="BF272">
    <cfRule type="expression" dxfId="523" priority="33">
      <formula>BF272&lt;#REF!</formula>
    </cfRule>
    <cfRule type="expression" dxfId="522" priority="34">
      <formula>BF272&gt;#REF!</formula>
    </cfRule>
  </conditionalFormatting>
  <conditionalFormatting sqref="AZ274">
    <cfRule type="expression" dxfId="521" priority="31">
      <formula>AZ274&lt;#REF!</formula>
    </cfRule>
    <cfRule type="expression" dxfId="520" priority="32">
      <formula>AZ274&gt;#REF!</formula>
    </cfRule>
  </conditionalFormatting>
  <conditionalFormatting sqref="BB274">
    <cfRule type="expression" dxfId="519" priority="29">
      <formula>BB274&lt;#REF!</formula>
    </cfRule>
    <cfRule type="expression" dxfId="518" priority="30">
      <formula>BB274&gt;#REF!</formula>
    </cfRule>
  </conditionalFormatting>
  <conditionalFormatting sqref="BD274">
    <cfRule type="expression" dxfId="517" priority="27">
      <formula>BD274&lt;#REF!</formula>
    </cfRule>
    <cfRule type="expression" dxfId="516" priority="28">
      <formula>BD274&gt;#REF!</formula>
    </cfRule>
  </conditionalFormatting>
  <conditionalFormatting sqref="BF274">
    <cfRule type="expression" dxfId="515" priority="25">
      <formula>BF274&lt;#REF!</formula>
    </cfRule>
    <cfRule type="expression" dxfId="514" priority="26">
      <formula>BF274&gt;#REF!</formula>
    </cfRule>
  </conditionalFormatting>
  <conditionalFormatting sqref="AZ276">
    <cfRule type="expression" dxfId="513" priority="23">
      <formula>AZ276&lt;#REF!</formula>
    </cfRule>
    <cfRule type="expression" dxfId="512" priority="24">
      <formula>AZ276&gt;#REF!</formula>
    </cfRule>
  </conditionalFormatting>
  <conditionalFormatting sqref="BB276">
    <cfRule type="expression" dxfId="511" priority="21">
      <formula>BB276&lt;#REF!</formula>
    </cfRule>
    <cfRule type="expression" dxfId="510" priority="22">
      <formula>BB276&gt;#REF!</formula>
    </cfRule>
  </conditionalFormatting>
  <conditionalFormatting sqref="BD276">
    <cfRule type="expression" dxfId="509" priority="19">
      <formula>BD276&lt;#REF!</formula>
    </cfRule>
    <cfRule type="expression" dxfId="508" priority="20">
      <formula>BD276&gt;#REF!</formula>
    </cfRule>
  </conditionalFormatting>
  <conditionalFormatting sqref="BF276">
    <cfRule type="expression" dxfId="507" priority="17">
      <formula>BF276&lt;#REF!</formula>
    </cfRule>
    <cfRule type="expression" dxfId="506" priority="18">
      <formula>BF276&gt;#REF!</formula>
    </cfRule>
  </conditionalFormatting>
  <conditionalFormatting sqref="AZ278">
    <cfRule type="expression" dxfId="505" priority="15">
      <formula>AZ278&lt;#REF!</formula>
    </cfRule>
    <cfRule type="expression" dxfId="504" priority="16">
      <formula>AZ278&gt;#REF!</formula>
    </cfRule>
  </conditionalFormatting>
  <conditionalFormatting sqref="BB278">
    <cfRule type="expression" dxfId="503" priority="13">
      <formula>BB278&lt;#REF!</formula>
    </cfRule>
    <cfRule type="expression" dxfId="502" priority="14">
      <formula>BB278&gt;#REF!</formula>
    </cfRule>
  </conditionalFormatting>
  <conditionalFormatting sqref="BD278">
    <cfRule type="expression" dxfId="501" priority="11">
      <formula>BD278&lt;#REF!</formula>
    </cfRule>
    <cfRule type="expression" dxfId="500" priority="12">
      <formula>BD278&gt;#REF!</formula>
    </cfRule>
  </conditionalFormatting>
  <conditionalFormatting sqref="BF278">
    <cfRule type="expression" dxfId="499" priority="9">
      <formula>BF278&lt;#REF!</formula>
    </cfRule>
    <cfRule type="expression" dxfId="498" priority="10">
      <formula>BF278&gt;#REF!</formula>
    </cfRule>
  </conditionalFormatting>
  <conditionalFormatting sqref="BA7:BA278">
    <cfRule type="expression" dxfId="497" priority="7">
      <formula>BA7&lt;#REF!</formula>
    </cfRule>
    <cfRule type="expression" dxfId="496" priority="8">
      <formula>BA7&gt;#REF!</formula>
    </cfRule>
  </conditionalFormatting>
  <conditionalFormatting sqref="BC7:BC278">
    <cfRule type="expression" dxfId="495" priority="5">
      <formula>BC7&lt;#REF!</formula>
    </cfRule>
    <cfRule type="expression" dxfId="494" priority="6">
      <formula>BC7&gt;#REF!</formula>
    </cfRule>
  </conditionalFormatting>
  <conditionalFormatting sqref="BE7:BE278">
    <cfRule type="expression" dxfId="493" priority="3">
      <formula>BE7&lt;#REF!</formula>
    </cfRule>
    <cfRule type="expression" dxfId="492" priority="4">
      <formula>BE7&gt;#REF!</formula>
    </cfRule>
  </conditionalFormatting>
  <conditionalFormatting sqref="BH1:BH1048576">
    <cfRule type="expression" dxfId="491" priority="1">
      <formula>BH1&lt;#REF!</formula>
    </cfRule>
    <cfRule type="expression" dxfId="490" priority="2">
      <formula>BH1&gt;#REF!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61"/>
  <sheetViews>
    <sheetView topLeftCell="A29" zoomScale="85" zoomScaleNormal="85" workbookViewId="0">
      <selection activeCell="W44" sqref="W44"/>
    </sheetView>
  </sheetViews>
  <sheetFormatPr defaultColWidth="2.5" defaultRowHeight="13.5"/>
  <cols>
    <col min="1" max="1" width="23" style="5" customWidth="1"/>
    <col min="2" max="2" width="2.5" style="5" customWidth="1"/>
    <col min="3" max="21" width="2.625" style="5" customWidth="1"/>
    <col min="22" max="22" width="2.75" style="5" customWidth="1"/>
    <col min="23" max="23" width="57.375" style="32" customWidth="1"/>
    <col min="24" max="16384" width="2.5" style="5"/>
  </cols>
  <sheetData>
    <row r="1" spans="1:23" ht="25.5" customHeight="1">
      <c r="A1" s="3" t="s">
        <v>233</v>
      </c>
      <c r="B1" s="4"/>
      <c r="C1" s="4"/>
      <c r="D1" s="4"/>
      <c r="E1" s="4"/>
      <c r="F1" s="4"/>
      <c r="G1" s="4"/>
      <c r="H1" s="4"/>
      <c r="I1" s="4"/>
      <c r="J1" s="4"/>
      <c r="K1" s="4"/>
      <c r="L1" s="4"/>
      <c r="M1" s="4"/>
      <c r="N1" s="4"/>
      <c r="O1" s="4"/>
      <c r="P1" s="4"/>
      <c r="Q1" s="4"/>
      <c r="R1" s="4"/>
      <c r="S1" s="4"/>
      <c r="T1" s="4"/>
      <c r="U1" s="4"/>
      <c r="V1" s="4"/>
      <c r="W1" s="4"/>
    </row>
    <row r="3" spans="1:23" ht="20.25" customHeight="1">
      <c r="A3" s="1427" t="s">
        <v>234</v>
      </c>
      <c r="B3" s="1430" t="s">
        <v>235</v>
      </c>
      <c r="C3" s="1433"/>
      <c r="D3" s="6"/>
      <c r="E3" s="1436" t="s">
        <v>236</v>
      </c>
      <c r="F3" s="1436"/>
      <c r="G3" s="1436"/>
      <c r="H3" s="1436"/>
      <c r="I3" s="1436"/>
      <c r="J3" s="7"/>
      <c r="K3" s="1437" t="s">
        <v>237</v>
      </c>
      <c r="L3" s="1437"/>
      <c r="M3" s="1437"/>
      <c r="N3" s="1437"/>
      <c r="O3" s="1437"/>
      <c r="P3" s="1437"/>
      <c r="Q3" s="1437"/>
      <c r="R3" s="1437"/>
      <c r="S3" s="7"/>
      <c r="T3" s="7"/>
      <c r="U3" s="7"/>
      <c r="V3" s="8"/>
      <c r="W3" s="1438" t="s">
        <v>238</v>
      </c>
    </row>
    <row r="4" spans="1:23" ht="25.5" customHeight="1">
      <c r="A4" s="1428"/>
      <c r="B4" s="1431"/>
      <c r="C4" s="1434"/>
      <c r="D4" s="9" t="s">
        <v>239</v>
      </c>
      <c r="E4" s="1441">
        <v>108530</v>
      </c>
      <c r="F4" s="1441"/>
      <c r="G4" s="1441"/>
      <c r="H4" s="1441"/>
      <c r="I4" s="1441"/>
      <c r="J4" s="10" t="s">
        <v>240</v>
      </c>
      <c r="K4" s="1442">
        <v>1080</v>
      </c>
      <c r="L4" s="1442"/>
      <c r="M4" s="1442"/>
      <c r="N4" s="1442"/>
      <c r="O4" s="1442"/>
      <c r="P4" s="1442"/>
      <c r="Q4" s="1442"/>
      <c r="R4" s="1442"/>
      <c r="S4" s="11" t="s">
        <v>241</v>
      </c>
      <c r="T4" s="10"/>
      <c r="U4" s="10"/>
      <c r="V4" s="12"/>
      <c r="W4" s="1439"/>
    </row>
    <row r="5" spans="1:23" ht="20.25" customHeight="1">
      <c r="A5" s="1429"/>
      <c r="B5" s="1432"/>
      <c r="C5" s="1435"/>
      <c r="D5" s="13"/>
      <c r="E5" s="13"/>
      <c r="F5" s="13"/>
      <c r="G5" s="14"/>
      <c r="H5" s="14"/>
      <c r="I5" s="14"/>
      <c r="J5" s="14"/>
      <c r="K5" s="14"/>
      <c r="L5" s="14"/>
      <c r="M5" s="1443" t="s">
        <v>242</v>
      </c>
      <c r="N5" s="1443"/>
      <c r="O5" s="1443"/>
      <c r="P5" s="1443"/>
      <c r="Q5" s="1443"/>
      <c r="R5" s="1443"/>
      <c r="S5" s="1443"/>
      <c r="T5" s="1443"/>
      <c r="U5" s="1443"/>
      <c r="V5" s="1444"/>
      <c r="W5" s="1440"/>
    </row>
    <row r="6" spans="1:23" ht="25.5" customHeight="1">
      <c r="A6" s="15"/>
      <c r="B6" s="15"/>
      <c r="C6" s="15"/>
      <c r="D6" s="16"/>
      <c r="E6" s="16"/>
      <c r="F6" s="16"/>
      <c r="G6" s="16"/>
      <c r="H6" s="17"/>
      <c r="I6" s="17"/>
      <c r="J6" s="17"/>
      <c r="K6" s="17"/>
      <c r="L6" s="15"/>
      <c r="M6" s="17"/>
      <c r="N6" s="17"/>
      <c r="O6" s="17"/>
      <c r="P6" s="17"/>
      <c r="Q6" s="18"/>
      <c r="R6" s="18"/>
      <c r="S6" s="18"/>
      <c r="T6" s="18"/>
      <c r="U6" s="18"/>
      <c r="V6" s="18"/>
      <c r="W6" s="19"/>
    </row>
    <row r="7" spans="1:23" ht="20.25" customHeight="1">
      <c r="A7" s="1445" t="s">
        <v>243</v>
      </c>
      <c r="B7" s="1448" t="s">
        <v>244</v>
      </c>
      <c r="C7" s="1451" t="s">
        <v>245</v>
      </c>
      <c r="D7" s="6"/>
      <c r="E7" s="1436" t="s">
        <v>236</v>
      </c>
      <c r="F7" s="1436"/>
      <c r="G7" s="1436"/>
      <c r="H7" s="1436"/>
      <c r="I7" s="1436"/>
      <c r="J7" s="7"/>
      <c r="K7" s="1437" t="s">
        <v>246</v>
      </c>
      <c r="L7" s="1437"/>
      <c r="M7" s="1437"/>
      <c r="N7" s="1437"/>
      <c r="O7" s="1437"/>
      <c r="P7" s="1437"/>
      <c r="Q7" s="1437"/>
      <c r="R7" s="1437"/>
      <c r="S7" s="7"/>
      <c r="T7" s="7"/>
      <c r="U7" s="7"/>
      <c r="V7" s="8"/>
      <c r="W7" s="1454" t="s">
        <v>247</v>
      </c>
    </row>
    <row r="8" spans="1:23" ht="25.5" customHeight="1">
      <c r="A8" s="1446"/>
      <c r="B8" s="1449"/>
      <c r="C8" s="1452"/>
      <c r="D8" s="9" t="s">
        <v>239</v>
      </c>
      <c r="E8" s="1441">
        <v>18280</v>
      </c>
      <c r="F8" s="1441"/>
      <c r="G8" s="1441"/>
      <c r="H8" s="1441"/>
      <c r="I8" s="1441"/>
      <c r="J8" s="10" t="s">
        <v>240</v>
      </c>
      <c r="K8" s="1442">
        <v>180</v>
      </c>
      <c r="L8" s="1442"/>
      <c r="M8" s="1442"/>
      <c r="N8" s="1442"/>
      <c r="O8" s="1442"/>
      <c r="P8" s="1442"/>
      <c r="Q8" s="1442"/>
      <c r="R8" s="1442"/>
      <c r="S8" s="72" t="s">
        <v>241</v>
      </c>
      <c r="T8" s="10"/>
      <c r="U8" s="10"/>
      <c r="V8" s="12"/>
      <c r="W8" s="1454"/>
    </row>
    <row r="9" spans="1:23" ht="20.25" customHeight="1">
      <c r="A9" s="1446"/>
      <c r="B9" s="1449"/>
      <c r="C9" s="1453"/>
      <c r="D9" s="13"/>
      <c r="E9" s="13"/>
      <c r="F9" s="13"/>
      <c r="G9" s="14"/>
      <c r="H9" s="14"/>
      <c r="I9" s="14"/>
      <c r="J9" s="14"/>
      <c r="K9" s="14"/>
      <c r="L9" s="14"/>
      <c r="M9" s="1443" t="s">
        <v>242</v>
      </c>
      <c r="N9" s="1443"/>
      <c r="O9" s="1443"/>
      <c r="P9" s="1443"/>
      <c r="Q9" s="1443"/>
      <c r="R9" s="1443"/>
      <c r="S9" s="1443"/>
      <c r="T9" s="1443"/>
      <c r="U9" s="1443"/>
      <c r="V9" s="1444"/>
      <c r="W9" s="1454"/>
    </row>
    <row r="10" spans="1:23" ht="20.25" customHeight="1">
      <c r="A10" s="1446"/>
      <c r="B10" s="1449"/>
      <c r="C10" s="1451" t="s">
        <v>248</v>
      </c>
      <c r="D10" s="6"/>
      <c r="E10" s="1436" t="s">
        <v>236</v>
      </c>
      <c r="F10" s="1436"/>
      <c r="G10" s="1436"/>
      <c r="H10" s="1436"/>
      <c r="I10" s="1436"/>
      <c r="J10" s="7"/>
      <c r="K10" s="1437" t="s">
        <v>246</v>
      </c>
      <c r="L10" s="1437"/>
      <c r="M10" s="1437"/>
      <c r="N10" s="1437"/>
      <c r="O10" s="1437"/>
      <c r="P10" s="1437"/>
      <c r="Q10" s="1437"/>
      <c r="R10" s="1437"/>
      <c r="S10" s="7"/>
      <c r="T10" s="7"/>
      <c r="U10" s="7"/>
      <c r="V10" s="8"/>
      <c r="W10" s="1454"/>
    </row>
    <row r="11" spans="1:23" ht="25.5" customHeight="1">
      <c r="A11" s="1446"/>
      <c r="B11" s="1449"/>
      <c r="C11" s="1452"/>
      <c r="D11" s="9" t="s">
        <v>239</v>
      </c>
      <c r="E11" s="1441">
        <v>12190</v>
      </c>
      <c r="F11" s="1441"/>
      <c r="G11" s="1441"/>
      <c r="H11" s="1441"/>
      <c r="I11" s="1441"/>
      <c r="J11" s="10" t="s">
        <v>240</v>
      </c>
      <c r="K11" s="1442">
        <v>120</v>
      </c>
      <c r="L11" s="1442"/>
      <c r="M11" s="1442"/>
      <c r="N11" s="1442"/>
      <c r="O11" s="1442"/>
      <c r="P11" s="1442"/>
      <c r="Q11" s="1442"/>
      <c r="R11" s="1442"/>
      <c r="S11" s="72" t="s">
        <v>241</v>
      </c>
      <c r="T11" s="10"/>
      <c r="U11" s="10"/>
      <c r="V11" s="12"/>
      <c r="W11" s="1454"/>
    </row>
    <row r="12" spans="1:23" ht="20.25" customHeight="1">
      <c r="A12" s="1447"/>
      <c r="B12" s="1450"/>
      <c r="C12" s="1453"/>
      <c r="D12" s="13"/>
      <c r="E12" s="13"/>
      <c r="F12" s="13"/>
      <c r="G12" s="14"/>
      <c r="H12" s="14"/>
      <c r="I12" s="14"/>
      <c r="J12" s="14"/>
      <c r="K12" s="14"/>
      <c r="L12" s="14"/>
      <c r="M12" s="1455" t="s">
        <v>242</v>
      </c>
      <c r="N12" s="1455"/>
      <c r="O12" s="1455"/>
      <c r="P12" s="1455"/>
      <c r="Q12" s="1455"/>
      <c r="R12" s="1455"/>
      <c r="S12" s="1455"/>
      <c r="T12" s="1455"/>
      <c r="U12" s="1455"/>
      <c r="V12" s="1456"/>
      <c r="W12" s="1454"/>
    </row>
    <row r="13" spans="1:23" ht="25.5" customHeight="1">
      <c r="A13" s="15"/>
      <c r="B13" s="15"/>
      <c r="C13" s="15"/>
      <c r="D13" s="16"/>
      <c r="E13" s="16"/>
      <c r="F13" s="16"/>
      <c r="G13" s="16"/>
      <c r="H13" s="17"/>
      <c r="I13" s="17"/>
      <c r="J13" s="17"/>
      <c r="K13" s="17"/>
      <c r="L13" s="15"/>
      <c r="M13" s="17"/>
      <c r="N13" s="17"/>
      <c r="O13" s="17"/>
      <c r="P13" s="17"/>
      <c r="Q13" s="18"/>
      <c r="R13" s="18"/>
      <c r="S13" s="18"/>
      <c r="T13" s="18"/>
      <c r="U13" s="18"/>
      <c r="V13" s="18"/>
      <c r="W13" s="19"/>
    </row>
    <row r="14" spans="1:23" ht="20.25" customHeight="1">
      <c r="A14" s="1427" t="s">
        <v>249</v>
      </c>
      <c r="B14" s="1448" t="s">
        <v>250</v>
      </c>
      <c r="C14" s="1433"/>
      <c r="D14" s="6"/>
      <c r="E14" s="1436" t="s">
        <v>236</v>
      </c>
      <c r="F14" s="1436"/>
      <c r="G14" s="1436"/>
      <c r="H14" s="1436"/>
      <c r="I14" s="1436"/>
      <c r="J14" s="7"/>
      <c r="K14" s="1437" t="s">
        <v>246</v>
      </c>
      <c r="L14" s="1437"/>
      <c r="M14" s="1437"/>
      <c r="N14" s="1437"/>
      <c r="O14" s="1437"/>
      <c r="P14" s="1437"/>
      <c r="Q14" s="1437"/>
      <c r="R14" s="1437"/>
      <c r="S14" s="7"/>
      <c r="T14" s="7"/>
      <c r="U14" s="7"/>
      <c r="V14" s="8"/>
      <c r="W14" s="1457" t="s">
        <v>251</v>
      </c>
    </row>
    <row r="15" spans="1:23" ht="25.5" customHeight="1">
      <c r="A15" s="1428"/>
      <c r="B15" s="1449"/>
      <c r="C15" s="1434"/>
      <c r="D15" s="9" t="s">
        <v>239</v>
      </c>
      <c r="E15" s="1441">
        <v>78020</v>
      </c>
      <c r="F15" s="1441"/>
      <c r="G15" s="1441"/>
      <c r="H15" s="1441"/>
      <c r="I15" s="1441"/>
      <c r="J15" s="10" t="s">
        <v>240</v>
      </c>
      <c r="K15" s="1442">
        <v>780</v>
      </c>
      <c r="L15" s="1442"/>
      <c r="M15" s="1442"/>
      <c r="N15" s="1442"/>
      <c r="O15" s="1442"/>
      <c r="P15" s="1442"/>
      <c r="Q15" s="1442"/>
      <c r="R15" s="1442"/>
      <c r="S15" s="72" t="s">
        <v>241</v>
      </c>
      <c r="T15" s="10"/>
      <c r="U15" s="10"/>
      <c r="V15" s="12"/>
      <c r="W15" s="1458"/>
    </row>
    <row r="16" spans="1:23" ht="20.25" customHeight="1">
      <c r="A16" s="1429"/>
      <c r="B16" s="1450"/>
      <c r="C16" s="1435"/>
      <c r="D16" s="13"/>
      <c r="E16" s="13"/>
      <c r="F16" s="13"/>
      <c r="G16" s="14"/>
      <c r="H16" s="14"/>
      <c r="I16" s="14"/>
      <c r="J16" s="14"/>
      <c r="K16" s="14"/>
      <c r="L16" s="14"/>
      <c r="M16" s="1443" t="s">
        <v>242</v>
      </c>
      <c r="N16" s="1443"/>
      <c r="O16" s="1443"/>
      <c r="P16" s="1443"/>
      <c r="Q16" s="1443"/>
      <c r="R16" s="1443"/>
      <c r="S16" s="1443"/>
      <c r="T16" s="1443"/>
      <c r="U16" s="1443"/>
      <c r="V16" s="1444"/>
      <c r="W16" s="1459"/>
    </row>
    <row r="17" spans="1:23" ht="25.5" customHeight="1">
      <c r="A17" s="15"/>
      <c r="B17" s="15"/>
      <c r="C17" s="15"/>
      <c r="D17" s="16"/>
      <c r="E17" s="16"/>
      <c r="F17" s="16"/>
      <c r="G17" s="16"/>
      <c r="H17" s="17"/>
      <c r="I17" s="17"/>
      <c r="J17" s="17"/>
      <c r="K17" s="17"/>
      <c r="L17" s="15"/>
      <c r="M17" s="17"/>
      <c r="N17" s="17"/>
      <c r="O17" s="17"/>
      <c r="P17" s="17"/>
      <c r="Q17" s="18"/>
      <c r="R17" s="18"/>
      <c r="S17" s="18"/>
      <c r="T17" s="18"/>
      <c r="U17" s="18"/>
      <c r="V17" s="18"/>
      <c r="W17" s="19"/>
    </row>
    <row r="18" spans="1:23" ht="20.25" customHeight="1">
      <c r="A18" s="1460" t="s">
        <v>252</v>
      </c>
      <c r="B18" s="1430" t="s">
        <v>253</v>
      </c>
      <c r="C18" s="1433"/>
      <c r="D18" s="6"/>
      <c r="E18" s="1436" t="s">
        <v>236</v>
      </c>
      <c r="F18" s="1436"/>
      <c r="G18" s="1436"/>
      <c r="H18" s="1436"/>
      <c r="I18" s="1436"/>
      <c r="J18" s="7"/>
      <c r="K18" s="1437" t="s">
        <v>246</v>
      </c>
      <c r="L18" s="1437"/>
      <c r="M18" s="1437"/>
      <c r="N18" s="1437"/>
      <c r="O18" s="1437"/>
      <c r="P18" s="1437"/>
      <c r="Q18" s="1437"/>
      <c r="R18" s="1437"/>
      <c r="S18" s="7"/>
      <c r="T18" s="7"/>
      <c r="U18" s="7"/>
      <c r="V18" s="8"/>
      <c r="W18" s="1438" t="s">
        <v>238</v>
      </c>
    </row>
    <row r="19" spans="1:23" ht="25.5" customHeight="1">
      <c r="A19" s="1428"/>
      <c r="B19" s="1431"/>
      <c r="C19" s="1434"/>
      <c r="D19" s="9" t="s">
        <v>239</v>
      </c>
      <c r="E19" s="1441">
        <v>82880</v>
      </c>
      <c r="F19" s="1441"/>
      <c r="G19" s="1441"/>
      <c r="H19" s="1441"/>
      <c r="I19" s="1441"/>
      <c r="J19" s="10" t="s">
        <v>240</v>
      </c>
      <c r="K19" s="1442">
        <v>820</v>
      </c>
      <c r="L19" s="1442"/>
      <c r="M19" s="1442"/>
      <c r="N19" s="1442"/>
      <c r="O19" s="1442"/>
      <c r="P19" s="1442"/>
      <c r="Q19" s="1442"/>
      <c r="R19" s="1442"/>
      <c r="S19" s="72" t="s">
        <v>241</v>
      </c>
      <c r="T19" s="10"/>
      <c r="U19" s="10"/>
      <c r="V19" s="12"/>
      <c r="W19" s="1439"/>
    </row>
    <row r="20" spans="1:23" ht="20.25" customHeight="1">
      <c r="A20" s="1429"/>
      <c r="B20" s="1432"/>
      <c r="C20" s="1435"/>
      <c r="D20" s="13"/>
      <c r="E20" s="13"/>
      <c r="F20" s="13"/>
      <c r="G20" s="14"/>
      <c r="H20" s="14"/>
      <c r="I20" s="14"/>
      <c r="J20" s="14"/>
      <c r="K20" s="14"/>
      <c r="L20" s="14"/>
      <c r="M20" s="1443" t="s">
        <v>242</v>
      </c>
      <c r="N20" s="1443"/>
      <c r="O20" s="1443"/>
      <c r="P20" s="1443"/>
      <c r="Q20" s="1443"/>
      <c r="R20" s="1443"/>
      <c r="S20" s="1443"/>
      <c r="T20" s="1443"/>
      <c r="U20" s="1443"/>
      <c r="V20" s="1444"/>
      <c r="W20" s="1440"/>
    </row>
    <row r="21" spans="1:23" ht="25.5" customHeight="1">
      <c r="A21" s="15"/>
      <c r="B21" s="15"/>
      <c r="C21" s="15"/>
      <c r="D21" s="16"/>
      <c r="E21" s="16"/>
      <c r="F21" s="16"/>
      <c r="G21" s="16"/>
      <c r="H21" s="17"/>
      <c r="I21" s="17"/>
      <c r="J21" s="17"/>
      <c r="K21" s="17"/>
      <c r="L21" s="15"/>
      <c r="M21" s="17"/>
      <c r="N21" s="17"/>
      <c r="O21" s="17"/>
      <c r="P21" s="17"/>
      <c r="Q21" s="18"/>
      <c r="R21" s="18"/>
      <c r="S21" s="18"/>
      <c r="T21" s="18"/>
      <c r="U21" s="18"/>
      <c r="V21" s="18"/>
      <c r="W21" s="19"/>
    </row>
    <row r="22" spans="1:23" ht="20.25" customHeight="1">
      <c r="A22" s="1460" t="s">
        <v>254</v>
      </c>
      <c r="B22" s="1448" t="s">
        <v>255</v>
      </c>
      <c r="C22" s="1433"/>
      <c r="D22" s="6"/>
      <c r="E22" s="1436" t="s">
        <v>236</v>
      </c>
      <c r="F22" s="1436"/>
      <c r="G22" s="1436"/>
      <c r="H22" s="1436"/>
      <c r="I22" s="1436"/>
      <c r="J22" s="7"/>
      <c r="K22" s="1437" t="s">
        <v>246</v>
      </c>
      <c r="L22" s="1437"/>
      <c r="M22" s="1437"/>
      <c r="N22" s="1437"/>
      <c r="O22" s="1437"/>
      <c r="P22" s="1437"/>
      <c r="Q22" s="1437"/>
      <c r="R22" s="1437"/>
      <c r="S22" s="7"/>
      <c r="T22" s="7"/>
      <c r="U22" s="7"/>
      <c r="V22" s="8"/>
      <c r="W22" s="1438" t="s">
        <v>238</v>
      </c>
    </row>
    <row r="23" spans="1:23" ht="25.5" customHeight="1">
      <c r="A23" s="1428"/>
      <c r="B23" s="1449"/>
      <c r="C23" s="1434"/>
      <c r="D23" s="9" t="s">
        <v>239</v>
      </c>
      <c r="E23" s="1441">
        <v>69060</v>
      </c>
      <c r="F23" s="1441"/>
      <c r="G23" s="1441"/>
      <c r="H23" s="1441"/>
      <c r="I23" s="1441"/>
      <c r="J23" s="10" t="s">
        <v>240</v>
      </c>
      <c r="K23" s="1442">
        <v>690</v>
      </c>
      <c r="L23" s="1442"/>
      <c r="M23" s="1442"/>
      <c r="N23" s="1442"/>
      <c r="O23" s="1442"/>
      <c r="P23" s="1442"/>
      <c r="Q23" s="1442"/>
      <c r="R23" s="1442"/>
      <c r="S23" s="72" t="s">
        <v>241</v>
      </c>
      <c r="T23" s="10"/>
      <c r="U23" s="10"/>
      <c r="V23" s="12"/>
      <c r="W23" s="1439"/>
    </row>
    <row r="24" spans="1:23" ht="20.25" customHeight="1">
      <c r="A24" s="1429"/>
      <c r="B24" s="1450"/>
      <c r="C24" s="1435"/>
      <c r="D24" s="13"/>
      <c r="E24" s="13"/>
      <c r="F24" s="13"/>
      <c r="G24" s="14"/>
      <c r="H24" s="14"/>
      <c r="I24" s="14"/>
      <c r="J24" s="14"/>
      <c r="K24" s="14"/>
      <c r="L24" s="14"/>
      <c r="M24" s="1443" t="s">
        <v>242</v>
      </c>
      <c r="N24" s="1443"/>
      <c r="O24" s="1443"/>
      <c r="P24" s="1443"/>
      <c r="Q24" s="1443"/>
      <c r="R24" s="1443"/>
      <c r="S24" s="1443"/>
      <c r="T24" s="1443"/>
      <c r="U24" s="1443"/>
      <c r="V24" s="1444"/>
      <c r="W24" s="1440"/>
    </row>
    <row r="25" spans="1:23" ht="25.5" customHeight="1">
      <c r="A25" s="15"/>
      <c r="B25" s="15"/>
      <c r="C25" s="15"/>
      <c r="D25" s="16"/>
      <c r="E25" s="16"/>
      <c r="F25" s="16"/>
      <c r="G25" s="16"/>
      <c r="H25" s="17"/>
      <c r="I25" s="17"/>
      <c r="J25" s="17"/>
      <c r="K25" s="17"/>
      <c r="L25" s="15"/>
      <c r="M25" s="17"/>
      <c r="N25" s="17"/>
      <c r="O25" s="17"/>
      <c r="P25" s="17"/>
      <c r="Q25" s="18"/>
      <c r="R25" s="18"/>
      <c r="S25" s="18"/>
      <c r="T25" s="18"/>
      <c r="U25" s="18"/>
      <c r="V25" s="18"/>
      <c r="W25" s="19"/>
    </row>
    <row r="26" spans="1:23" s="20" customFormat="1" ht="25.5" customHeight="1">
      <c r="A26" s="1461" t="s">
        <v>256</v>
      </c>
      <c r="B26" s="1464" t="s">
        <v>257</v>
      </c>
      <c r="C26" s="1414" t="s">
        <v>258</v>
      </c>
      <c r="D26" s="1467"/>
      <c r="E26" s="1467"/>
      <c r="F26" s="1467"/>
      <c r="G26" s="1467"/>
      <c r="H26" s="1467"/>
      <c r="I26" s="1467"/>
      <c r="J26" s="1467"/>
      <c r="K26" s="1467"/>
      <c r="L26" s="1467"/>
      <c r="M26" s="1467"/>
      <c r="N26" s="1467"/>
      <c r="O26" s="1467"/>
      <c r="P26" s="1467"/>
      <c r="Q26" s="1467"/>
      <c r="R26" s="1467"/>
      <c r="S26" s="1467"/>
      <c r="T26" s="1467"/>
      <c r="U26" s="1467"/>
      <c r="V26" s="1468"/>
      <c r="W26" s="1469" t="s">
        <v>259</v>
      </c>
    </row>
    <row r="27" spans="1:23" s="20" customFormat="1" ht="25.5" customHeight="1">
      <c r="A27" s="1462"/>
      <c r="B27" s="1465"/>
      <c r="C27" s="1472" t="s">
        <v>260</v>
      </c>
      <c r="D27" s="1473"/>
      <c r="E27" s="1473"/>
      <c r="F27" s="1473"/>
      <c r="G27" s="1473"/>
      <c r="H27" s="1473"/>
      <c r="I27" s="1473"/>
      <c r="J27" s="1473"/>
      <c r="K27" s="1473"/>
      <c r="L27" s="1441">
        <v>50140</v>
      </c>
      <c r="M27" s="1441"/>
      <c r="N27" s="1441"/>
      <c r="O27" s="1441"/>
      <c r="P27" s="10" t="s">
        <v>261</v>
      </c>
      <c r="Q27" s="1474" t="s">
        <v>262</v>
      </c>
      <c r="R27" s="1474"/>
      <c r="S27" s="1474"/>
      <c r="T27" s="10" t="s">
        <v>261</v>
      </c>
      <c r="U27" s="1475" t="s">
        <v>263</v>
      </c>
      <c r="V27" s="1476"/>
      <c r="W27" s="1470"/>
    </row>
    <row r="28" spans="1:23" s="20" customFormat="1" ht="25.5" customHeight="1">
      <c r="A28" s="1463"/>
      <c r="B28" s="1466"/>
      <c r="C28" s="1477" t="s">
        <v>264</v>
      </c>
      <c r="D28" s="1478"/>
      <c r="E28" s="1478"/>
      <c r="F28" s="1478"/>
      <c r="G28" s="1478"/>
      <c r="H28" s="1478"/>
      <c r="I28" s="1478"/>
      <c r="J28" s="1478"/>
      <c r="K28" s="1478"/>
      <c r="L28" s="1479">
        <v>6270</v>
      </c>
      <c r="M28" s="1479"/>
      <c r="N28" s="1479"/>
      <c r="O28" s="1479"/>
      <c r="P28" s="21" t="s">
        <v>261</v>
      </c>
      <c r="Q28" s="1480" t="s">
        <v>265</v>
      </c>
      <c r="R28" s="1480"/>
      <c r="S28" s="1480"/>
      <c r="T28" s="21" t="s">
        <v>261</v>
      </c>
      <c r="U28" s="1481" t="s">
        <v>263</v>
      </c>
      <c r="V28" s="1482"/>
      <c r="W28" s="1471"/>
    </row>
    <row r="29" spans="1:23" s="20" customFormat="1" ht="25.5" customHeight="1">
      <c r="A29" s="22"/>
      <c r="B29" s="305"/>
      <c r="C29" s="300"/>
      <c r="D29" s="300"/>
      <c r="E29" s="300"/>
      <c r="F29" s="300"/>
      <c r="G29" s="300"/>
      <c r="H29" s="300"/>
      <c r="I29" s="300"/>
      <c r="J29" s="300"/>
      <c r="K29" s="300"/>
      <c r="L29" s="297"/>
      <c r="M29" s="297"/>
      <c r="N29" s="297"/>
      <c r="O29" s="297"/>
      <c r="P29" s="10"/>
      <c r="Q29" s="301"/>
      <c r="R29" s="301"/>
      <c r="S29" s="301"/>
      <c r="T29" s="10"/>
      <c r="U29" s="302"/>
      <c r="V29" s="306"/>
      <c r="W29" s="305"/>
    </row>
    <row r="30" spans="1:23" s="20" customFormat="1" ht="25.5" customHeight="1">
      <c r="A30" s="1414" t="s">
        <v>728</v>
      </c>
      <c r="B30" s="1416" t="s">
        <v>729</v>
      </c>
      <c r="C30" s="1418"/>
      <c r="D30" s="1420">
        <v>11280</v>
      </c>
      <c r="E30" s="1421"/>
      <c r="F30" s="1421"/>
      <c r="G30" s="1421"/>
      <c r="H30" s="1421"/>
      <c r="I30" s="1421"/>
      <c r="J30" s="355" t="s">
        <v>786</v>
      </c>
      <c r="K30" s="1422" t="s">
        <v>787</v>
      </c>
      <c r="L30" s="1422"/>
      <c r="M30" s="1422"/>
      <c r="N30" s="1422"/>
      <c r="O30" s="1422"/>
      <c r="P30" s="1422"/>
      <c r="Q30" s="1422"/>
      <c r="R30" s="1422"/>
      <c r="S30" s="1422"/>
      <c r="T30" s="1422"/>
      <c r="U30" s="1422"/>
      <c r="V30" s="1423"/>
      <c r="W30" s="1424" t="s">
        <v>733</v>
      </c>
    </row>
    <row r="31" spans="1:23" s="20" customFormat="1" ht="25.5" customHeight="1">
      <c r="A31" s="1415"/>
      <c r="B31" s="1417"/>
      <c r="C31" s="1419"/>
      <c r="D31" s="356"/>
      <c r="E31" s="356"/>
      <c r="F31" s="356"/>
      <c r="G31" s="357"/>
      <c r="H31" s="357"/>
      <c r="I31" s="357"/>
      <c r="J31" s="357"/>
      <c r="K31" s="357"/>
      <c r="L31" s="357"/>
      <c r="M31" s="1425" t="s">
        <v>368</v>
      </c>
      <c r="N31" s="1425"/>
      <c r="O31" s="1425"/>
      <c r="P31" s="1425"/>
      <c r="Q31" s="1425"/>
      <c r="R31" s="1425"/>
      <c r="S31" s="1425"/>
      <c r="T31" s="1425"/>
      <c r="U31" s="1425"/>
      <c r="V31" s="1426"/>
      <c r="W31" s="1424"/>
    </row>
    <row r="32" spans="1:23" s="20" customFormat="1" ht="26.25" customHeight="1">
      <c r="A32" s="22"/>
      <c r="B32" s="22"/>
      <c r="C32" s="73"/>
      <c r="D32" s="74"/>
      <c r="E32" s="74"/>
      <c r="F32" s="74"/>
      <c r="G32" s="74"/>
      <c r="H32" s="74"/>
      <c r="I32" s="74"/>
      <c r="J32" s="74"/>
      <c r="K32" s="74"/>
      <c r="L32" s="74"/>
      <c r="M32" s="74"/>
      <c r="N32" s="74"/>
      <c r="O32" s="74"/>
      <c r="P32" s="74"/>
      <c r="Q32" s="74"/>
      <c r="R32" s="74"/>
      <c r="S32" s="74"/>
      <c r="T32" s="74"/>
      <c r="U32" s="74"/>
      <c r="V32" s="74"/>
      <c r="W32" s="22"/>
    </row>
    <row r="33" spans="1:23" ht="30" customHeight="1">
      <c r="A33" s="1445" t="s">
        <v>266</v>
      </c>
      <c r="B33" s="1448" t="s">
        <v>740</v>
      </c>
      <c r="C33" s="1496" t="s">
        <v>268</v>
      </c>
      <c r="D33" s="1497"/>
      <c r="E33" s="1497"/>
      <c r="F33" s="1497"/>
      <c r="G33" s="1497"/>
      <c r="H33" s="1498">
        <v>1800</v>
      </c>
      <c r="I33" s="1498"/>
      <c r="J33" s="1498"/>
      <c r="K33" s="1498"/>
      <c r="L33" s="1499"/>
      <c r="M33" s="1496" t="s">
        <v>269</v>
      </c>
      <c r="N33" s="1497"/>
      <c r="O33" s="1497"/>
      <c r="P33" s="1497"/>
      <c r="Q33" s="1497"/>
      <c r="R33" s="1498">
        <v>1240</v>
      </c>
      <c r="S33" s="1498"/>
      <c r="T33" s="1498"/>
      <c r="U33" s="1498"/>
      <c r="V33" s="1499"/>
      <c r="W33" s="1454" t="s">
        <v>270</v>
      </c>
    </row>
    <row r="34" spans="1:23" ht="30" customHeight="1">
      <c r="A34" s="1446"/>
      <c r="B34" s="1449"/>
      <c r="C34" s="1496" t="s">
        <v>271</v>
      </c>
      <c r="D34" s="1497"/>
      <c r="E34" s="1497"/>
      <c r="F34" s="1497"/>
      <c r="G34" s="1497"/>
      <c r="H34" s="1498">
        <v>1590</v>
      </c>
      <c r="I34" s="1498"/>
      <c r="J34" s="1498"/>
      <c r="K34" s="1498"/>
      <c r="L34" s="1499"/>
      <c r="M34" s="1496" t="s">
        <v>272</v>
      </c>
      <c r="N34" s="1497"/>
      <c r="O34" s="1497"/>
      <c r="P34" s="1497"/>
      <c r="Q34" s="1497"/>
      <c r="R34" s="1498">
        <v>110</v>
      </c>
      <c r="S34" s="1498"/>
      <c r="T34" s="1498"/>
      <c r="U34" s="1498"/>
      <c r="V34" s="1499"/>
      <c r="W34" s="1454"/>
    </row>
    <row r="35" spans="1:23" ht="30" customHeight="1">
      <c r="A35" s="1447"/>
      <c r="B35" s="1450"/>
      <c r="C35" s="1496" t="s">
        <v>273</v>
      </c>
      <c r="D35" s="1497"/>
      <c r="E35" s="1497"/>
      <c r="F35" s="1497"/>
      <c r="G35" s="1497"/>
      <c r="H35" s="1498">
        <v>1570</v>
      </c>
      <c r="I35" s="1498"/>
      <c r="J35" s="1498"/>
      <c r="K35" s="1498"/>
      <c r="L35" s="1499"/>
      <c r="M35" s="1500"/>
      <c r="N35" s="1501"/>
      <c r="O35" s="1501"/>
      <c r="P35" s="1501"/>
      <c r="Q35" s="1501"/>
      <c r="R35" s="1501"/>
      <c r="S35" s="1501"/>
      <c r="T35" s="1501"/>
      <c r="U35" s="1501"/>
      <c r="V35" s="1502"/>
      <c r="W35" s="1454"/>
    </row>
    <row r="36" spans="1:23" ht="25.5" customHeight="1">
      <c r="A36" s="15"/>
      <c r="B36" s="15"/>
      <c r="C36" s="15"/>
      <c r="D36" s="16"/>
      <c r="E36" s="16"/>
      <c r="F36" s="16"/>
      <c r="G36" s="16"/>
      <c r="H36" s="17"/>
      <c r="I36" s="17"/>
      <c r="J36" s="17"/>
      <c r="K36" s="17"/>
      <c r="L36" s="15"/>
      <c r="M36" s="17"/>
      <c r="N36" s="17"/>
      <c r="O36" s="17"/>
      <c r="P36" s="17"/>
      <c r="Q36" s="18"/>
      <c r="R36" s="18"/>
      <c r="S36" s="18"/>
      <c r="T36" s="18"/>
      <c r="U36" s="18"/>
      <c r="V36" s="18"/>
      <c r="W36" s="19"/>
    </row>
    <row r="37" spans="1:23" ht="25.5" customHeight="1">
      <c r="A37" s="1483" t="s">
        <v>274</v>
      </c>
      <c r="B37" s="1486" t="s">
        <v>741</v>
      </c>
      <c r="C37" s="1488" t="s">
        <v>120</v>
      </c>
      <c r="D37" s="1489">
        <v>153010</v>
      </c>
      <c r="E37" s="1489"/>
      <c r="F37" s="1489"/>
      <c r="G37" s="1489"/>
      <c r="H37" s="1489"/>
      <c r="I37" s="1489"/>
      <c r="J37" s="1489"/>
      <c r="K37" s="1489"/>
      <c r="L37" s="1489"/>
      <c r="M37" s="1489"/>
      <c r="N37" s="1489"/>
      <c r="O37" s="1489"/>
      <c r="P37" s="1489"/>
      <c r="Q37" s="1489"/>
      <c r="R37" s="1489"/>
      <c r="S37" s="1489"/>
      <c r="T37" s="1489"/>
      <c r="U37" s="1489"/>
      <c r="V37" s="1490"/>
      <c r="W37" s="1493" t="s">
        <v>275</v>
      </c>
    </row>
    <row r="38" spans="1:23" ht="25.5" customHeight="1">
      <c r="A38" s="1484"/>
      <c r="B38" s="1487"/>
      <c r="C38" s="1488"/>
      <c r="D38" s="1491"/>
      <c r="E38" s="1491"/>
      <c r="F38" s="1491"/>
      <c r="G38" s="1491"/>
      <c r="H38" s="1491"/>
      <c r="I38" s="1491"/>
      <c r="J38" s="1491"/>
      <c r="K38" s="1491"/>
      <c r="L38" s="1491"/>
      <c r="M38" s="1491"/>
      <c r="N38" s="1491"/>
      <c r="O38" s="1491"/>
      <c r="P38" s="1491"/>
      <c r="Q38" s="1491"/>
      <c r="R38" s="1491"/>
      <c r="S38" s="1491"/>
      <c r="T38" s="1491"/>
      <c r="U38" s="1491"/>
      <c r="V38" s="1492"/>
      <c r="W38" s="1494"/>
    </row>
    <row r="39" spans="1:23" ht="25.5" customHeight="1">
      <c r="A39" s="1484"/>
      <c r="B39" s="1487"/>
      <c r="C39" s="1488" t="s">
        <v>121</v>
      </c>
      <c r="D39" s="1489">
        <v>30260</v>
      </c>
      <c r="E39" s="1489"/>
      <c r="F39" s="1489"/>
      <c r="G39" s="1489"/>
      <c r="H39" s="1489"/>
      <c r="I39" s="1489"/>
      <c r="J39" s="1489"/>
      <c r="K39" s="1489"/>
      <c r="L39" s="1489"/>
      <c r="M39" s="1489"/>
      <c r="N39" s="1489"/>
      <c r="O39" s="1489"/>
      <c r="P39" s="1489"/>
      <c r="Q39" s="1489"/>
      <c r="R39" s="1489"/>
      <c r="S39" s="1489"/>
      <c r="T39" s="1489"/>
      <c r="U39" s="1489"/>
      <c r="V39" s="1490"/>
      <c r="W39" s="1494"/>
    </row>
    <row r="40" spans="1:23" ht="30" customHeight="1">
      <c r="A40" s="1485"/>
      <c r="B40" s="1444"/>
      <c r="C40" s="1488"/>
      <c r="D40" s="1491"/>
      <c r="E40" s="1491"/>
      <c r="F40" s="1491"/>
      <c r="G40" s="1491"/>
      <c r="H40" s="1491"/>
      <c r="I40" s="1491"/>
      <c r="J40" s="1491"/>
      <c r="K40" s="1491"/>
      <c r="L40" s="1491"/>
      <c r="M40" s="1491"/>
      <c r="N40" s="1491"/>
      <c r="O40" s="1491"/>
      <c r="P40" s="1491"/>
      <c r="Q40" s="1491"/>
      <c r="R40" s="1491"/>
      <c r="S40" s="1491"/>
      <c r="T40" s="1491"/>
      <c r="U40" s="1491"/>
      <c r="V40" s="1492"/>
      <c r="W40" s="1495"/>
    </row>
    <row r="41" spans="1:23" ht="25.5" customHeight="1">
      <c r="A41" s="15"/>
      <c r="B41" s="15"/>
      <c r="C41" s="15"/>
      <c r="D41" s="16"/>
      <c r="E41" s="16"/>
      <c r="F41" s="16"/>
      <c r="G41" s="16"/>
      <c r="H41" s="17"/>
      <c r="I41" s="17"/>
      <c r="J41" s="17"/>
      <c r="K41" s="17"/>
      <c r="L41" s="15"/>
      <c r="M41" s="17"/>
      <c r="N41" s="17"/>
      <c r="O41" s="17"/>
      <c r="P41" s="17"/>
      <c r="Q41" s="18"/>
      <c r="R41" s="18"/>
      <c r="S41" s="18"/>
      <c r="T41" s="18"/>
      <c r="U41" s="18"/>
      <c r="V41" s="18"/>
      <c r="W41" s="19"/>
    </row>
    <row r="42" spans="1:23" ht="30" customHeight="1">
      <c r="A42" s="23" t="s">
        <v>276</v>
      </c>
      <c r="B42" s="308" t="s">
        <v>742</v>
      </c>
      <c r="C42" s="1503">
        <v>6180</v>
      </c>
      <c r="D42" s="1503"/>
      <c r="E42" s="1503"/>
      <c r="F42" s="1503"/>
      <c r="G42" s="1503"/>
      <c r="H42" s="1503"/>
      <c r="I42" s="1503"/>
      <c r="J42" s="1503"/>
      <c r="K42" s="1503"/>
      <c r="L42" s="1503"/>
      <c r="M42" s="1503"/>
      <c r="N42" s="1503"/>
      <c r="O42" s="1503"/>
      <c r="P42" s="1503"/>
      <c r="Q42" s="1503"/>
      <c r="R42" s="1503"/>
      <c r="S42" s="1503"/>
      <c r="T42" s="1503"/>
      <c r="U42" s="1503"/>
      <c r="V42" s="1504"/>
      <c r="W42" s="24" t="s">
        <v>278</v>
      </c>
    </row>
    <row r="43" spans="1:23" ht="25.5" customHeight="1">
      <c r="A43" s="15"/>
      <c r="B43" s="15"/>
      <c r="C43" s="15"/>
      <c r="D43" s="16"/>
      <c r="E43" s="16"/>
      <c r="F43" s="16"/>
      <c r="G43" s="16"/>
      <c r="H43" s="17"/>
      <c r="I43" s="17"/>
      <c r="J43" s="17"/>
      <c r="K43" s="17"/>
      <c r="L43" s="15"/>
      <c r="M43" s="17"/>
      <c r="N43" s="17"/>
      <c r="O43" s="17"/>
      <c r="P43" s="17"/>
      <c r="Q43" s="18"/>
      <c r="R43" s="18"/>
      <c r="S43" s="18"/>
      <c r="T43" s="18"/>
      <c r="U43" s="18"/>
      <c r="V43" s="18"/>
      <c r="W43" s="25"/>
    </row>
    <row r="44" spans="1:23" ht="30" customHeight="1">
      <c r="A44" s="23" t="s">
        <v>279</v>
      </c>
      <c r="B44" s="26" t="s">
        <v>743</v>
      </c>
      <c r="C44" s="1505">
        <v>77930</v>
      </c>
      <c r="D44" s="1506"/>
      <c r="E44" s="1506"/>
      <c r="F44" s="1506"/>
      <c r="G44" s="1506"/>
      <c r="H44" s="1506"/>
      <c r="I44" s="1506"/>
      <c r="J44" s="1506"/>
      <c r="K44" s="1506"/>
      <c r="L44" s="1506"/>
      <c r="M44" s="1506"/>
      <c r="N44" s="1506"/>
      <c r="O44" s="1506"/>
      <c r="P44" s="1506"/>
      <c r="Q44" s="1506"/>
      <c r="R44" s="1506"/>
      <c r="S44" s="1506"/>
      <c r="T44" s="1506"/>
      <c r="U44" s="1506"/>
      <c r="V44" s="1507"/>
      <c r="W44" s="24" t="s">
        <v>278</v>
      </c>
    </row>
    <row r="45" spans="1:23" ht="25.5" customHeight="1">
      <c r="A45" s="15"/>
      <c r="B45" s="27"/>
      <c r="C45" s="28"/>
      <c r="D45" s="16"/>
      <c r="E45" s="16"/>
      <c r="F45" s="16"/>
      <c r="G45" s="16"/>
      <c r="H45" s="17"/>
      <c r="I45" s="17"/>
      <c r="J45" s="17"/>
      <c r="K45" s="17"/>
      <c r="L45" s="15"/>
      <c r="M45" s="17"/>
      <c r="N45" s="17"/>
      <c r="O45" s="17"/>
      <c r="P45" s="17"/>
      <c r="Q45" s="18"/>
      <c r="R45" s="18"/>
      <c r="S45" s="18"/>
      <c r="T45" s="18"/>
      <c r="U45" s="18"/>
      <c r="V45" s="18"/>
      <c r="W45" s="25"/>
    </row>
    <row r="46" spans="1:23" ht="18" hidden="1" customHeight="1">
      <c r="A46" s="1445" t="s">
        <v>280</v>
      </c>
      <c r="B46" s="298"/>
      <c r="C46" s="1508" t="s">
        <v>281</v>
      </c>
      <c r="D46" s="1509"/>
      <c r="E46" s="1509"/>
      <c r="F46" s="1509"/>
      <c r="G46" s="1509"/>
      <c r="H46" s="1509"/>
      <c r="I46" s="1509"/>
      <c r="J46" s="1509"/>
      <c r="K46" s="1509"/>
      <c r="L46" s="1512">
        <v>456000</v>
      </c>
      <c r="M46" s="1512"/>
      <c r="N46" s="1512"/>
      <c r="O46" s="1512"/>
      <c r="P46" s="29"/>
      <c r="Q46" s="29"/>
      <c r="R46" s="29"/>
      <c r="S46" s="29"/>
      <c r="T46" s="29"/>
      <c r="U46" s="29"/>
      <c r="V46" s="30"/>
      <c r="W46" s="1454" t="s">
        <v>282</v>
      </c>
    </row>
    <row r="47" spans="1:23" ht="18" hidden="1" customHeight="1">
      <c r="A47" s="1446"/>
      <c r="B47" s="298"/>
      <c r="C47" s="1510"/>
      <c r="D47" s="1511"/>
      <c r="E47" s="1511"/>
      <c r="F47" s="1511"/>
      <c r="G47" s="1511"/>
      <c r="H47" s="1511"/>
      <c r="I47" s="1511"/>
      <c r="J47" s="1511"/>
      <c r="K47" s="1511"/>
      <c r="L47" s="1513" t="s">
        <v>788</v>
      </c>
      <c r="M47" s="1513"/>
      <c r="N47" s="1513"/>
      <c r="O47" s="1513"/>
      <c r="P47" s="1513"/>
      <c r="Q47" s="1513"/>
      <c r="R47" s="1513"/>
      <c r="S47" s="1513"/>
      <c r="T47" s="1513"/>
      <c r="U47" s="1513"/>
      <c r="V47" s="1514"/>
      <c r="W47" s="1454"/>
    </row>
    <row r="48" spans="1:23" ht="18" hidden="1" customHeight="1">
      <c r="A48" s="1446"/>
      <c r="B48" s="298"/>
      <c r="C48" s="1508" t="s">
        <v>284</v>
      </c>
      <c r="D48" s="1509"/>
      <c r="E48" s="1509"/>
      <c r="F48" s="1509"/>
      <c r="G48" s="1509"/>
      <c r="H48" s="1509"/>
      <c r="I48" s="1509"/>
      <c r="J48" s="1509"/>
      <c r="K48" s="1509"/>
      <c r="L48" s="1512">
        <v>760000</v>
      </c>
      <c r="M48" s="1512"/>
      <c r="N48" s="1512"/>
      <c r="O48" s="1512"/>
      <c r="P48" s="29"/>
      <c r="Q48" s="29"/>
      <c r="R48" s="29"/>
      <c r="S48" s="29"/>
      <c r="T48" s="29"/>
      <c r="U48" s="29"/>
      <c r="V48" s="30"/>
      <c r="W48" s="1454"/>
    </row>
    <row r="49" spans="1:23" ht="18" hidden="1" customHeight="1">
      <c r="A49" s="1446"/>
      <c r="B49" s="299"/>
      <c r="C49" s="1510"/>
      <c r="D49" s="1511"/>
      <c r="E49" s="1511"/>
      <c r="F49" s="1511"/>
      <c r="G49" s="1511"/>
      <c r="H49" s="1511"/>
      <c r="I49" s="1511"/>
      <c r="J49" s="1511"/>
      <c r="K49" s="1511"/>
      <c r="L49" s="1513" t="s">
        <v>788</v>
      </c>
      <c r="M49" s="1513"/>
      <c r="N49" s="1513"/>
      <c r="O49" s="1513"/>
      <c r="P49" s="1513"/>
      <c r="Q49" s="1513"/>
      <c r="R49" s="1513"/>
      <c r="S49" s="1513"/>
      <c r="T49" s="1513"/>
      <c r="U49" s="1513"/>
      <c r="V49" s="1514"/>
      <c r="W49" s="1454"/>
    </row>
    <row r="50" spans="1:23" ht="18" hidden="1" customHeight="1">
      <c r="A50" s="1446"/>
      <c r="B50" s="15"/>
      <c r="C50" s="1508" t="s">
        <v>285</v>
      </c>
      <c r="D50" s="1509"/>
      <c r="E50" s="1509"/>
      <c r="F50" s="1509"/>
      <c r="G50" s="1509"/>
      <c r="H50" s="1509"/>
      <c r="I50" s="1509"/>
      <c r="J50" s="1509"/>
      <c r="K50" s="1509"/>
      <c r="L50" s="1512">
        <v>1065000</v>
      </c>
      <c r="M50" s="1512"/>
      <c r="N50" s="1512"/>
      <c r="O50" s="1512"/>
      <c r="P50" s="29"/>
      <c r="Q50" s="29"/>
      <c r="R50" s="29"/>
      <c r="S50" s="29"/>
      <c r="T50" s="29"/>
      <c r="U50" s="29"/>
      <c r="V50" s="30"/>
      <c r="W50" s="1454"/>
    </row>
    <row r="51" spans="1:23" ht="18" hidden="1" customHeight="1">
      <c r="A51" s="1447"/>
      <c r="B51" s="26" t="s">
        <v>267</v>
      </c>
      <c r="C51" s="1510"/>
      <c r="D51" s="1511"/>
      <c r="E51" s="1511"/>
      <c r="F51" s="1511"/>
      <c r="G51" s="1511"/>
      <c r="H51" s="1511"/>
      <c r="I51" s="1511"/>
      <c r="J51" s="1511"/>
      <c r="K51" s="1511"/>
      <c r="L51" s="1513" t="s">
        <v>788</v>
      </c>
      <c r="M51" s="1513"/>
      <c r="N51" s="1513"/>
      <c r="O51" s="1513"/>
      <c r="P51" s="1513"/>
      <c r="Q51" s="1513"/>
      <c r="R51" s="1513"/>
      <c r="S51" s="1513"/>
      <c r="T51" s="1513"/>
      <c r="U51" s="1513"/>
      <c r="V51" s="1514"/>
      <c r="W51" s="1454"/>
    </row>
    <row r="52" spans="1:23" ht="25.5" hidden="1" customHeight="1">
      <c r="A52" s="15"/>
      <c r="B52" s="15"/>
      <c r="C52" s="15"/>
      <c r="D52" s="16"/>
      <c r="E52" s="16"/>
      <c r="F52" s="16"/>
      <c r="G52" s="16"/>
      <c r="H52" s="17"/>
      <c r="I52" s="17"/>
      <c r="J52" s="17"/>
      <c r="K52" s="17"/>
      <c r="L52" s="15"/>
      <c r="M52" s="18"/>
      <c r="N52" s="17"/>
      <c r="O52" s="17"/>
      <c r="P52" s="17"/>
      <c r="Q52" s="18"/>
      <c r="R52" s="18"/>
      <c r="S52" s="18"/>
      <c r="T52" s="18"/>
      <c r="U52" s="18"/>
      <c r="V52" s="18"/>
      <c r="W52" s="25"/>
    </row>
    <row r="53" spans="1:23" ht="30" customHeight="1">
      <c r="A53" s="23" t="s">
        <v>286</v>
      </c>
      <c r="B53" s="26" t="s">
        <v>744</v>
      </c>
      <c r="C53" s="1516">
        <v>80000</v>
      </c>
      <c r="D53" s="1517"/>
      <c r="E53" s="1517"/>
      <c r="F53" s="1517"/>
      <c r="G53" s="1517"/>
      <c r="H53" s="1517"/>
      <c r="I53" s="1517"/>
      <c r="J53" s="1517"/>
      <c r="K53" s="1517"/>
      <c r="L53" s="1517"/>
      <c r="M53" s="1517"/>
      <c r="N53" s="1517"/>
      <c r="O53" s="1517"/>
      <c r="P53" s="1517"/>
      <c r="Q53" s="1517"/>
      <c r="R53" s="1517"/>
      <c r="S53" s="1517"/>
      <c r="T53" s="1517"/>
      <c r="U53" s="1517"/>
      <c r="V53" s="1518"/>
      <c r="W53" s="24" t="s">
        <v>278</v>
      </c>
    </row>
    <row r="54" spans="1:23" ht="25.5" customHeight="1">
      <c r="A54" s="15"/>
      <c r="B54" s="15"/>
      <c r="C54" s="15"/>
      <c r="D54" s="16"/>
      <c r="E54" s="16"/>
      <c r="F54" s="16"/>
      <c r="G54" s="16"/>
      <c r="H54" s="17"/>
      <c r="I54" s="17"/>
      <c r="J54" s="17"/>
      <c r="K54" s="17"/>
      <c r="L54" s="15"/>
      <c r="M54" s="18"/>
      <c r="N54" s="17"/>
      <c r="O54" s="17"/>
      <c r="P54" s="17"/>
      <c r="Q54" s="18"/>
      <c r="R54" s="18"/>
      <c r="S54" s="18"/>
      <c r="T54" s="18"/>
      <c r="U54" s="18"/>
      <c r="V54" s="18"/>
      <c r="W54" s="31"/>
    </row>
    <row r="55" spans="1:23" ht="30" customHeight="1">
      <c r="A55" s="23" t="s">
        <v>287</v>
      </c>
      <c r="B55" s="26" t="s">
        <v>745</v>
      </c>
      <c r="C55" s="1505">
        <v>48420</v>
      </c>
      <c r="D55" s="1506"/>
      <c r="E55" s="1506"/>
      <c r="F55" s="1506"/>
      <c r="G55" s="1506"/>
      <c r="H55" s="1506"/>
      <c r="I55" s="1506"/>
      <c r="J55" s="1506"/>
      <c r="K55" s="1506"/>
      <c r="L55" s="1506"/>
      <c r="M55" s="1506"/>
      <c r="N55" s="1506"/>
      <c r="O55" s="1506"/>
      <c r="P55" s="1506"/>
      <c r="Q55" s="1506"/>
      <c r="R55" s="1506"/>
      <c r="S55" s="1506"/>
      <c r="T55" s="1506"/>
      <c r="U55" s="1506"/>
      <c r="V55" s="1507"/>
      <c r="W55" s="24" t="s">
        <v>278</v>
      </c>
    </row>
    <row r="56" spans="1:23" ht="25.5" customHeight="1">
      <c r="A56" s="15"/>
      <c r="B56" s="15"/>
      <c r="C56" s="15"/>
      <c r="D56" s="16"/>
      <c r="E56" s="16"/>
      <c r="F56" s="16"/>
      <c r="G56" s="16"/>
      <c r="H56" s="17"/>
      <c r="I56" s="17"/>
      <c r="J56" s="17"/>
      <c r="K56" s="17"/>
      <c r="L56" s="15"/>
      <c r="M56" s="18"/>
      <c r="N56" s="17"/>
      <c r="O56" s="17"/>
      <c r="P56" s="17"/>
      <c r="Q56" s="18"/>
      <c r="R56" s="18"/>
      <c r="S56" s="18"/>
      <c r="T56" s="18"/>
      <c r="U56" s="18"/>
      <c r="V56" s="18"/>
      <c r="W56" s="31" t="s">
        <v>288</v>
      </c>
    </row>
    <row r="57" spans="1:23" ht="30" customHeight="1">
      <c r="A57" s="23" t="s">
        <v>289</v>
      </c>
      <c r="B57" s="26" t="s">
        <v>277</v>
      </c>
      <c r="C57" s="1505">
        <v>120000</v>
      </c>
      <c r="D57" s="1506"/>
      <c r="E57" s="1506"/>
      <c r="F57" s="1506"/>
      <c r="G57" s="1506"/>
      <c r="H57" s="1506"/>
      <c r="I57" s="1506"/>
      <c r="J57" s="1506"/>
      <c r="K57" s="1506"/>
      <c r="L57" s="1506"/>
      <c r="M57" s="1506"/>
      <c r="N57" s="1506"/>
      <c r="O57" s="1506"/>
      <c r="P57" s="1506"/>
      <c r="Q57" s="1506"/>
      <c r="R57" s="1506"/>
      <c r="S57" s="1506"/>
      <c r="T57" s="1506"/>
      <c r="U57" s="1506"/>
      <c r="V57" s="1507"/>
      <c r="W57" s="24" t="s">
        <v>278</v>
      </c>
    </row>
    <row r="58" spans="1:23" ht="25.5" customHeight="1">
      <c r="A58" s="15"/>
      <c r="B58" s="15"/>
      <c r="C58" s="15"/>
      <c r="D58" s="16"/>
      <c r="E58" s="16"/>
      <c r="F58" s="16"/>
      <c r="G58" s="16"/>
      <c r="H58" s="17"/>
      <c r="I58" s="17"/>
      <c r="J58" s="17"/>
      <c r="K58" s="17"/>
      <c r="L58" s="15"/>
      <c r="M58" s="18"/>
      <c r="N58" s="17"/>
      <c r="O58" s="17"/>
      <c r="P58" s="17"/>
      <c r="Q58" s="18"/>
      <c r="R58" s="18"/>
      <c r="S58" s="18"/>
      <c r="T58" s="18"/>
      <c r="U58" s="18"/>
      <c r="V58" s="18"/>
      <c r="W58" s="31" t="s">
        <v>288</v>
      </c>
    </row>
    <row r="59" spans="1:23" ht="30" customHeight="1">
      <c r="A59" s="23" t="s">
        <v>290</v>
      </c>
      <c r="B59" s="308" t="s">
        <v>746</v>
      </c>
      <c r="C59" s="1505">
        <v>75000</v>
      </c>
      <c r="D59" s="1506"/>
      <c r="E59" s="1506"/>
      <c r="F59" s="1506"/>
      <c r="G59" s="1506"/>
      <c r="H59" s="1506"/>
      <c r="I59" s="1506"/>
      <c r="J59" s="1506"/>
      <c r="K59" s="1506"/>
      <c r="L59" s="1506"/>
      <c r="M59" s="1506"/>
      <c r="N59" s="1506"/>
      <c r="O59" s="1506"/>
      <c r="P59" s="1506"/>
      <c r="Q59" s="1506"/>
      <c r="R59" s="1506"/>
      <c r="S59" s="1506"/>
      <c r="T59" s="1506"/>
      <c r="U59" s="1506"/>
      <c r="V59" s="1507"/>
      <c r="W59" s="24" t="s">
        <v>278</v>
      </c>
    </row>
    <row r="60" spans="1:23" ht="25.5" customHeight="1">
      <c r="A60" s="1515"/>
      <c r="B60" s="1515"/>
      <c r="C60" s="1515"/>
      <c r="D60" s="1515"/>
      <c r="E60" s="1515"/>
      <c r="F60" s="1515"/>
      <c r="G60" s="1515"/>
      <c r="H60" s="1515"/>
      <c r="I60" s="1515"/>
      <c r="J60" s="1515"/>
      <c r="K60" s="1515"/>
      <c r="L60" s="1515"/>
      <c r="M60" s="1515"/>
      <c r="N60" s="1515"/>
      <c r="O60" s="1515"/>
      <c r="P60" s="1515"/>
      <c r="Q60" s="1515"/>
      <c r="R60" s="1515"/>
      <c r="S60" s="1515"/>
      <c r="T60" s="1515"/>
      <c r="U60" s="1515"/>
      <c r="V60" s="1515"/>
      <c r="W60" s="1515"/>
    </row>
    <row r="61" spans="1:23" ht="25.5" customHeight="1">
      <c r="A61" s="1515" t="s">
        <v>291</v>
      </c>
      <c r="B61" s="1515"/>
      <c r="C61" s="1515"/>
      <c r="D61" s="1515"/>
      <c r="E61" s="1515"/>
      <c r="F61" s="1515"/>
      <c r="G61" s="1515"/>
      <c r="H61" s="1515"/>
      <c r="I61" s="1515"/>
      <c r="J61" s="1515"/>
      <c r="K61" s="1515"/>
      <c r="L61" s="1515"/>
      <c r="M61" s="1515"/>
      <c r="N61" s="1515"/>
      <c r="O61" s="1515"/>
      <c r="P61" s="1515"/>
      <c r="Q61" s="1515"/>
      <c r="R61" s="1515"/>
      <c r="S61" s="1515"/>
      <c r="T61" s="1515"/>
      <c r="U61" s="1515"/>
      <c r="V61" s="1515"/>
      <c r="W61" s="1515"/>
    </row>
  </sheetData>
  <mergeCells count="110">
    <mergeCell ref="C59:V59"/>
    <mergeCell ref="A60:W60"/>
    <mergeCell ref="A61:W61"/>
    <mergeCell ref="C50:K51"/>
    <mergeCell ref="L50:O50"/>
    <mergeCell ref="L51:V51"/>
    <mergeCell ref="C53:V53"/>
    <mergeCell ref="C55:V55"/>
    <mergeCell ref="C57:V57"/>
    <mergeCell ref="C42:V42"/>
    <mergeCell ref="C44:V44"/>
    <mergeCell ref="A46:A51"/>
    <mergeCell ref="C46:K47"/>
    <mergeCell ref="L46:O46"/>
    <mergeCell ref="W46:W51"/>
    <mergeCell ref="L47:V47"/>
    <mergeCell ref="C48:K49"/>
    <mergeCell ref="L48:O48"/>
    <mergeCell ref="L49:V49"/>
    <mergeCell ref="A37:A40"/>
    <mergeCell ref="B37:B40"/>
    <mergeCell ref="C37:C38"/>
    <mergeCell ref="D37:V38"/>
    <mergeCell ref="W37:W40"/>
    <mergeCell ref="C39:C40"/>
    <mergeCell ref="D39:V40"/>
    <mergeCell ref="W33:W35"/>
    <mergeCell ref="C34:G34"/>
    <mergeCell ref="H34:L34"/>
    <mergeCell ref="M34:Q34"/>
    <mergeCell ref="R34:V34"/>
    <mergeCell ref="C35:G35"/>
    <mergeCell ref="H35:L35"/>
    <mergeCell ref="M35:V35"/>
    <mergeCell ref="A33:A35"/>
    <mergeCell ref="B33:B35"/>
    <mergeCell ref="C33:G33"/>
    <mergeCell ref="H33:L33"/>
    <mergeCell ref="M33:Q33"/>
    <mergeCell ref="R33:V33"/>
    <mergeCell ref="A26:A28"/>
    <mergeCell ref="B26:B28"/>
    <mergeCell ref="C26:V26"/>
    <mergeCell ref="W26:W28"/>
    <mergeCell ref="C27:K27"/>
    <mergeCell ref="L27:O27"/>
    <mergeCell ref="E19:I19"/>
    <mergeCell ref="K19:R19"/>
    <mergeCell ref="M20:V20"/>
    <mergeCell ref="A22:A24"/>
    <mergeCell ref="B22:B24"/>
    <mergeCell ref="C22:C24"/>
    <mergeCell ref="E22:I22"/>
    <mergeCell ref="K22:R22"/>
    <mergeCell ref="Q27:S27"/>
    <mergeCell ref="U27:V27"/>
    <mergeCell ref="C28:K28"/>
    <mergeCell ref="L28:O28"/>
    <mergeCell ref="Q28:S28"/>
    <mergeCell ref="U28:V28"/>
    <mergeCell ref="W22:W24"/>
    <mergeCell ref="E23:I23"/>
    <mergeCell ref="K23:R23"/>
    <mergeCell ref="M24:V24"/>
    <mergeCell ref="A18:A20"/>
    <mergeCell ref="B18:B20"/>
    <mergeCell ref="C18:C20"/>
    <mergeCell ref="E18:I18"/>
    <mergeCell ref="K18:R18"/>
    <mergeCell ref="W18:W20"/>
    <mergeCell ref="A14:A16"/>
    <mergeCell ref="B14:B16"/>
    <mergeCell ref="C14:C16"/>
    <mergeCell ref="E14:I14"/>
    <mergeCell ref="K14:R14"/>
    <mergeCell ref="M9:V9"/>
    <mergeCell ref="C10:C12"/>
    <mergeCell ref="E10:I10"/>
    <mergeCell ref="K10:R10"/>
    <mergeCell ref="E11:I11"/>
    <mergeCell ref="K11:R11"/>
    <mergeCell ref="M12:V12"/>
    <mergeCell ref="W14:W16"/>
    <mergeCell ref="E15:I15"/>
    <mergeCell ref="K15:R15"/>
    <mergeCell ref="M16:V16"/>
    <mergeCell ref="A30:A31"/>
    <mergeCell ref="B30:B31"/>
    <mergeCell ref="C30:C31"/>
    <mergeCell ref="D30:I30"/>
    <mergeCell ref="K30:V30"/>
    <mergeCell ref="W30:W31"/>
    <mergeCell ref="M31:V31"/>
    <mergeCell ref="A3:A5"/>
    <mergeCell ref="B3:B5"/>
    <mergeCell ref="C3:C5"/>
    <mergeCell ref="E3:I3"/>
    <mergeCell ref="K3:R3"/>
    <mergeCell ref="W3:W5"/>
    <mergeCell ref="E4:I4"/>
    <mergeCell ref="K4:R4"/>
    <mergeCell ref="M5:V5"/>
    <mergeCell ref="A7:A12"/>
    <mergeCell ref="B7:B12"/>
    <mergeCell ref="C7:C9"/>
    <mergeCell ref="E7:I7"/>
    <mergeCell ref="K7:R7"/>
    <mergeCell ref="W7:W12"/>
    <mergeCell ref="E8:I8"/>
    <mergeCell ref="K8:R8"/>
  </mergeCells>
  <phoneticPr fontId="1"/>
  <conditionalFormatting sqref="A1:XFD6 A60:XFD1048576 A41:A59 W41:XFD59 A7:B29 W7:XFD29 W32:XFD36 X30:XFD31 A32:B32 A33:A36">
    <cfRule type="expression" dxfId="489" priority="15">
      <formula>#REF!&lt;#REF!</formula>
    </cfRule>
    <cfRule type="expression" dxfId="488" priority="16">
      <formula>A1&gt;#REF!</formula>
    </cfRule>
  </conditionalFormatting>
  <conditionalFormatting sqref="W37:XFD40 A37:A40">
    <cfRule type="expression" dxfId="487" priority="13">
      <formula>A37&lt;A37</formula>
    </cfRule>
    <cfRule type="expression" dxfId="486" priority="14">
      <formula>A37&gt;A37</formula>
    </cfRule>
  </conditionalFormatting>
  <conditionalFormatting sqref="C7:V29 C41:V59 C32:V36">
    <cfRule type="expression" dxfId="485" priority="11">
      <formula>#REF!&lt;#REF!</formula>
    </cfRule>
    <cfRule type="expression" dxfId="484" priority="12">
      <formula>C7&gt;#REF!</formula>
    </cfRule>
  </conditionalFormatting>
  <conditionalFormatting sqref="C37:D37 C39:D39">
    <cfRule type="expression" dxfId="483" priority="9">
      <formula>C37&lt;C37</formula>
    </cfRule>
    <cfRule type="expression" dxfId="482" priority="10">
      <formula>C37&gt;C37</formula>
    </cfRule>
  </conditionalFormatting>
  <conditionalFormatting sqref="A30:V31">
    <cfRule type="expression" dxfId="481" priority="7">
      <formula>#REF!&lt;#REF!</formula>
    </cfRule>
    <cfRule type="expression" dxfId="480" priority="8">
      <formula>A30&gt;#REF!</formula>
    </cfRule>
  </conditionalFormatting>
  <conditionalFormatting sqref="W30:W31">
    <cfRule type="expression" dxfId="479" priority="5">
      <formula>W30&lt;#REF!</formula>
    </cfRule>
    <cfRule type="expression" dxfId="478" priority="6">
      <formula>W30&gt;#REF!</formula>
    </cfRule>
  </conditionalFormatting>
  <conditionalFormatting sqref="B41:B59 B33:B36">
    <cfRule type="expression" dxfId="477" priority="3">
      <formula>#REF!&lt;#REF!</formula>
    </cfRule>
    <cfRule type="expression" dxfId="476" priority="4">
      <formula>B33&gt;#REF!</formula>
    </cfRule>
  </conditionalFormatting>
  <conditionalFormatting sqref="B37:B40">
    <cfRule type="expression" dxfId="475" priority="1">
      <formula>B37&lt;B37</formula>
    </cfRule>
    <cfRule type="expression" dxfId="474" priority="2">
      <formula>B37&gt;B37</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9"/>
  <sheetViews>
    <sheetView view="pageBreakPreview" topLeftCell="A123" zoomScaleNormal="70" zoomScaleSheetLayoutView="100" workbookViewId="0">
      <selection activeCell="J16" sqref="J16:J17"/>
    </sheetView>
  </sheetViews>
  <sheetFormatPr defaultRowHeight="13.5"/>
  <cols>
    <col min="1" max="1" width="5.625" style="522" customWidth="1"/>
    <col min="2" max="2" width="8.375" style="522" customWidth="1"/>
    <col min="3" max="3" width="4.5" style="522" bestFit="1" customWidth="1"/>
    <col min="4" max="4" width="8.375" style="522" customWidth="1"/>
    <col min="5" max="21" width="6.75" style="339" bestFit="1" customWidth="1"/>
    <col min="22" max="16384" width="9" style="295"/>
  </cols>
  <sheetData>
    <row r="1" spans="1:21" ht="18.75">
      <c r="A1" s="521" t="s">
        <v>884</v>
      </c>
    </row>
    <row r="3" spans="1:21" s="296" customFormat="1" ht="14.25">
      <c r="A3" s="1526" t="s">
        <v>851</v>
      </c>
      <c r="B3" s="1526" t="s">
        <v>852</v>
      </c>
      <c r="C3" s="1526" t="s">
        <v>853</v>
      </c>
      <c r="D3" s="1526" t="s">
        <v>854</v>
      </c>
      <c r="E3" s="1539" t="s">
        <v>855</v>
      </c>
      <c r="F3" s="1540"/>
      <c r="G3" s="1540"/>
      <c r="H3" s="1540"/>
      <c r="I3" s="1540"/>
      <c r="J3" s="1540"/>
      <c r="K3" s="1540"/>
      <c r="L3" s="1540"/>
      <c r="M3" s="1540"/>
      <c r="N3" s="1540"/>
      <c r="O3" s="1540"/>
      <c r="P3" s="1540"/>
      <c r="Q3" s="1540"/>
      <c r="R3" s="1540"/>
      <c r="S3" s="1540"/>
      <c r="T3" s="1540"/>
      <c r="U3" s="1541"/>
    </row>
    <row r="4" spans="1:21" s="296" customFormat="1" ht="15.75" customHeight="1">
      <c r="A4" s="1526"/>
      <c r="B4" s="1526"/>
      <c r="C4" s="1526"/>
      <c r="D4" s="1526"/>
      <c r="E4" s="1542" t="s">
        <v>885</v>
      </c>
      <c r="F4" s="1534" t="s">
        <v>886</v>
      </c>
      <c r="G4" s="1534" t="s">
        <v>887</v>
      </c>
      <c r="H4" s="1534" t="s">
        <v>888</v>
      </c>
      <c r="I4" s="1534" t="s">
        <v>889</v>
      </c>
      <c r="J4" s="1534" t="s">
        <v>890</v>
      </c>
      <c r="K4" s="1534" t="s">
        <v>891</v>
      </c>
      <c r="L4" s="1534" t="s">
        <v>892</v>
      </c>
      <c r="M4" s="1534" t="s">
        <v>893</v>
      </c>
      <c r="N4" s="1534" t="s">
        <v>894</v>
      </c>
      <c r="O4" s="1534" t="s">
        <v>895</v>
      </c>
      <c r="P4" s="1534" t="s">
        <v>896</v>
      </c>
      <c r="Q4" s="1534" t="s">
        <v>897</v>
      </c>
      <c r="R4" s="1534" t="s">
        <v>898</v>
      </c>
      <c r="S4" s="1534" t="s">
        <v>899</v>
      </c>
      <c r="T4" s="1534" t="s">
        <v>900</v>
      </c>
      <c r="U4" s="1537" t="s">
        <v>901</v>
      </c>
    </row>
    <row r="5" spans="1:21" s="296" customFormat="1" ht="15.75" customHeight="1">
      <c r="A5" s="1526"/>
      <c r="B5" s="1526"/>
      <c r="C5" s="1526"/>
      <c r="D5" s="1526"/>
      <c r="E5" s="1543"/>
      <c r="F5" s="1535"/>
      <c r="G5" s="1535"/>
      <c r="H5" s="1535"/>
      <c r="I5" s="1535"/>
      <c r="J5" s="1535"/>
      <c r="K5" s="1535"/>
      <c r="L5" s="1535"/>
      <c r="M5" s="1535"/>
      <c r="N5" s="1535"/>
      <c r="O5" s="1535"/>
      <c r="P5" s="1535"/>
      <c r="Q5" s="1535"/>
      <c r="R5" s="1535"/>
      <c r="S5" s="1535"/>
      <c r="T5" s="1535"/>
      <c r="U5" s="1538"/>
    </row>
    <row r="6" spans="1:21" s="296" customFormat="1" ht="15.75" customHeight="1">
      <c r="A6" s="1524"/>
      <c r="B6" s="1524"/>
      <c r="C6" s="1524"/>
      <c r="D6" s="1524"/>
      <c r="E6" s="1407"/>
      <c r="F6" s="1536"/>
      <c r="G6" s="1536"/>
      <c r="H6" s="1536"/>
      <c r="I6" s="1536"/>
      <c r="J6" s="1536"/>
      <c r="K6" s="1536"/>
      <c r="L6" s="1536"/>
      <c r="M6" s="1536"/>
      <c r="N6" s="1536"/>
      <c r="O6" s="1536"/>
      <c r="P6" s="1536"/>
      <c r="Q6" s="1536"/>
      <c r="R6" s="1536"/>
      <c r="S6" s="1536"/>
      <c r="T6" s="1536"/>
      <c r="U6" s="1408"/>
    </row>
    <row r="7" spans="1:21" s="296" customFormat="1" ht="3.75" customHeight="1">
      <c r="A7" s="524"/>
      <c r="B7" s="525"/>
      <c r="C7" s="525"/>
      <c r="D7" s="525"/>
      <c r="E7" s="339"/>
      <c r="F7" s="339"/>
      <c r="G7" s="339"/>
      <c r="H7" s="339"/>
      <c r="I7" s="339"/>
      <c r="J7" s="339"/>
      <c r="K7" s="339"/>
      <c r="L7" s="339"/>
      <c r="M7" s="339"/>
      <c r="N7" s="339"/>
      <c r="O7" s="339"/>
      <c r="P7" s="339"/>
      <c r="Q7" s="339"/>
      <c r="R7" s="339"/>
      <c r="S7" s="339"/>
      <c r="T7" s="339"/>
      <c r="U7" s="339"/>
    </row>
    <row r="8" spans="1:21" s="296" customFormat="1" ht="24" customHeight="1">
      <c r="A8" s="1524" t="s">
        <v>178</v>
      </c>
      <c r="B8" s="1524" t="s">
        <v>902</v>
      </c>
      <c r="C8" s="1530" t="s">
        <v>903</v>
      </c>
      <c r="D8" s="526" t="s">
        <v>876</v>
      </c>
      <c r="E8" s="1527"/>
      <c r="F8" s="1528">
        <v>0.63</v>
      </c>
      <c r="G8" s="1528">
        <v>0.48510000000000003</v>
      </c>
      <c r="H8" s="1528">
        <v>0.417186</v>
      </c>
      <c r="I8" s="1528">
        <v>0.39632669999999998</v>
      </c>
      <c r="J8" s="1528">
        <v>0.352730763</v>
      </c>
      <c r="K8" s="1528">
        <v>0.32451230196000003</v>
      </c>
      <c r="L8" s="1528">
        <v>0.308286686862</v>
      </c>
      <c r="M8" s="1528">
        <v>0.29287235251889998</v>
      </c>
      <c r="N8" s="1528">
        <v>0.28115745841814399</v>
      </c>
      <c r="O8" s="1528">
        <v>0.27272273466559965</v>
      </c>
      <c r="P8" s="1528">
        <v>0.26999550731894367</v>
      </c>
      <c r="Q8" s="1528">
        <v>0.25919568702618589</v>
      </c>
      <c r="R8" s="1528">
        <v>0.25141981641540029</v>
      </c>
      <c r="S8" s="1528">
        <v>0.24639142008709228</v>
      </c>
      <c r="T8" s="1528">
        <v>0.24392750588622136</v>
      </c>
      <c r="U8" s="1522">
        <v>0.24148823082735915</v>
      </c>
    </row>
    <row r="9" spans="1:21" s="296" customFormat="1" ht="24" customHeight="1">
      <c r="A9" s="1532"/>
      <c r="B9" s="1525"/>
      <c r="C9" s="1531"/>
      <c r="D9" s="528" t="s">
        <v>877</v>
      </c>
      <c r="E9" s="1527"/>
      <c r="F9" s="1529"/>
      <c r="G9" s="1529"/>
      <c r="H9" s="1529"/>
      <c r="I9" s="1529"/>
      <c r="J9" s="1529"/>
      <c r="K9" s="1529"/>
      <c r="L9" s="1529"/>
      <c r="M9" s="1529"/>
      <c r="N9" s="1529"/>
      <c r="O9" s="1529"/>
      <c r="P9" s="1529"/>
      <c r="Q9" s="1529"/>
      <c r="R9" s="1529"/>
      <c r="S9" s="1529"/>
      <c r="T9" s="1529"/>
      <c r="U9" s="1523"/>
    </row>
    <row r="10" spans="1:21" s="296" customFormat="1" ht="24" customHeight="1">
      <c r="A10" s="1532"/>
      <c r="B10" s="1524" t="s">
        <v>904</v>
      </c>
      <c r="C10" s="1530" t="s">
        <v>903</v>
      </c>
      <c r="D10" s="526" t="s">
        <v>876</v>
      </c>
      <c r="E10" s="1527"/>
      <c r="F10" s="1519"/>
      <c r="G10" s="1528">
        <v>0.77</v>
      </c>
      <c r="H10" s="1528">
        <v>0.66220000000000001</v>
      </c>
      <c r="I10" s="1528">
        <v>0.62908999999999993</v>
      </c>
      <c r="J10" s="1528">
        <v>0.55989009999999995</v>
      </c>
      <c r="K10" s="1528">
        <v>0.51509889199999992</v>
      </c>
      <c r="L10" s="1528">
        <v>0.48934394739999992</v>
      </c>
      <c r="M10" s="1528">
        <v>0.4648767500299999</v>
      </c>
      <c r="N10" s="1528">
        <v>0.44628168002879987</v>
      </c>
      <c r="O10" s="1528">
        <v>0.43289322962793586</v>
      </c>
      <c r="P10" s="1528">
        <v>0.42856429733165652</v>
      </c>
      <c r="Q10" s="1528">
        <v>0.41142172543839023</v>
      </c>
      <c r="R10" s="1528">
        <v>0.39907907367523854</v>
      </c>
      <c r="S10" s="1528">
        <v>0.39109749220173379</v>
      </c>
      <c r="T10" s="1528">
        <v>0.38718651727971642</v>
      </c>
      <c r="U10" s="1522">
        <v>0.38331465210691923</v>
      </c>
    </row>
    <row r="11" spans="1:21" s="296" customFormat="1" ht="24" customHeight="1">
      <c r="A11" s="1532"/>
      <c r="B11" s="1525"/>
      <c r="C11" s="1531"/>
      <c r="D11" s="528" t="s">
        <v>877</v>
      </c>
      <c r="E11" s="1527"/>
      <c r="F11" s="1519"/>
      <c r="G11" s="1529"/>
      <c r="H11" s="1529"/>
      <c r="I11" s="1529"/>
      <c r="J11" s="1529"/>
      <c r="K11" s="1529"/>
      <c r="L11" s="1529"/>
      <c r="M11" s="1529"/>
      <c r="N11" s="1529"/>
      <c r="O11" s="1529"/>
      <c r="P11" s="1529"/>
      <c r="Q11" s="1529"/>
      <c r="R11" s="1529"/>
      <c r="S11" s="1529"/>
      <c r="T11" s="1529"/>
      <c r="U11" s="1523"/>
    </row>
    <row r="12" spans="1:21" s="296" customFormat="1" ht="24" customHeight="1">
      <c r="A12" s="1532"/>
      <c r="B12" s="1524" t="s">
        <v>905</v>
      </c>
      <c r="C12" s="1530" t="s">
        <v>903</v>
      </c>
      <c r="D12" s="526" t="s">
        <v>876</v>
      </c>
      <c r="E12" s="1527"/>
      <c r="F12" s="1519"/>
      <c r="G12" s="1519"/>
      <c r="H12" s="1528">
        <v>0.86</v>
      </c>
      <c r="I12" s="1528">
        <v>0.81699999999999995</v>
      </c>
      <c r="J12" s="1528">
        <v>0.72712999999999994</v>
      </c>
      <c r="K12" s="1528">
        <v>0.66895959999999999</v>
      </c>
      <c r="L12" s="1528">
        <v>0.63551161999999994</v>
      </c>
      <c r="M12" s="1528">
        <v>0.60373603899999995</v>
      </c>
      <c r="N12" s="1528">
        <v>0.57958659743999996</v>
      </c>
      <c r="O12" s="1528">
        <v>0.56219899951679997</v>
      </c>
      <c r="P12" s="1528">
        <v>0.55657700952163192</v>
      </c>
      <c r="Q12" s="1528">
        <v>0.53431392914076659</v>
      </c>
      <c r="R12" s="1528">
        <v>0.51828451126654362</v>
      </c>
      <c r="S12" s="1528">
        <v>0.50791882104121278</v>
      </c>
      <c r="T12" s="1528">
        <v>0.50283963283080069</v>
      </c>
      <c r="U12" s="1522">
        <v>0.49781123650249265</v>
      </c>
    </row>
    <row r="13" spans="1:21" s="296" customFormat="1" ht="24" customHeight="1">
      <c r="A13" s="1532"/>
      <c r="B13" s="1525"/>
      <c r="C13" s="1531"/>
      <c r="D13" s="528" t="s">
        <v>877</v>
      </c>
      <c r="E13" s="1527"/>
      <c r="F13" s="1519"/>
      <c r="G13" s="1519"/>
      <c r="H13" s="1529"/>
      <c r="I13" s="1529"/>
      <c r="J13" s="1529"/>
      <c r="K13" s="1529"/>
      <c r="L13" s="1529"/>
      <c r="M13" s="1529"/>
      <c r="N13" s="1529"/>
      <c r="O13" s="1529"/>
      <c r="P13" s="1529"/>
      <c r="Q13" s="1529"/>
      <c r="R13" s="1529"/>
      <c r="S13" s="1529"/>
      <c r="T13" s="1529"/>
      <c r="U13" s="1523"/>
    </row>
    <row r="14" spans="1:21" s="296" customFormat="1" ht="24" customHeight="1">
      <c r="A14" s="1532"/>
      <c r="B14" s="1524" t="s">
        <v>906</v>
      </c>
      <c r="C14" s="1530" t="s">
        <v>903</v>
      </c>
      <c r="D14" s="526" t="s">
        <v>876</v>
      </c>
      <c r="E14" s="1527"/>
      <c r="F14" s="1519"/>
      <c r="G14" s="1519"/>
      <c r="H14" s="1519"/>
      <c r="I14" s="1528">
        <v>0.95</v>
      </c>
      <c r="J14" s="1528">
        <v>0.84549999999999992</v>
      </c>
      <c r="K14" s="1528">
        <v>0.77786</v>
      </c>
      <c r="L14" s="1528">
        <v>0.73896699999999993</v>
      </c>
      <c r="M14" s="1528">
        <v>0.70201864999999986</v>
      </c>
      <c r="N14" s="1528">
        <v>0.67393790399999987</v>
      </c>
      <c r="O14" s="1528">
        <v>0.65371976687999989</v>
      </c>
      <c r="P14" s="1528">
        <v>0.64718256921119988</v>
      </c>
      <c r="Q14" s="1528">
        <v>0.6212952664427519</v>
      </c>
      <c r="R14" s="1528">
        <v>0.60265640844946933</v>
      </c>
      <c r="S14" s="1528">
        <v>0.59060328028047993</v>
      </c>
      <c r="T14" s="1528">
        <v>0.58469724747767515</v>
      </c>
      <c r="U14" s="1522">
        <v>0.57885027500289843</v>
      </c>
    </row>
    <row r="15" spans="1:21" s="296" customFormat="1" ht="24" customHeight="1">
      <c r="A15" s="1532"/>
      <c r="B15" s="1525"/>
      <c r="C15" s="1531"/>
      <c r="D15" s="528" t="s">
        <v>877</v>
      </c>
      <c r="E15" s="1527"/>
      <c r="F15" s="1519"/>
      <c r="G15" s="1519"/>
      <c r="H15" s="1519"/>
      <c r="I15" s="1529"/>
      <c r="J15" s="1529"/>
      <c r="K15" s="1529"/>
      <c r="L15" s="1529"/>
      <c r="M15" s="1529"/>
      <c r="N15" s="1529"/>
      <c r="O15" s="1529"/>
      <c r="P15" s="1529"/>
      <c r="Q15" s="1529"/>
      <c r="R15" s="1529"/>
      <c r="S15" s="1529"/>
      <c r="T15" s="1529"/>
      <c r="U15" s="1523"/>
    </row>
    <row r="16" spans="1:21" s="296" customFormat="1" ht="24" customHeight="1">
      <c r="A16" s="1532"/>
      <c r="B16" s="1524" t="s">
        <v>907</v>
      </c>
      <c r="C16" s="1530" t="s">
        <v>903</v>
      </c>
      <c r="D16" s="526" t="s">
        <v>876</v>
      </c>
      <c r="E16" s="1527"/>
      <c r="F16" s="1519"/>
      <c r="G16" s="1519"/>
      <c r="H16" s="1519"/>
      <c r="I16" s="1519"/>
      <c r="J16" s="1528">
        <v>0.89</v>
      </c>
      <c r="K16" s="1528">
        <v>0.81880000000000008</v>
      </c>
      <c r="L16" s="1528">
        <v>0.77786</v>
      </c>
      <c r="M16" s="1528">
        <v>0.73896699999999993</v>
      </c>
      <c r="N16" s="1528">
        <v>0.70940831999999987</v>
      </c>
      <c r="O16" s="1528">
        <v>0.68812607039999985</v>
      </c>
      <c r="P16" s="1528">
        <v>0.68124480969599988</v>
      </c>
      <c r="Q16" s="1528">
        <v>0.6539950173081599</v>
      </c>
      <c r="R16" s="1528">
        <v>0.63437516678891503</v>
      </c>
      <c r="S16" s="1528">
        <v>0.62168766345313675</v>
      </c>
      <c r="T16" s="1528">
        <v>0.61547078681860534</v>
      </c>
      <c r="U16" s="1522">
        <v>0.60931607895041928</v>
      </c>
    </row>
    <row r="17" spans="1:21" s="296" customFormat="1" ht="24" customHeight="1">
      <c r="A17" s="1532"/>
      <c r="B17" s="1525"/>
      <c r="C17" s="1531"/>
      <c r="D17" s="528" t="s">
        <v>877</v>
      </c>
      <c r="E17" s="1527"/>
      <c r="F17" s="1519"/>
      <c r="G17" s="1519"/>
      <c r="H17" s="1519"/>
      <c r="I17" s="1519"/>
      <c r="J17" s="1529"/>
      <c r="K17" s="1529"/>
      <c r="L17" s="1529"/>
      <c r="M17" s="1529"/>
      <c r="N17" s="1529"/>
      <c r="O17" s="1529"/>
      <c r="P17" s="1529"/>
      <c r="Q17" s="1529"/>
      <c r="R17" s="1529"/>
      <c r="S17" s="1529"/>
      <c r="T17" s="1529"/>
      <c r="U17" s="1523"/>
    </row>
    <row r="18" spans="1:21" s="296" customFormat="1" ht="24" customHeight="1">
      <c r="A18" s="1532"/>
      <c r="B18" s="1524" t="s">
        <v>908</v>
      </c>
      <c r="C18" s="1530" t="s">
        <v>903</v>
      </c>
      <c r="D18" s="526" t="s">
        <v>876</v>
      </c>
      <c r="E18" s="1527"/>
      <c r="F18" s="1519"/>
      <c r="G18" s="1519"/>
      <c r="H18" s="1519"/>
      <c r="I18" s="1519"/>
      <c r="J18" s="1519"/>
      <c r="K18" s="1528">
        <v>0.92</v>
      </c>
      <c r="L18" s="1528">
        <v>0.874</v>
      </c>
      <c r="M18" s="1528">
        <v>0.83029999999999993</v>
      </c>
      <c r="N18" s="1528">
        <v>0.79708799999999991</v>
      </c>
      <c r="O18" s="1528">
        <v>0.77317535999999987</v>
      </c>
      <c r="P18" s="1528">
        <v>0.76544360639999987</v>
      </c>
      <c r="Q18" s="1528">
        <v>0.73482586214399981</v>
      </c>
      <c r="R18" s="1528">
        <v>0.71278108627967984</v>
      </c>
      <c r="S18" s="1528">
        <v>0.69852546455408626</v>
      </c>
      <c r="T18" s="1528">
        <v>0.69154020990854537</v>
      </c>
      <c r="U18" s="1522">
        <v>0.68462480780945989</v>
      </c>
    </row>
    <row r="19" spans="1:21" s="296" customFormat="1" ht="24" customHeight="1">
      <c r="A19" s="1532"/>
      <c r="B19" s="1525"/>
      <c r="C19" s="1531"/>
      <c r="D19" s="528" t="s">
        <v>877</v>
      </c>
      <c r="E19" s="1527"/>
      <c r="F19" s="1519"/>
      <c r="G19" s="1519"/>
      <c r="H19" s="1519"/>
      <c r="I19" s="1519"/>
      <c r="J19" s="1519"/>
      <c r="K19" s="1529"/>
      <c r="L19" s="1529"/>
      <c r="M19" s="1529"/>
      <c r="N19" s="1529"/>
      <c r="O19" s="1529"/>
      <c r="P19" s="1529"/>
      <c r="Q19" s="1529"/>
      <c r="R19" s="1529"/>
      <c r="S19" s="1529"/>
      <c r="T19" s="1529"/>
      <c r="U19" s="1523"/>
    </row>
    <row r="20" spans="1:21" s="296" customFormat="1" ht="24" customHeight="1">
      <c r="A20" s="1532"/>
      <c r="B20" s="1524" t="s">
        <v>909</v>
      </c>
      <c r="C20" s="1530" t="s">
        <v>903</v>
      </c>
      <c r="D20" s="526" t="s">
        <v>876</v>
      </c>
      <c r="E20" s="1527"/>
      <c r="F20" s="1519"/>
      <c r="G20" s="1519"/>
      <c r="H20" s="1519"/>
      <c r="I20" s="1519"/>
      <c r="J20" s="1519"/>
      <c r="K20" s="1519"/>
      <c r="L20" s="1528">
        <v>0.95</v>
      </c>
      <c r="M20" s="1528">
        <v>0.90249999999999997</v>
      </c>
      <c r="N20" s="1528">
        <v>0.86639999999999995</v>
      </c>
      <c r="O20" s="1528">
        <v>0.84040799999999993</v>
      </c>
      <c r="P20" s="1528">
        <v>0.8320039199999999</v>
      </c>
      <c r="Q20" s="1528">
        <v>0.79872376319999983</v>
      </c>
      <c r="R20" s="1528">
        <v>0.77476205030399981</v>
      </c>
      <c r="S20" s="1528">
        <v>0.75926680929791979</v>
      </c>
      <c r="T20" s="1528">
        <v>0.75167414120494058</v>
      </c>
      <c r="U20" s="1522">
        <v>0.74415739979289119</v>
      </c>
    </row>
    <row r="21" spans="1:21" s="296" customFormat="1" ht="24" customHeight="1">
      <c r="A21" s="1532"/>
      <c r="B21" s="1525"/>
      <c r="C21" s="1531"/>
      <c r="D21" s="528" t="s">
        <v>877</v>
      </c>
      <c r="E21" s="1527"/>
      <c r="F21" s="1519"/>
      <c r="G21" s="1519"/>
      <c r="H21" s="1519"/>
      <c r="I21" s="1519"/>
      <c r="J21" s="1519"/>
      <c r="K21" s="1519"/>
      <c r="L21" s="1529"/>
      <c r="M21" s="1529"/>
      <c r="N21" s="1529"/>
      <c r="O21" s="1529"/>
      <c r="P21" s="1529"/>
      <c r="Q21" s="1529"/>
      <c r="R21" s="1529"/>
      <c r="S21" s="1529"/>
      <c r="T21" s="1529"/>
      <c r="U21" s="1523"/>
    </row>
    <row r="22" spans="1:21" s="296" customFormat="1" ht="24" customHeight="1">
      <c r="A22" s="1532"/>
      <c r="B22" s="1524" t="s">
        <v>910</v>
      </c>
      <c r="C22" s="1530" t="s">
        <v>903</v>
      </c>
      <c r="D22" s="526" t="s">
        <v>876</v>
      </c>
      <c r="E22" s="1527"/>
      <c r="F22" s="1519"/>
      <c r="G22" s="1519"/>
      <c r="H22" s="1519"/>
      <c r="I22" s="1519"/>
      <c r="J22" s="1519"/>
      <c r="K22" s="1519"/>
      <c r="L22" s="1519"/>
      <c r="M22" s="1528">
        <v>0.95</v>
      </c>
      <c r="N22" s="1528">
        <v>0.91199999999999992</v>
      </c>
      <c r="O22" s="1528">
        <v>0.88463999999999987</v>
      </c>
      <c r="P22" s="1528">
        <v>0.87579359999999984</v>
      </c>
      <c r="Q22" s="1528">
        <v>0.84076185599999986</v>
      </c>
      <c r="R22" s="1528">
        <v>0.81553900031999982</v>
      </c>
      <c r="S22" s="1528">
        <v>0.79922822031359986</v>
      </c>
      <c r="T22" s="1528">
        <v>0.79123593811046389</v>
      </c>
      <c r="U22" s="1522">
        <v>0.7833235787293592</v>
      </c>
    </row>
    <row r="23" spans="1:21" s="296" customFormat="1" ht="24" customHeight="1">
      <c r="A23" s="1532"/>
      <c r="B23" s="1525"/>
      <c r="C23" s="1531"/>
      <c r="D23" s="528" t="s">
        <v>877</v>
      </c>
      <c r="E23" s="1527"/>
      <c r="F23" s="1519"/>
      <c r="G23" s="1519"/>
      <c r="H23" s="1519"/>
      <c r="I23" s="1519"/>
      <c r="J23" s="1519"/>
      <c r="K23" s="1519"/>
      <c r="L23" s="1519"/>
      <c r="M23" s="1529"/>
      <c r="N23" s="1529"/>
      <c r="O23" s="1529"/>
      <c r="P23" s="1529"/>
      <c r="Q23" s="1529"/>
      <c r="R23" s="1529"/>
      <c r="S23" s="1529"/>
      <c r="T23" s="1529"/>
      <c r="U23" s="1523"/>
    </row>
    <row r="24" spans="1:21" s="296" customFormat="1" ht="24" customHeight="1">
      <c r="A24" s="1532"/>
      <c r="B24" s="1524" t="s">
        <v>911</v>
      </c>
      <c r="C24" s="1530" t="s">
        <v>903</v>
      </c>
      <c r="D24" s="526" t="s">
        <v>876</v>
      </c>
      <c r="E24" s="1527"/>
      <c r="F24" s="1519"/>
      <c r="G24" s="1519"/>
      <c r="H24" s="1519"/>
      <c r="I24" s="1519"/>
      <c r="J24" s="1519"/>
      <c r="K24" s="1519"/>
      <c r="L24" s="1519"/>
      <c r="M24" s="1519"/>
      <c r="N24" s="1528">
        <v>0.96</v>
      </c>
      <c r="O24" s="1528">
        <v>0.93119999999999992</v>
      </c>
      <c r="P24" s="1528">
        <v>0.92188799999999993</v>
      </c>
      <c r="Q24" s="1528">
        <v>0.88501247999999988</v>
      </c>
      <c r="R24" s="1528">
        <v>0.85846210559999991</v>
      </c>
      <c r="S24" s="1528">
        <v>0.84129286348799992</v>
      </c>
      <c r="T24" s="1528">
        <v>0.83287993485311995</v>
      </c>
      <c r="U24" s="1522">
        <v>0.82455113550458869</v>
      </c>
    </row>
    <row r="25" spans="1:21" s="296" customFormat="1" ht="24" customHeight="1">
      <c r="A25" s="1532"/>
      <c r="B25" s="1525"/>
      <c r="C25" s="1531"/>
      <c r="D25" s="528" t="s">
        <v>877</v>
      </c>
      <c r="E25" s="1527"/>
      <c r="F25" s="1519"/>
      <c r="G25" s="1519"/>
      <c r="H25" s="1519"/>
      <c r="I25" s="1519"/>
      <c r="J25" s="1519"/>
      <c r="K25" s="1519"/>
      <c r="L25" s="1519"/>
      <c r="M25" s="1519"/>
      <c r="N25" s="1529"/>
      <c r="O25" s="1529"/>
      <c r="P25" s="1529"/>
      <c r="Q25" s="1529"/>
      <c r="R25" s="1529"/>
      <c r="S25" s="1529"/>
      <c r="T25" s="1529"/>
      <c r="U25" s="1523"/>
    </row>
    <row r="26" spans="1:21" s="296" customFormat="1" ht="24" customHeight="1">
      <c r="A26" s="1532"/>
      <c r="B26" s="1524" t="s">
        <v>912</v>
      </c>
      <c r="C26" s="1530" t="s">
        <v>903</v>
      </c>
      <c r="D26" s="526" t="s">
        <v>876</v>
      </c>
      <c r="E26" s="1527"/>
      <c r="F26" s="1519"/>
      <c r="G26" s="1519"/>
      <c r="H26" s="1519"/>
      <c r="I26" s="1519"/>
      <c r="J26" s="1519"/>
      <c r="K26" s="1519"/>
      <c r="L26" s="1519"/>
      <c r="M26" s="1519"/>
      <c r="N26" s="1519"/>
      <c r="O26" s="1528">
        <v>0.97</v>
      </c>
      <c r="P26" s="1528">
        <v>0.96029999999999993</v>
      </c>
      <c r="Q26" s="1528">
        <v>0.92188799999999993</v>
      </c>
      <c r="R26" s="1528">
        <v>0.89423135999999992</v>
      </c>
      <c r="S26" s="1528">
        <v>0.87634673279999986</v>
      </c>
      <c r="T26" s="1528">
        <v>0.86758326547199982</v>
      </c>
      <c r="U26" s="1522">
        <v>0.85890743281727977</v>
      </c>
    </row>
    <row r="27" spans="1:21" s="296" customFormat="1" ht="24" customHeight="1">
      <c r="A27" s="1532"/>
      <c r="B27" s="1525"/>
      <c r="C27" s="1531"/>
      <c r="D27" s="528" t="s">
        <v>877</v>
      </c>
      <c r="E27" s="1527"/>
      <c r="F27" s="1519"/>
      <c r="G27" s="1519"/>
      <c r="H27" s="1519"/>
      <c r="I27" s="1519"/>
      <c r="J27" s="1519"/>
      <c r="K27" s="1519"/>
      <c r="L27" s="1519"/>
      <c r="M27" s="1519"/>
      <c r="N27" s="1519"/>
      <c r="O27" s="1529"/>
      <c r="P27" s="1529"/>
      <c r="Q27" s="1529"/>
      <c r="R27" s="1529"/>
      <c r="S27" s="1529"/>
      <c r="T27" s="1529"/>
      <c r="U27" s="1523"/>
    </row>
    <row r="28" spans="1:21" s="296" customFormat="1" ht="24" customHeight="1">
      <c r="A28" s="1532"/>
      <c r="B28" s="1524" t="s">
        <v>913</v>
      </c>
      <c r="C28" s="1530" t="s">
        <v>903</v>
      </c>
      <c r="D28" s="526" t="s">
        <v>876</v>
      </c>
      <c r="E28" s="1527"/>
      <c r="F28" s="1519"/>
      <c r="G28" s="1519"/>
      <c r="H28" s="1519"/>
      <c r="I28" s="1519"/>
      <c r="J28" s="1519"/>
      <c r="K28" s="1519"/>
      <c r="L28" s="1519"/>
      <c r="M28" s="1519"/>
      <c r="N28" s="1519"/>
      <c r="O28" s="1519"/>
      <c r="P28" s="1528">
        <v>0.99</v>
      </c>
      <c r="Q28" s="1528">
        <v>0.95039999999999991</v>
      </c>
      <c r="R28" s="1528">
        <v>0.92188799999999993</v>
      </c>
      <c r="S28" s="1528">
        <v>0.90345023999999996</v>
      </c>
      <c r="T28" s="1528">
        <v>0.89441573759999993</v>
      </c>
      <c r="U28" s="1522">
        <v>0.88547158022399997</v>
      </c>
    </row>
    <row r="29" spans="1:21" s="296" customFormat="1" ht="24" customHeight="1">
      <c r="A29" s="1532"/>
      <c r="B29" s="1525"/>
      <c r="C29" s="1531"/>
      <c r="D29" s="528" t="s">
        <v>877</v>
      </c>
      <c r="E29" s="1527"/>
      <c r="F29" s="1519"/>
      <c r="G29" s="1519"/>
      <c r="H29" s="1519"/>
      <c r="I29" s="1519"/>
      <c r="J29" s="1519"/>
      <c r="K29" s="1519"/>
      <c r="L29" s="1519"/>
      <c r="M29" s="1519"/>
      <c r="N29" s="1519"/>
      <c r="O29" s="1519"/>
      <c r="P29" s="1529"/>
      <c r="Q29" s="1529"/>
      <c r="R29" s="1529"/>
      <c r="S29" s="1529"/>
      <c r="T29" s="1529"/>
      <c r="U29" s="1523"/>
    </row>
    <row r="30" spans="1:21" s="296" customFormat="1" ht="24" customHeight="1">
      <c r="A30" s="1532"/>
      <c r="B30" s="1524" t="s">
        <v>914</v>
      </c>
      <c r="C30" s="1530" t="s">
        <v>903</v>
      </c>
      <c r="D30" s="526" t="s">
        <v>876</v>
      </c>
      <c r="E30" s="1527"/>
      <c r="F30" s="1519"/>
      <c r="G30" s="1519"/>
      <c r="H30" s="1519"/>
      <c r="I30" s="1519"/>
      <c r="J30" s="1519"/>
      <c r="K30" s="1519"/>
      <c r="L30" s="1519"/>
      <c r="M30" s="1519"/>
      <c r="N30" s="1519"/>
      <c r="O30" s="1519"/>
      <c r="P30" s="1519"/>
      <c r="Q30" s="1528">
        <v>0.96</v>
      </c>
      <c r="R30" s="1528">
        <v>0.93119999999999992</v>
      </c>
      <c r="S30" s="1528">
        <v>0.91257599999999994</v>
      </c>
      <c r="T30" s="1528">
        <v>0.90345023999999996</v>
      </c>
      <c r="U30" s="1522">
        <v>0.89441573759999993</v>
      </c>
    </row>
    <row r="31" spans="1:21" s="296" customFormat="1" ht="24" customHeight="1">
      <c r="A31" s="1532"/>
      <c r="B31" s="1525"/>
      <c r="C31" s="1531"/>
      <c r="D31" s="528" t="s">
        <v>877</v>
      </c>
      <c r="E31" s="1527"/>
      <c r="F31" s="1519"/>
      <c r="G31" s="1519"/>
      <c r="H31" s="1519"/>
      <c r="I31" s="1519"/>
      <c r="J31" s="1519"/>
      <c r="K31" s="1519"/>
      <c r="L31" s="1519"/>
      <c r="M31" s="1519"/>
      <c r="N31" s="1519"/>
      <c r="O31" s="1519"/>
      <c r="P31" s="1519"/>
      <c r="Q31" s="1529"/>
      <c r="R31" s="1529"/>
      <c r="S31" s="1529"/>
      <c r="T31" s="1529"/>
      <c r="U31" s="1523"/>
    </row>
    <row r="32" spans="1:21" s="296" customFormat="1" ht="24" customHeight="1">
      <c r="A32" s="1532"/>
      <c r="B32" s="1524" t="s">
        <v>915</v>
      </c>
      <c r="C32" s="1530" t="s">
        <v>903</v>
      </c>
      <c r="D32" s="526" t="s">
        <v>876</v>
      </c>
      <c r="E32" s="1527"/>
      <c r="F32" s="1519"/>
      <c r="G32" s="1519"/>
      <c r="H32" s="1519"/>
      <c r="I32" s="1519"/>
      <c r="J32" s="1519"/>
      <c r="K32" s="1519"/>
      <c r="L32" s="1519"/>
      <c r="M32" s="1519"/>
      <c r="N32" s="1519"/>
      <c r="O32" s="1519"/>
      <c r="P32" s="1519"/>
      <c r="Q32" s="1519"/>
      <c r="R32" s="1528">
        <v>0.97</v>
      </c>
      <c r="S32" s="1528">
        <v>0.9506</v>
      </c>
      <c r="T32" s="1528">
        <v>0.94109399999999999</v>
      </c>
      <c r="U32" s="1522">
        <v>0.93168306000000001</v>
      </c>
    </row>
    <row r="33" spans="1:21" s="296" customFormat="1" ht="24" customHeight="1">
      <c r="A33" s="1532"/>
      <c r="B33" s="1525"/>
      <c r="C33" s="1531"/>
      <c r="D33" s="528" t="s">
        <v>877</v>
      </c>
      <c r="E33" s="1527"/>
      <c r="F33" s="1519"/>
      <c r="G33" s="1519"/>
      <c r="H33" s="1519"/>
      <c r="I33" s="1519"/>
      <c r="J33" s="1519"/>
      <c r="K33" s="1519"/>
      <c r="L33" s="1519"/>
      <c r="M33" s="1519"/>
      <c r="N33" s="1519"/>
      <c r="O33" s="1519"/>
      <c r="P33" s="1519"/>
      <c r="Q33" s="1519"/>
      <c r="R33" s="1529"/>
      <c r="S33" s="1529"/>
      <c r="T33" s="1529"/>
      <c r="U33" s="1523"/>
    </row>
    <row r="34" spans="1:21" s="296" customFormat="1" ht="24" customHeight="1">
      <c r="A34" s="1532"/>
      <c r="B34" s="1524" t="s">
        <v>916</v>
      </c>
      <c r="C34" s="1530" t="s">
        <v>903</v>
      </c>
      <c r="D34" s="526" t="s">
        <v>876</v>
      </c>
      <c r="E34" s="1527"/>
      <c r="F34" s="1519"/>
      <c r="G34" s="1519"/>
      <c r="H34" s="1519"/>
      <c r="I34" s="1519"/>
      <c r="J34" s="1519"/>
      <c r="K34" s="1519"/>
      <c r="L34" s="1519"/>
      <c r="M34" s="1519"/>
      <c r="N34" s="1519"/>
      <c r="O34" s="1519"/>
      <c r="P34" s="1519"/>
      <c r="Q34" s="1519"/>
      <c r="R34" s="1519"/>
      <c r="S34" s="1528">
        <v>0.98</v>
      </c>
      <c r="T34" s="1528">
        <v>0.97019999999999995</v>
      </c>
      <c r="U34" s="1522">
        <v>0.96049799999999996</v>
      </c>
    </row>
    <row r="35" spans="1:21" s="296" customFormat="1" ht="24" customHeight="1">
      <c r="A35" s="1532"/>
      <c r="B35" s="1525"/>
      <c r="C35" s="1531"/>
      <c r="D35" s="528" t="s">
        <v>877</v>
      </c>
      <c r="E35" s="1527"/>
      <c r="F35" s="1519"/>
      <c r="G35" s="1519"/>
      <c r="H35" s="1519"/>
      <c r="I35" s="1519"/>
      <c r="J35" s="1519"/>
      <c r="K35" s="1519"/>
      <c r="L35" s="1519"/>
      <c r="M35" s="1519"/>
      <c r="N35" s="1519"/>
      <c r="O35" s="1519"/>
      <c r="P35" s="1519"/>
      <c r="Q35" s="1519"/>
      <c r="R35" s="1519"/>
      <c r="S35" s="1529"/>
      <c r="T35" s="1529"/>
      <c r="U35" s="1523"/>
    </row>
    <row r="36" spans="1:21" s="296" customFormat="1" ht="24" customHeight="1">
      <c r="A36" s="1532"/>
      <c r="B36" s="1524" t="s">
        <v>917</v>
      </c>
      <c r="C36" s="1530" t="s">
        <v>903</v>
      </c>
      <c r="D36" s="526" t="s">
        <v>876</v>
      </c>
      <c r="E36" s="1527"/>
      <c r="F36" s="1519"/>
      <c r="G36" s="1519"/>
      <c r="H36" s="1519"/>
      <c r="I36" s="1519"/>
      <c r="J36" s="1519"/>
      <c r="K36" s="1519"/>
      <c r="L36" s="1519"/>
      <c r="M36" s="1519"/>
      <c r="N36" s="1519"/>
      <c r="O36" s="1519"/>
      <c r="P36" s="1519"/>
      <c r="Q36" s="1519"/>
      <c r="R36" s="1519"/>
      <c r="S36" s="1519"/>
      <c r="T36" s="1528">
        <v>0.99</v>
      </c>
      <c r="U36" s="1522">
        <v>0.98009999999999997</v>
      </c>
    </row>
    <row r="37" spans="1:21" s="296" customFormat="1" ht="24" customHeight="1">
      <c r="A37" s="1532"/>
      <c r="B37" s="1525"/>
      <c r="C37" s="1531"/>
      <c r="D37" s="528" t="s">
        <v>877</v>
      </c>
      <c r="E37" s="1527"/>
      <c r="F37" s="1519"/>
      <c r="G37" s="1519"/>
      <c r="H37" s="1519"/>
      <c r="I37" s="1519"/>
      <c r="J37" s="1519"/>
      <c r="K37" s="1519"/>
      <c r="L37" s="1519"/>
      <c r="M37" s="1519"/>
      <c r="N37" s="1519"/>
      <c r="O37" s="1519"/>
      <c r="P37" s="1519"/>
      <c r="Q37" s="1519"/>
      <c r="R37" s="1519"/>
      <c r="S37" s="1519"/>
      <c r="T37" s="1529"/>
      <c r="U37" s="1523"/>
    </row>
    <row r="38" spans="1:21" s="296" customFormat="1" ht="24" customHeight="1">
      <c r="A38" s="1532"/>
      <c r="B38" s="1524" t="s">
        <v>918</v>
      </c>
      <c r="C38" s="1530" t="s">
        <v>903</v>
      </c>
      <c r="D38" s="526" t="s">
        <v>876</v>
      </c>
      <c r="E38" s="1527"/>
      <c r="F38" s="1519"/>
      <c r="G38" s="1519"/>
      <c r="H38" s="1519"/>
      <c r="I38" s="1519"/>
      <c r="J38" s="1519"/>
      <c r="K38" s="1519"/>
      <c r="L38" s="1519"/>
      <c r="M38" s="1519"/>
      <c r="N38" s="1519"/>
      <c r="O38" s="1519"/>
      <c r="P38" s="1519"/>
      <c r="Q38" s="1519"/>
      <c r="R38" s="1519"/>
      <c r="S38" s="1519"/>
      <c r="T38" s="1519"/>
      <c r="U38" s="1522">
        <v>0.99</v>
      </c>
    </row>
    <row r="39" spans="1:21" s="296" customFormat="1" ht="24" customHeight="1">
      <c r="A39" s="1532"/>
      <c r="B39" s="1525"/>
      <c r="C39" s="1531"/>
      <c r="D39" s="528" t="s">
        <v>877</v>
      </c>
      <c r="E39" s="1527"/>
      <c r="F39" s="1519"/>
      <c r="G39" s="1519"/>
      <c r="H39" s="1519"/>
      <c r="I39" s="1519"/>
      <c r="J39" s="1519"/>
      <c r="K39" s="1519"/>
      <c r="L39" s="1519"/>
      <c r="M39" s="1519"/>
      <c r="N39" s="1519"/>
      <c r="O39" s="1519"/>
      <c r="P39" s="1519"/>
      <c r="Q39" s="1519"/>
      <c r="R39" s="1519"/>
      <c r="S39" s="1519"/>
      <c r="T39" s="1519"/>
      <c r="U39" s="1523"/>
    </row>
    <row r="40" spans="1:21" s="296" customFormat="1" ht="24" customHeight="1">
      <c r="A40" s="1532"/>
      <c r="B40" s="1524" t="s">
        <v>224</v>
      </c>
      <c r="C40" s="1530" t="s">
        <v>903</v>
      </c>
      <c r="D40" s="526" t="s">
        <v>876</v>
      </c>
      <c r="E40" s="1527"/>
      <c r="F40" s="1519"/>
      <c r="G40" s="1519"/>
      <c r="H40" s="1519"/>
      <c r="I40" s="1519"/>
      <c r="J40" s="1519"/>
      <c r="K40" s="1519"/>
      <c r="L40" s="1519"/>
      <c r="M40" s="1519"/>
      <c r="N40" s="1519"/>
      <c r="O40" s="1519"/>
      <c r="P40" s="1519"/>
      <c r="Q40" s="1519"/>
      <c r="R40" s="1519"/>
      <c r="S40" s="1519"/>
      <c r="T40" s="1519"/>
      <c r="U40" s="1520"/>
    </row>
    <row r="41" spans="1:21" s="296" customFormat="1" ht="24" customHeight="1">
      <c r="A41" s="1525"/>
      <c r="B41" s="1525"/>
      <c r="C41" s="1533"/>
      <c r="D41" s="528" t="s">
        <v>877</v>
      </c>
      <c r="E41" s="1527"/>
      <c r="F41" s="1519"/>
      <c r="G41" s="1519"/>
      <c r="H41" s="1519"/>
      <c r="I41" s="1519"/>
      <c r="J41" s="1519"/>
      <c r="K41" s="1519"/>
      <c r="L41" s="1519"/>
      <c r="M41" s="1519"/>
      <c r="N41" s="1519"/>
      <c r="O41" s="1519"/>
      <c r="P41" s="1519"/>
      <c r="Q41" s="1519"/>
      <c r="R41" s="1519"/>
      <c r="S41" s="1519"/>
      <c r="T41" s="1519"/>
      <c r="U41" s="1521"/>
    </row>
    <row r="42" spans="1:21" s="296" customFormat="1" ht="24" customHeight="1">
      <c r="A42" s="1524" t="s">
        <v>226</v>
      </c>
      <c r="B42" s="1524" t="s">
        <v>902</v>
      </c>
      <c r="C42" s="1530" t="s">
        <v>903</v>
      </c>
      <c r="D42" s="526" t="s">
        <v>876</v>
      </c>
      <c r="E42" s="1527"/>
      <c r="F42" s="1528">
        <v>0.63</v>
      </c>
      <c r="G42" s="1528">
        <v>0.4914</v>
      </c>
      <c r="H42" s="1528">
        <v>0.42260399999999998</v>
      </c>
      <c r="I42" s="1528">
        <v>0.40147379999999994</v>
      </c>
      <c r="J42" s="1528">
        <v>0.35731168199999996</v>
      </c>
      <c r="K42" s="1528">
        <v>0.32872674743999997</v>
      </c>
      <c r="L42" s="1528">
        <v>0.31229041006799996</v>
      </c>
      <c r="M42" s="1528">
        <v>0.29667588956459995</v>
      </c>
      <c r="N42" s="1528">
        <v>0.28480885398201594</v>
      </c>
      <c r="O42" s="1528">
        <v>0.27626458836255546</v>
      </c>
      <c r="P42" s="1528">
        <v>0.27350194247892989</v>
      </c>
      <c r="Q42" s="1528">
        <v>0.26256186477977267</v>
      </c>
      <c r="R42" s="1528">
        <v>0.25205939018858176</v>
      </c>
      <c r="S42" s="1528">
        <v>0.24953879628669592</v>
      </c>
      <c r="T42" s="1528">
        <v>0.24704340832382896</v>
      </c>
      <c r="U42" s="1522">
        <v>0.24457297424059066</v>
      </c>
    </row>
    <row r="43" spans="1:21" s="296" customFormat="1" ht="24" customHeight="1">
      <c r="A43" s="1532"/>
      <c r="B43" s="1525"/>
      <c r="C43" s="1531"/>
      <c r="D43" s="528" t="s">
        <v>877</v>
      </c>
      <c r="E43" s="1527"/>
      <c r="F43" s="1529"/>
      <c r="G43" s="1529"/>
      <c r="H43" s="1529"/>
      <c r="I43" s="1529"/>
      <c r="J43" s="1529"/>
      <c r="K43" s="1529"/>
      <c r="L43" s="1529"/>
      <c r="M43" s="1529"/>
      <c r="N43" s="1529"/>
      <c r="O43" s="1529"/>
      <c r="P43" s="1529"/>
      <c r="Q43" s="1529"/>
      <c r="R43" s="1529"/>
      <c r="S43" s="1529"/>
      <c r="T43" s="1529"/>
      <c r="U43" s="1523"/>
    </row>
    <row r="44" spans="1:21" s="296" customFormat="1" ht="24" customHeight="1">
      <c r="A44" s="1532"/>
      <c r="B44" s="1524" t="s">
        <v>904</v>
      </c>
      <c r="C44" s="1530" t="s">
        <v>903</v>
      </c>
      <c r="D44" s="526" t="s">
        <v>876</v>
      </c>
      <c r="E44" s="1527"/>
      <c r="F44" s="1519"/>
      <c r="G44" s="1528">
        <v>0.78</v>
      </c>
      <c r="H44" s="1528">
        <v>0.67080000000000006</v>
      </c>
      <c r="I44" s="1528">
        <v>0.63726000000000005</v>
      </c>
      <c r="J44" s="1528">
        <v>0.56716140000000004</v>
      </c>
      <c r="K44" s="1528">
        <v>0.52178848800000011</v>
      </c>
      <c r="L44" s="1528">
        <v>0.4956990636000001</v>
      </c>
      <c r="M44" s="1528">
        <v>0.47091411042000009</v>
      </c>
      <c r="N44" s="1528">
        <v>0.45207754600320005</v>
      </c>
      <c r="O44" s="1528">
        <v>0.43851521962310402</v>
      </c>
      <c r="P44" s="1528">
        <v>0.43413006742687299</v>
      </c>
      <c r="Q44" s="1528">
        <v>0.41676486472979807</v>
      </c>
      <c r="R44" s="1528">
        <v>0.40009427014060611</v>
      </c>
      <c r="S44" s="1528">
        <v>0.39609332743920006</v>
      </c>
      <c r="T44" s="1528">
        <v>0.39213239416480805</v>
      </c>
      <c r="U44" s="1522">
        <v>0.38821107022315998</v>
      </c>
    </row>
    <row r="45" spans="1:21" s="296" customFormat="1" ht="24" customHeight="1">
      <c r="A45" s="1532"/>
      <c r="B45" s="1525"/>
      <c r="C45" s="1531"/>
      <c r="D45" s="528" t="s">
        <v>877</v>
      </c>
      <c r="E45" s="1527"/>
      <c r="F45" s="1519"/>
      <c r="G45" s="1529"/>
      <c r="H45" s="1529"/>
      <c r="I45" s="1529"/>
      <c r="J45" s="1529"/>
      <c r="K45" s="1529"/>
      <c r="L45" s="1529"/>
      <c r="M45" s="1529"/>
      <c r="N45" s="1529"/>
      <c r="O45" s="1529"/>
      <c r="P45" s="1529"/>
      <c r="Q45" s="1529"/>
      <c r="R45" s="1529"/>
      <c r="S45" s="1529"/>
      <c r="T45" s="1529"/>
      <c r="U45" s="1523"/>
    </row>
    <row r="46" spans="1:21" s="296" customFormat="1" ht="24" customHeight="1">
      <c r="A46" s="1532"/>
      <c r="B46" s="1524" t="s">
        <v>905</v>
      </c>
      <c r="C46" s="1530" t="s">
        <v>903</v>
      </c>
      <c r="D46" s="526" t="s">
        <v>876</v>
      </c>
      <c r="E46" s="1527"/>
      <c r="F46" s="1519"/>
      <c r="G46" s="1519"/>
      <c r="H46" s="1528">
        <v>0.86</v>
      </c>
      <c r="I46" s="1528">
        <v>0.81699999999999995</v>
      </c>
      <c r="J46" s="1528">
        <v>0.72712999999999994</v>
      </c>
      <c r="K46" s="1528">
        <v>0.66895959999999999</v>
      </c>
      <c r="L46" s="1528">
        <v>0.63551161999999994</v>
      </c>
      <c r="M46" s="1528">
        <v>0.60373603899999995</v>
      </c>
      <c r="N46" s="1528">
        <v>0.57958659743999996</v>
      </c>
      <c r="O46" s="1528">
        <v>0.56219899951679997</v>
      </c>
      <c r="P46" s="1528">
        <v>0.55657700952163192</v>
      </c>
      <c r="Q46" s="1528">
        <v>0.53431392914076659</v>
      </c>
      <c r="R46" s="1528">
        <v>0.5129413719751359</v>
      </c>
      <c r="S46" s="1528">
        <v>0.5078119582553845</v>
      </c>
      <c r="T46" s="1528">
        <v>0.50273383867283061</v>
      </c>
      <c r="U46" s="1522">
        <v>0.4977065002861023</v>
      </c>
    </row>
    <row r="47" spans="1:21" s="296" customFormat="1" ht="24" customHeight="1">
      <c r="A47" s="1532"/>
      <c r="B47" s="1525"/>
      <c r="C47" s="1531"/>
      <c r="D47" s="528" t="s">
        <v>877</v>
      </c>
      <c r="E47" s="1527"/>
      <c r="F47" s="1519"/>
      <c r="G47" s="1519"/>
      <c r="H47" s="1529"/>
      <c r="I47" s="1529"/>
      <c r="J47" s="1529"/>
      <c r="K47" s="1529"/>
      <c r="L47" s="1529"/>
      <c r="M47" s="1529"/>
      <c r="N47" s="1529"/>
      <c r="O47" s="1529"/>
      <c r="P47" s="1529"/>
      <c r="Q47" s="1529"/>
      <c r="R47" s="1529"/>
      <c r="S47" s="1529"/>
      <c r="T47" s="1529"/>
      <c r="U47" s="1523"/>
    </row>
    <row r="48" spans="1:21" s="296" customFormat="1" ht="24" customHeight="1">
      <c r="A48" s="1532"/>
      <c r="B48" s="1524" t="s">
        <v>906</v>
      </c>
      <c r="C48" s="1530" t="s">
        <v>903</v>
      </c>
      <c r="D48" s="526" t="s">
        <v>876</v>
      </c>
      <c r="E48" s="1527"/>
      <c r="F48" s="1519"/>
      <c r="G48" s="1519"/>
      <c r="H48" s="1519"/>
      <c r="I48" s="1528">
        <v>0.95</v>
      </c>
      <c r="J48" s="1528">
        <v>0.84549999999999992</v>
      </c>
      <c r="K48" s="1528">
        <v>0.77786</v>
      </c>
      <c r="L48" s="1528">
        <v>0.73896699999999993</v>
      </c>
      <c r="M48" s="1528">
        <v>0.70201864999999986</v>
      </c>
      <c r="N48" s="1528">
        <v>0.67393790399999987</v>
      </c>
      <c r="O48" s="1528">
        <v>0.65371976687999989</v>
      </c>
      <c r="P48" s="1528">
        <v>0.64718256921119988</v>
      </c>
      <c r="Q48" s="1528">
        <v>0.6212952664427519</v>
      </c>
      <c r="R48" s="1528">
        <v>0.59644345578504177</v>
      </c>
      <c r="S48" s="1528">
        <v>0.59047902122719131</v>
      </c>
      <c r="T48" s="1528">
        <v>0.58457423101491934</v>
      </c>
      <c r="U48" s="1522">
        <v>0.57872848870477012</v>
      </c>
    </row>
    <row r="49" spans="1:21" s="296" customFormat="1" ht="24" customHeight="1">
      <c r="A49" s="1532"/>
      <c r="B49" s="1525"/>
      <c r="C49" s="1531"/>
      <c r="D49" s="528" t="s">
        <v>877</v>
      </c>
      <c r="E49" s="1527"/>
      <c r="F49" s="1519"/>
      <c r="G49" s="1519"/>
      <c r="H49" s="1519"/>
      <c r="I49" s="1529"/>
      <c r="J49" s="1529"/>
      <c r="K49" s="1529"/>
      <c r="L49" s="1529"/>
      <c r="M49" s="1529"/>
      <c r="N49" s="1529"/>
      <c r="O49" s="1529"/>
      <c r="P49" s="1529"/>
      <c r="Q49" s="1529"/>
      <c r="R49" s="1529"/>
      <c r="S49" s="1529"/>
      <c r="T49" s="1529"/>
      <c r="U49" s="1523"/>
    </row>
    <row r="50" spans="1:21" s="296" customFormat="1" ht="24" customHeight="1">
      <c r="A50" s="1532"/>
      <c r="B50" s="1524" t="s">
        <v>907</v>
      </c>
      <c r="C50" s="1530" t="s">
        <v>903</v>
      </c>
      <c r="D50" s="526" t="s">
        <v>876</v>
      </c>
      <c r="E50" s="1527"/>
      <c r="F50" s="1519"/>
      <c r="G50" s="1519"/>
      <c r="H50" s="1519"/>
      <c r="I50" s="1519"/>
      <c r="J50" s="1528">
        <v>0.89</v>
      </c>
      <c r="K50" s="1528">
        <v>0.81880000000000008</v>
      </c>
      <c r="L50" s="1528">
        <v>0.77786</v>
      </c>
      <c r="M50" s="1528">
        <v>0.73896699999999993</v>
      </c>
      <c r="N50" s="1528">
        <v>0.70940831999999987</v>
      </c>
      <c r="O50" s="1528">
        <v>0.68812607039999985</v>
      </c>
      <c r="P50" s="1528">
        <v>0.68124480969599988</v>
      </c>
      <c r="Q50" s="1528">
        <v>0.6539950173081599</v>
      </c>
      <c r="R50" s="1528">
        <v>0.62783521661583352</v>
      </c>
      <c r="S50" s="1528">
        <v>0.62155686444967517</v>
      </c>
      <c r="T50" s="1528">
        <v>0.61534129580517838</v>
      </c>
      <c r="U50" s="1522">
        <v>0.60918788284712655</v>
      </c>
    </row>
    <row r="51" spans="1:21" s="296" customFormat="1" ht="24" customHeight="1">
      <c r="A51" s="1532"/>
      <c r="B51" s="1525"/>
      <c r="C51" s="1531"/>
      <c r="D51" s="528" t="s">
        <v>877</v>
      </c>
      <c r="E51" s="1527"/>
      <c r="F51" s="1519"/>
      <c r="G51" s="1519"/>
      <c r="H51" s="1519"/>
      <c r="I51" s="1519"/>
      <c r="J51" s="1529"/>
      <c r="K51" s="1529"/>
      <c r="L51" s="1529"/>
      <c r="M51" s="1529"/>
      <c r="N51" s="1529"/>
      <c r="O51" s="1529"/>
      <c r="P51" s="1529"/>
      <c r="Q51" s="1529"/>
      <c r="R51" s="1529"/>
      <c r="S51" s="1529"/>
      <c r="T51" s="1529"/>
      <c r="U51" s="1523"/>
    </row>
    <row r="52" spans="1:21" s="296" customFormat="1" ht="24" customHeight="1">
      <c r="A52" s="1532"/>
      <c r="B52" s="1524" t="s">
        <v>908</v>
      </c>
      <c r="C52" s="1530" t="s">
        <v>903</v>
      </c>
      <c r="D52" s="526" t="s">
        <v>876</v>
      </c>
      <c r="E52" s="1527"/>
      <c r="F52" s="1519"/>
      <c r="G52" s="1519"/>
      <c r="H52" s="1519"/>
      <c r="I52" s="1519"/>
      <c r="J52" s="1519"/>
      <c r="K52" s="1528">
        <v>0.92</v>
      </c>
      <c r="L52" s="1528">
        <v>0.874</v>
      </c>
      <c r="M52" s="1528">
        <v>0.83029999999999993</v>
      </c>
      <c r="N52" s="1528">
        <v>0.79708799999999991</v>
      </c>
      <c r="O52" s="1528">
        <v>0.77317535999999987</v>
      </c>
      <c r="P52" s="1528">
        <v>0.76544360639999987</v>
      </c>
      <c r="Q52" s="1528">
        <v>0.73482586214399981</v>
      </c>
      <c r="R52" s="1528">
        <v>0.70543282765823978</v>
      </c>
      <c r="S52" s="1528">
        <v>0.69837849938165741</v>
      </c>
      <c r="T52" s="1528">
        <v>0.69139471438784084</v>
      </c>
      <c r="U52" s="1522">
        <v>0.68448076724396245</v>
      </c>
    </row>
    <row r="53" spans="1:21" s="296" customFormat="1" ht="24" customHeight="1">
      <c r="A53" s="1532"/>
      <c r="B53" s="1525"/>
      <c r="C53" s="1531"/>
      <c r="D53" s="528" t="s">
        <v>877</v>
      </c>
      <c r="E53" s="1527"/>
      <c r="F53" s="1519"/>
      <c r="G53" s="1519"/>
      <c r="H53" s="1519"/>
      <c r="I53" s="1519"/>
      <c r="J53" s="1519"/>
      <c r="K53" s="1529"/>
      <c r="L53" s="1529"/>
      <c r="M53" s="1529"/>
      <c r="N53" s="1529"/>
      <c r="O53" s="1529"/>
      <c r="P53" s="1529"/>
      <c r="Q53" s="1529"/>
      <c r="R53" s="1529"/>
      <c r="S53" s="1529"/>
      <c r="T53" s="1529"/>
      <c r="U53" s="1523"/>
    </row>
    <row r="54" spans="1:21" s="296" customFormat="1" ht="24" customHeight="1">
      <c r="A54" s="1532"/>
      <c r="B54" s="1524" t="s">
        <v>909</v>
      </c>
      <c r="C54" s="1530" t="s">
        <v>903</v>
      </c>
      <c r="D54" s="526" t="s">
        <v>876</v>
      </c>
      <c r="E54" s="1527"/>
      <c r="F54" s="1519"/>
      <c r="G54" s="1519"/>
      <c r="H54" s="1519"/>
      <c r="I54" s="1519"/>
      <c r="J54" s="1519"/>
      <c r="K54" s="1519"/>
      <c r="L54" s="1528">
        <v>0.95</v>
      </c>
      <c r="M54" s="1528">
        <v>0.90249999999999997</v>
      </c>
      <c r="N54" s="1528">
        <v>0.86639999999999995</v>
      </c>
      <c r="O54" s="1528">
        <v>0.84040799999999993</v>
      </c>
      <c r="P54" s="1528">
        <v>0.8320039199999999</v>
      </c>
      <c r="Q54" s="1528">
        <v>0.79872376319999983</v>
      </c>
      <c r="R54" s="1528">
        <v>0.76677481267199976</v>
      </c>
      <c r="S54" s="1528">
        <v>0.75910706454527976</v>
      </c>
      <c r="T54" s="1528">
        <v>0.75151599389982693</v>
      </c>
      <c r="U54" s="1522">
        <v>0.74400083396082861</v>
      </c>
    </row>
    <row r="55" spans="1:21" ht="24" customHeight="1">
      <c r="A55" s="1532"/>
      <c r="B55" s="1525"/>
      <c r="C55" s="1531"/>
      <c r="D55" s="528" t="s">
        <v>877</v>
      </c>
      <c r="E55" s="1527"/>
      <c r="F55" s="1519"/>
      <c r="G55" s="1519"/>
      <c r="H55" s="1519"/>
      <c r="I55" s="1519"/>
      <c r="J55" s="1519"/>
      <c r="K55" s="1519"/>
      <c r="L55" s="1529"/>
      <c r="M55" s="1529"/>
      <c r="N55" s="1529"/>
      <c r="O55" s="1529"/>
      <c r="P55" s="1529"/>
      <c r="Q55" s="1529"/>
      <c r="R55" s="1529"/>
      <c r="S55" s="1529"/>
      <c r="T55" s="1529"/>
      <c r="U55" s="1523"/>
    </row>
    <row r="56" spans="1:21" ht="24" customHeight="1">
      <c r="A56" s="1532"/>
      <c r="B56" s="1524" t="s">
        <v>910</v>
      </c>
      <c r="C56" s="1530" t="s">
        <v>903</v>
      </c>
      <c r="D56" s="526" t="s">
        <v>876</v>
      </c>
      <c r="E56" s="1527"/>
      <c r="F56" s="1519"/>
      <c r="G56" s="1519"/>
      <c r="H56" s="1519"/>
      <c r="I56" s="1519"/>
      <c r="J56" s="1519"/>
      <c r="K56" s="1519"/>
      <c r="L56" s="1519"/>
      <c r="M56" s="1528">
        <v>0.95</v>
      </c>
      <c r="N56" s="1528">
        <v>0.91199999999999992</v>
      </c>
      <c r="O56" s="1528">
        <v>0.88463999999999987</v>
      </c>
      <c r="P56" s="1528">
        <v>0.87579359999999984</v>
      </c>
      <c r="Q56" s="1528">
        <v>0.84076185599999986</v>
      </c>
      <c r="R56" s="1528">
        <v>0.80713138175999988</v>
      </c>
      <c r="S56" s="1528">
        <v>0.79906006794239992</v>
      </c>
      <c r="T56" s="1528">
        <v>0.79106946726297589</v>
      </c>
      <c r="U56" s="1522">
        <v>0.78315877259034616</v>
      </c>
    </row>
    <row r="57" spans="1:21" ht="24" customHeight="1">
      <c r="A57" s="1532"/>
      <c r="B57" s="1525"/>
      <c r="C57" s="1531"/>
      <c r="D57" s="528" t="s">
        <v>877</v>
      </c>
      <c r="E57" s="1527"/>
      <c r="F57" s="1519"/>
      <c r="G57" s="1519"/>
      <c r="H57" s="1519"/>
      <c r="I57" s="1519"/>
      <c r="J57" s="1519"/>
      <c r="K57" s="1519"/>
      <c r="L57" s="1519"/>
      <c r="M57" s="1529"/>
      <c r="N57" s="1529"/>
      <c r="O57" s="1529"/>
      <c r="P57" s="1529"/>
      <c r="Q57" s="1529"/>
      <c r="R57" s="1529"/>
      <c r="S57" s="1529"/>
      <c r="T57" s="1529"/>
      <c r="U57" s="1523"/>
    </row>
    <row r="58" spans="1:21" ht="24" customHeight="1">
      <c r="A58" s="1532"/>
      <c r="B58" s="1524" t="s">
        <v>911</v>
      </c>
      <c r="C58" s="1530" t="s">
        <v>903</v>
      </c>
      <c r="D58" s="526" t="s">
        <v>876</v>
      </c>
      <c r="E58" s="1527"/>
      <c r="F58" s="1519"/>
      <c r="G58" s="1519"/>
      <c r="H58" s="1519"/>
      <c r="I58" s="1519"/>
      <c r="J58" s="1519"/>
      <c r="K58" s="1519"/>
      <c r="L58" s="1519"/>
      <c r="M58" s="1519"/>
      <c r="N58" s="1528">
        <v>0.96</v>
      </c>
      <c r="O58" s="1528">
        <v>0.93119999999999992</v>
      </c>
      <c r="P58" s="1528">
        <v>0.92188799999999993</v>
      </c>
      <c r="Q58" s="1528">
        <v>0.88501247999999988</v>
      </c>
      <c r="R58" s="1528">
        <v>0.84961198079999989</v>
      </c>
      <c r="S58" s="1528">
        <v>0.84111586099199986</v>
      </c>
      <c r="T58" s="1528">
        <v>0.83270470238207983</v>
      </c>
      <c r="U58" s="1522">
        <v>0.82437765535825902</v>
      </c>
    </row>
    <row r="59" spans="1:21" ht="24" customHeight="1">
      <c r="A59" s="1532"/>
      <c r="B59" s="1525"/>
      <c r="C59" s="1531"/>
      <c r="D59" s="528" t="s">
        <v>877</v>
      </c>
      <c r="E59" s="1527"/>
      <c r="F59" s="1519"/>
      <c r="G59" s="1519"/>
      <c r="H59" s="1519"/>
      <c r="I59" s="1519"/>
      <c r="J59" s="1519"/>
      <c r="K59" s="1519"/>
      <c r="L59" s="1519"/>
      <c r="M59" s="1519"/>
      <c r="N59" s="1529"/>
      <c r="O59" s="1529"/>
      <c r="P59" s="1529"/>
      <c r="Q59" s="1529"/>
      <c r="R59" s="1529"/>
      <c r="S59" s="1529"/>
      <c r="T59" s="1529"/>
      <c r="U59" s="1523"/>
    </row>
    <row r="60" spans="1:21" ht="24" customHeight="1">
      <c r="A60" s="1532"/>
      <c r="B60" s="1524" t="s">
        <v>912</v>
      </c>
      <c r="C60" s="1530" t="s">
        <v>903</v>
      </c>
      <c r="D60" s="526" t="s">
        <v>876</v>
      </c>
      <c r="E60" s="1527"/>
      <c r="F60" s="1519"/>
      <c r="G60" s="1519"/>
      <c r="H60" s="1519"/>
      <c r="I60" s="1519"/>
      <c r="J60" s="1519"/>
      <c r="K60" s="1519"/>
      <c r="L60" s="1519"/>
      <c r="M60" s="1519"/>
      <c r="N60" s="1519"/>
      <c r="O60" s="1528">
        <v>0.97</v>
      </c>
      <c r="P60" s="1528">
        <v>0.96029999999999993</v>
      </c>
      <c r="Q60" s="1528">
        <v>0.92188799999999993</v>
      </c>
      <c r="R60" s="1528">
        <v>0.88501247999999988</v>
      </c>
      <c r="S60" s="1528">
        <v>0.87616235519999985</v>
      </c>
      <c r="T60" s="1528">
        <v>0.8674007316479998</v>
      </c>
      <c r="U60" s="1522">
        <v>0.85872672433151975</v>
      </c>
    </row>
    <row r="61" spans="1:21" ht="24" customHeight="1">
      <c r="A61" s="1532"/>
      <c r="B61" s="1525"/>
      <c r="C61" s="1531"/>
      <c r="D61" s="528" t="s">
        <v>877</v>
      </c>
      <c r="E61" s="1527"/>
      <c r="F61" s="1519"/>
      <c r="G61" s="1519"/>
      <c r="H61" s="1519"/>
      <c r="I61" s="1519"/>
      <c r="J61" s="1519"/>
      <c r="K61" s="1519"/>
      <c r="L61" s="1519"/>
      <c r="M61" s="1519"/>
      <c r="N61" s="1519"/>
      <c r="O61" s="1529"/>
      <c r="P61" s="1529"/>
      <c r="Q61" s="1529"/>
      <c r="R61" s="1529"/>
      <c r="S61" s="1529"/>
      <c r="T61" s="1529"/>
      <c r="U61" s="1523"/>
    </row>
    <row r="62" spans="1:21" ht="24" customHeight="1">
      <c r="A62" s="1532"/>
      <c r="B62" s="1524" t="s">
        <v>913</v>
      </c>
      <c r="C62" s="1530" t="s">
        <v>903</v>
      </c>
      <c r="D62" s="526" t="s">
        <v>876</v>
      </c>
      <c r="E62" s="1527"/>
      <c r="F62" s="1519"/>
      <c r="G62" s="1519"/>
      <c r="H62" s="1519"/>
      <c r="I62" s="1519"/>
      <c r="J62" s="1519"/>
      <c r="K62" s="1519"/>
      <c r="L62" s="1519"/>
      <c r="M62" s="1519"/>
      <c r="N62" s="1519"/>
      <c r="O62" s="1519"/>
      <c r="P62" s="1528">
        <v>0.99</v>
      </c>
      <c r="Q62" s="1528">
        <v>0.95039999999999991</v>
      </c>
      <c r="R62" s="1528">
        <v>0.91238399999999986</v>
      </c>
      <c r="S62" s="1528">
        <v>0.90326015999999987</v>
      </c>
      <c r="T62" s="1528">
        <v>0.8942275583999999</v>
      </c>
      <c r="U62" s="1522">
        <v>0.88528528281599994</v>
      </c>
    </row>
    <row r="63" spans="1:21" ht="24" customHeight="1">
      <c r="A63" s="1532"/>
      <c r="B63" s="1525"/>
      <c r="C63" s="1531"/>
      <c r="D63" s="528" t="s">
        <v>877</v>
      </c>
      <c r="E63" s="1527"/>
      <c r="F63" s="1519"/>
      <c r="G63" s="1519"/>
      <c r="H63" s="1519"/>
      <c r="I63" s="1519"/>
      <c r="J63" s="1519"/>
      <c r="K63" s="1519"/>
      <c r="L63" s="1519"/>
      <c r="M63" s="1519"/>
      <c r="N63" s="1519"/>
      <c r="O63" s="1519"/>
      <c r="P63" s="1529"/>
      <c r="Q63" s="1529"/>
      <c r="R63" s="1529"/>
      <c r="S63" s="1529"/>
      <c r="T63" s="1529"/>
      <c r="U63" s="1523"/>
    </row>
    <row r="64" spans="1:21" ht="24" customHeight="1">
      <c r="A64" s="1532"/>
      <c r="B64" s="1524" t="s">
        <v>914</v>
      </c>
      <c r="C64" s="1530" t="s">
        <v>903</v>
      </c>
      <c r="D64" s="526" t="s">
        <v>876</v>
      </c>
      <c r="E64" s="1527"/>
      <c r="F64" s="1519"/>
      <c r="G64" s="1519"/>
      <c r="H64" s="1519"/>
      <c r="I64" s="1519"/>
      <c r="J64" s="1519"/>
      <c r="K64" s="1519"/>
      <c r="L64" s="1519"/>
      <c r="M64" s="1519"/>
      <c r="N64" s="1519"/>
      <c r="O64" s="1519"/>
      <c r="P64" s="1519"/>
      <c r="Q64" s="1528">
        <v>0.96</v>
      </c>
      <c r="R64" s="1528">
        <v>0.92159999999999997</v>
      </c>
      <c r="S64" s="1528">
        <v>0.91238399999999997</v>
      </c>
      <c r="T64" s="1528">
        <v>0.90326015999999998</v>
      </c>
      <c r="U64" s="1522">
        <v>0.89422755840000001</v>
      </c>
    </row>
    <row r="65" spans="1:21" ht="24" customHeight="1">
      <c r="A65" s="1532"/>
      <c r="B65" s="1525"/>
      <c r="C65" s="1531"/>
      <c r="D65" s="528" t="s">
        <v>877</v>
      </c>
      <c r="E65" s="1527"/>
      <c r="F65" s="1519"/>
      <c r="G65" s="1519"/>
      <c r="H65" s="1519"/>
      <c r="I65" s="1519"/>
      <c r="J65" s="1519"/>
      <c r="K65" s="1519"/>
      <c r="L65" s="1519"/>
      <c r="M65" s="1519"/>
      <c r="N65" s="1519"/>
      <c r="O65" s="1519"/>
      <c r="P65" s="1519"/>
      <c r="Q65" s="1529"/>
      <c r="R65" s="1529"/>
      <c r="S65" s="1529"/>
      <c r="T65" s="1529"/>
      <c r="U65" s="1523"/>
    </row>
    <row r="66" spans="1:21" ht="24" customHeight="1">
      <c r="A66" s="1532"/>
      <c r="B66" s="1524" t="s">
        <v>915</v>
      </c>
      <c r="C66" s="1530" t="s">
        <v>903</v>
      </c>
      <c r="D66" s="526" t="s">
        <v>876</v>
      </c>
      <c r="E66" s="1527"/>
      <c r="F66" s="1519"/>
      <c r="G66" s="1519"/>
      <c r="H66" s="1519"/>
      <c r="I66" s="1519"/>
      <c r="J66" s="1519"/>
      <c r="K66" s="1519"/>
      <c r="L66" s="1519"/>
      <c r="M66" s="1519"/>
      <c r="N66" s="1519"/>
      <c r="O66" s="1519"/>
      <c r="P66" s="1519"/>
      <c r="Q66" s="1519"/>
      <c r="R66" s="1528">
        <v>0.96</v>
      </c>
      <c r="S66" s="1528">
        <v>0.95039999999999991</v>
      </c>
      <c r="T66" s="1528">
        <v>0.94089599999999995</v>
      </c>
      <c r="U66" s="1522">
        <v>0.93148703999999993</v>
      </c>
    </row>
    <row r="67" spans="1:21" ht="24" customHeight="1">
      <c r="A67" s="1532"/>
      <c r="B67" s="1525"/>
      <c r="C67" s="1531"/>
      <c r="D67" s="528" t="s">
        <v>877</v>
      </c>
      <c r="E67" s="1527"/>
      <c r="F67" s="1519"/>
      <c r="G67" s="1519"/>
      <c r="H67" s="1519"/>
      <c r="I67" s="1519"/>
      <c r="J67" s="1519"/>
      <c r="K67" s="1519"/>
      <c r="L67" s="1519"/>
      <c r="M67" s="1519"/>
      <c r="N67" s="1519"/>
      <c r="O67" s="1519"/>
      <c r="P67" s="1519"/>
      <c r="Q67" s="1519"/>
      <c r="R67" s="1529"/>
      <c r="S67" s="1529"/>
      <c r="T67" s="1529"/>
      <c r="U67" s="1523"/>
    </row>
    <row r="68" spans="1:21" ht="24" customHeight="1">
      <c r="A68" s="1532"/>
      <c r="B68" s="1524" t="s">
        <v>916</v>
      </c>
      <c r="C68" s="1530" t="s">
        <v>903</v>
      </c>
      <c r="D68" s="526" t="s">
        <v>876</v>
      </c>
      <c r="E68" s="1527"/>
      <c r="F68" s="1519"/>
      <c r="G68" s="1519"/>
      <c r="H68" s="1519"/>
      <c r="I68" s="1519"/>
      <c r="J68" s="1519"/>
      <c r="K68" s="1519"/>
      <c r="L68" s="1519"/>
      <c r="M68" s="1519"/>
      <c r="N68" s="1519"/>
      <c r="O68" s="1519"/>
      <c r="P68" s="1519"/>
      <c r="Q68" s="1519"/>
      <c r="R68" s="1519"/>
      <c r="S68" s="1528">
        <v>0.99</v>
      </c>
      <c r="T68" s="1528">
        <v>0.98009999999999997</v>
      </c>
      <c r="U68" s="1522">
        <v>0.97029899999999991</v>
      </c>
    </row>
    <row r="69" spans="1:21" ht="24" customHeight="1">
      <c r="A69" s="1532"/>
      <c r="B69" s="1525"/>
      <c r="C69" s="1531"/>
      <c r="D69" s="528" t="s">
        <v>877</v>
      </c>
      <c r="E69" s="1527"/>
      <c r="F69" s="1519"/>
      <c r="G69" s="1519"/>
      <c r="H69" s="1519"/>
      <c r="I69" s="1519"/>
      <c r="J69" s="1519"/>
      <c r="K69" s="1519"/>
      <c r="L69" s="1519"/>
      <c r="M69" s="1519"/>
      <c r="N69" s="1519"/>
      <c r="O69" s="1519"/>
      <c r="P69" s="1519"/>
      <c r="Q69" s="1519"/>
      <c r="R69" s="1519"/>
      <c r="S69" s="1529"/>
      <c r="T69" s="1529"/>
      <c r="U69" s="1523"/>
    </row>
    <row r="70" spans="1:21" ht="24" customHeight="1">
      <c r="A70" s="1532"/>
      <c r="B70" s="1524" t="s">
        <v>917</v>
      </c>
      <c r="C70" s="1530" t="s">
        <v>903</v>
      </c>
      <c r="D70" s="526" t="s">
        <v>876</v>
      </c>
      <c r="E70" s="1527"/>
      <c r="F70" s="1519"/>
      <c r="G70" s="1519"/>
      <c r="H70" s="1519"/>
      <c r="I70" s="1519"/>
      <c r="J70" s="1519"/>
      <c r="K70" s="1519"/>
      <c r="L70" s="1519"/>
      <c r="M70" s="1519"/>
      <c r="N70" s="1519"/>
      <c r="O70" s="1519"/>
      <c r="P70" s="1519"/>
      <c r="Q70" s="1519"/>
      <c r="R70" s="1519"/>
      <c r="S70" s="1519"/>
      <c r="T70" s="1528">
        <v>0.99</v>
      </c>
      <c r="U70" s="1522">
        <v>0.98009999999999997</v>
      </c>
    </row>
    <row r="71" spans="1:21" ht="24" customHeight="1">
      <c r="A71" s="1532"/>
      <c r="B71" s="1525"/>
      <c r="C71" s="1531"/>
      <c r="D71" s="528" t="s">
        <v>877</v>
      </c>
      <c r="E71" s="1527"/>
      <c r="F71" s="1519"/>
      <c r="G71" s="1519"/>
      <c r="H71" s="1519"/>
      <c r="I71" s="1519"/>
      <c r="J71" s="1519"/>
      <c r="K71" s="1519"/>
      <c r="L71" s="1519"/>
      <c r="M71" s="1519"/>
      <c r="N71" s="1519"/>
      <c r="O71" s="1519"/>
      <c r="P71" s="1519"/>
      <c r="Q71" s="1519"/>
      <c r="R71" s="1519"/>
      <c r="S71" s="1519"/>
      <c r="T71" s="1529"/>
      <c r="U71" s="1523"/>
    </row>
    <row r="72" spans="1:21" ht="24" customHeight="1">
      <c r="A72" s="1532"/>
      <c r="B72" s="1524" t="s">
        <v>918</v>
      </c>
      <c r="C72" s="1530" t="s">
        <v>903</v>
      </c>
      <c r="D72" s="526" t="s">
        <v>876</v>
      </c>
      <c r="E72" s="1527"/>
      <c r="F72" s="1519"/>
      <c r="G72" s="1519"/>
      <c r="H72" s="1519"/>
      <c r="I72" s="1519"/>
      <c r="J72" s="1519"/>
      <c r="K72" s="1519"/>
      <c r="L72" s="1519"/>
      <c r="M72" s="1519"/>
      <c r="N72" s="1519"/>
      <c r="O72" s="1519"/>
      <c r="P72" s="1519"/>
      <c r="Q72" s="1519"/>
      <c r="R72" s="1519"/>
      <c r="S72" s="1519"/>
      <c r="T72" s="1519"/>
      <c r="U72" s="1522">
        <v>0.99</v>
      </c>
    </row>
    <row r="73" spans="1:21" ht="24" customHeight="1">
      <c r="A73" s="1532"/>
      <c r="B73" s="1525"/>
      <c r="C73" s="1531"/>
      <c r="D73" s="528" t="s">
        <v>877</v>
      </c>
      <c r="E73" s="1527"/>
      <c r="F73" s="1519"/>
      <c r="G73" s="1519"/>
      <c r="H73" s="1519"/>
      <c r="I73" s="1519"/>
      <c r="J73" s="1519"/>
      <c r="K73" s="1519"/>
      <c r="L73" s="1519"/>
      <c r="M73" s="1519"/>
      <c r="N73" s="1519"/>
      <c r="O73" s="1519"/>
      <c r="P73" s="1519"/>
      <c r="Q73" s="1519"/>
      <c r="R73" s="1519"/>
      <c r="S73" s="1519"/>
      <c r="T73" s="1519"/>
      <c r="U73" s="1523"/>
    </row>
    <row r="74" spans="1:21" ht="24" customHeight="1">
      <c r="A74" s="1532"/>
      <c r="B74" s="1524" t="s">
        <v>224</v>
      </c>
      <c r="C74" s="1530" t="s">
        <v>903</v>
      </c>
      <c r="D74" s="526" t="s">
        <v>876</v>
      </c>
      <c r="E74" s="1527"/>
      <c r="F74" s="1519"/>
      <c r="G74" s="1519"/>
      <c r="H74" s="1519"/>
      <c r="I74" s="1519"/>
      <c r="J74" s="1519"/>
      <c r="K74" s="1519"/>
      <c r="L74" s="1519"/>
      <c r="M74" s="1519"/>
      <c r="N74" s="1519"/>
      <c r="O74" s="1519"/>
      <c r="P74" s="1519"/>
      <c r="Q74" s="1519"/>
      <c r="R74" s="1519"/>
      <c r="S74" s="1519"/>
      <c r="T74" s="1519"/>
      <c r="U74" s="1520"/>
    </row>
    <row r="75" spans="1:21" ht="24" customHeight="1">
      <c r="A75" s="1525"/>
      <c r="B75" s="1525"/>
      <c r="C75" s="1533"/>
      <c r="D75" s="528" t="s">
        <v>877</v>
      </c>
      <c r="E75" s="1527"/>
      <c r="F75" s="1519"/>
      <c r="G75" s="1519"/>
      <c r="H75" s="1519"/>
      <c r="I75" s="1519"/>
      <c r="J75" s="1519"/>
      <c r="K75" s="1519"/>
      <c r="L75" s="1519"/>
      <c r="M75" s="1519"/>
      <c r="N75" s="1519"/>
      <c r="O75" s="1519"/>
      <c r="P75" s="1519"/>
      <c r="Q75" s="1519"/>
      <c r="R75" s="1519"/>
      <c r="S75" s="1519"/>
      <c r="T75" s="1519"/>
      <c r="U75" s="1521"/>
    </row>
    <row r="76" spans="1:21" ht="24" customHeight="1">
      <c r="A76" s="1524" t="s">
        <v>227</v>
      </c>
      <c r="B76" s="1524" t="s">
        <v>902</v>
      </c>
      <c r="C76" s="1530" t="s">
        <v>903</v>
      </c>
      <c r="D76" s="526" t="s">
        <v>876</v>
      </c>
      <c r="E76" s="1527"/>
      <c r="F76" s="1528">
        <v>0.63</v>
      </c>
      <c r="G76" s="1528">
        <v>0.4914</v>
      </c>
      <c r="H76" s="1528">
        <v>0.42260399999999998</v>
      </c>
      <c r="I76" s="1528">
        <v>0.40147379999999994</v>
      </c>
      <c r="J76" s="1528">
        <v>0.35731168199999996</v>
      </c>
      <c r="K76" s="1528">
        <v>0.32872674743999997</v>
      </c>
      <c r="L76" s="1528">
        <v>0.31229041006799996</v>
      </c>
      <c r="M76" s="1528">
        <v>0.29667588956459995</v>
      </c>
      <c r="N76" s="1528">
        <v>0.28480885398201594</v>
      </c>
      <c r="O76" s="1528">
        <v>0.27626458836255546</v>
      </c>
      <c r="P76" s="1528">
        <v>0.27350194247892989</v>
      </c>
      <c r="Q76" s="1528">
        <v>0.26256186477977267</v>
      </c>
      <c r="R76" s="1528">
        <v>0.25205939018858176</v>
      </c>
      <c r="S76" s="1528">
        <v>0.24953879628669592</v>
      </c>
      <c r="T76" s="1528">
        <v>0.24704340832382896</v>
      </c>
      <c r="U76" s="1522">
        <v>0.24457297424059066</v>
      </c>
    </row>
    <row r="77" spans="1:21" ht="24" customHeight="1">
      <c r="A77" s="1532"/>
      <c r="B77" s="1525"/>
      <c r="C77" s="1531"/>
      <c r="D77" s="528" t="s">
        <v>877</v>
      </c>
      <c r="E77" s="1527"/>
      <c r="F77" s="1529"/>
      <c r="G77" s="1529"/>
      <c r="H77" s="1529"/>
      <c r="I77" s="1529"/>
      <c r="J77" s="1529"/>
      <c r="K77" s="1529"/>
      <c r="L77" s="1529"/>
      <c r="M77" s="1529"/>
      <c r="N77" s="1529"/>
      <c r="O77" s="1529"/>
      <c r="P77" s="1529"/>
      <c r="Q77" s="1529"/>
      <c r="R77" s="1529"/>
      <c r="S77" s="1529"/>
      <c r="T77" s="1529"/>
      <c r="U77" s="1523"/>
    </row>
    <row r="78" spans="1:21" ht="24" customHeight="1">
      <c r="A78" s="1532"/>
      <c r="B78" s="1524" t="s">
        <v>904</v>
      </c>
      <c r="C78" s="1530" t="s">
        <v>903</v>
      </c>
      <c r="D78" s="526" t="s">
        <v>876</v>
      </c>
      <c r="E78" s="1527"/>
      <c r="F78" s="1519"/>
      <c r="G78" s="1528">
        <v>0.78</v>
      </c>
      <c r="H78" s="1528">
        <v>0.67080000000000006</v>
      </c>
      <c r="I78" s="1528">
        <v>0.63726000000000005</v>
      </c>
      <c r="J78" s="1528">
        <v>0.56716140000000004</v>
      </c>
      <c r="K78" s="1528">
        <v>0.52178848800000011</v>
      </c>
      <c r="L78" s="1528">
        <v>0.4956990636000001</v>
      </c>
      <c r="M78" s="1528">
        <v>0.47091411042000009</v>
      </c>
      <c r="N78" s="1528">
        <v>0.45207754600320005</v>
      </c>
      <c r="O78" s="1528">
        <v>0.43851521962310402</v>
      </c>
      <c r="P78" s="1528">
        <v>0.43413006742687299</v>
      </c>
      <c r="Q78" s="1528">
        <v>0.41676486472979807</v>
      </c>
      <c r="R78" s="1528">
        <v>0.40009427014060611</v>
      </c>
      <c r="S78" s="1528">
        <v>0.39609332743920006</v>
      </c>
      <c r="T78" s="1528">
        <v>0.39213239416480805</v>
      </c>
      <c r="U78" s="1522">
        <v>0.38821107022315998</v>
      </c>
    </row>
    <row r="79" spans="1:21" ht="24" customHeight="1">
      <c r="A79" s="1532"/>
      <c r="B79" s="1525"/>
      <c r="C79" s="1531"/>
      <c r="D79" s="528" t="s">
        <v>877</v>
      </c>
      <c r="E79" s="1527"/>
      <c r="F79" s="1519"/>
      <c r="G79" s="1529"/>
      <c r="H79" s="1529"/>
      <c r="I79" s="1529"/>
      <c r="J79" s="1529"/>
      <c r="K79" s="1529"/>
      <c r="L79" s="1529"/>
      <c r="M79" s="1529"/>
      <c r="N79" s="1529"/>
      <c r="O79" s="1529"/>
      <c r="P79" s="1529"/>
      <c r="Q79" s="1529"/>
      <c r="R79" s="1529"/>
      <c r="S79" s="1529"/>
      <c r="T79" s="1529"/>
      <c r="U79" s="1523"/>
    </row>
    <row r="80" spans="1:21" ht="24" customHeight="1">
      <c r="A80" s="1532"/>
      <c r="B80" s="1524" t="s">
        <v>905</v>
      </c>
      <c r="C80" s="1530" t="s">
        <v>903</v>
      </c>
      <c r="D80" s="526" t="s">
        <v>876</v>
      </c>
      <c r="E80" s="1527"/>
      <c r="F80" s="1519"/>
      <c r="G80" s="1519"/>
      <c r="H80" s="1528">
        <v>0.86</v>
      </c>
      <c r="I80" s="1528">
        <v>0.81699999999999995</v>
      </c>
      <c r="J80" s="1528">
        <v>0.72712999999999994</v>
      </c>
      <c r="K80" s="1528">
        <v>0.66895959999999999</v>
      </c>
      <c r="L80" s="1528">
        <v>0.63551161999999994</v>
      </c>
      <c r="M80" s="1528">
        <v>0.60373603899999995</v>
      </c>
      <c r="N80" s="1528">
        <v>0.57958659743999996</v>
      </c>
      <c r="O80" s="1528">
        <v>0.56219899951679997</v>
      </c>
      <c r="P80" s="1528">
        <v>0.55657700952163192</v>
      </c>
      <c r="Q80" s="1528">
        <v>0.53431392914076659</v>
      </c>
      <c r="R80" s="1528">
        <v>0.5129413719751359</v>
      </c>
      <c r="S80" s="1528">
        <v>0.5078119582553845</v>
      </c>
      <c r="T80" s="1528">
        <v>0.50273383867283061</v>
      </c>
      <c r="U80" s="1522">
        <v>0.4977065002861023</v>
      </c>
    </row>
    <row r="81" spans="1:21" ht="24" customHeight="1">
      <c r="A81" s="1532"/>
      <c r="B81" s="1525"/>
      <c r="C81" s="1531"/>
      <c r="D81" s="528" t="s">
        <v>877</v>
      </c>
      <c r="E81" s="1527"/>
      <c r="F81" s="1519"/>
      <c r="G81" s="1519"/>
      <c r="H81" s="1529"/>
      <c r="I81" s="1529"/>
      <c r="J81" s="1529"/>
      <c r="K81" s="1529"/>
      <c r="L81" s="1529"/>
      <c r="M81" s="1529"/>
      <c r="N81" s="1529"/>
      <c r="O81" s="1529"/>
      <c r="P81" s="1529"/>
      <c r="Q81" s="1529"/>
      <c r="R81" s="1529"/>
      <c r="S81" s="1529"/>
      <c r="T81" s="1529"/>
      <c r="U81" s="1523"/>
    </row>
    <row r="82" spans="1:21" ht="24" customHeight="1">
      <c r="A82" s="1532"/>
      <c r="B82" s="1524" t="s">
        <v>906</v>
      </c>
      <c r="C82" s="1530" t="s">
        <v>903</v>
      </c>
      <c r="D82" s="526" t="s">
        <v>876</v>
      </c>
      <c r="E82" s="1527"/>
      <c r="F82" s="1519"/>
      <c r="G82" s="1519"/>
      <c r="H82" s="1519"/>
      <c r="I82" s="1528">
        <v>0.95</v>
      </c>
      <c r="J82" s="1528">
        <v>0.84549999999999992</v>
      </c>
      <c r="K82" s="1528">
        <v>0.77786</v>
      </c>
      <c r="L82" s="1528">
        <v>0.73896699999999993</v>
      </c>
      <c r="M82" s="1528">
        <v>0.70201864999999986</v>
      </c>
      <c r="N82" s="1528">
        <v>0.67393790399999987</v>
      </c>
      <c r="O82" s="1528">
        <v>0.65371976687999989</v>
      </c>
      <c r="P82" s="1528">
        <v>0.64718256921119988</v>
      </c>
      <c r="Q82" s="1528">
        <v>0.6212952664427519</v>
      </c>
      <c r="R82" s="1528">
        <v>0.59644345578504177</v>
      </c>
      <c r="S82" s="1528">
        <v>0.59047902122719131</v>
      </c>
      <c r="T82" s="1528">
        <v>0.58457423101491934</v>
      </c>
      <c r="U82" s="1522">
        <v>0.57872848870477012</v>
      </c>
    </row>
    <row r="83" spans="1:21" ht="24" customHeight="1">
      <c r="A83" s="1532"/>
      <c r="B83" s="1525"/>
      <c r="C83" s="1531"/>
      <c r="D83" s="528" t="s">
        <v>877</v>
      </c>
      <c r="E83" s="1527"/>
      <c r="F83" s="1519"/>
      <c r="G83" s="1519"/>
      <c r="H83" s="1519"/>
      <c r="I83" s="1529"/>
      <c r="J83" s="1529"/>
      <c r="K83" s="1529"/>
      <c r="L83" s="1529"/>
      <c r="M83" s="1529"/>
      <c r="N83" s="1529"/>
      <c r="O83" s="1529"/>
      <c r="P83" s="1529"/>
      <c r="Q83" s="1529"/>
      <c r="R83" s="1529"/>
      <c r="S83" s="1529"/>
      <c r="T83" s="1529"/>
      <c r="U83" s="1523"/>
    </row>
    <row r="84" spans="1:21" ht="24" customHeight="1">
      <c r="A84" s="1532"/>
      <c r="B84" s="1524" t="s">
        <v>907</v>
      </c>
      <c r="C84" s="1530" t="s">
        <v>903</v>
      </c>
      <c r="D84" s="526" t="s">
        <v>876</v>
      </c>
      <c r="E84" s="1527"/>
      <c r="F84" s="1519"/>
      <c r="G84" s="1519"/>
      <c r="H84" s="1519"/>
      <c r="I84" s="1519"/>
      <c r="J84" s="1528">
        <v>0.89</v>
      </c>
      <c r="K84" s="1528">
        <v>0.81880000000000008</v>
      </c>
      <c r="L84" s="1528">
        <v>0.77786</v>
      </c>
      <c r="M84" s="1528">
        <v>0.73896699999999993</v>
      </c>
      <c r="N84" s="1528">
        <v>0.70940831999999987</v>
      </c>
      <c r="O84" s="1528">
        <v>0.68812607039999985</v>
      </c>
      <c r="P84" s="1528">
        <v>0.68124480969599988</v>
      </c>
      <c r="Q84" s="1528">
        <v>0.6539950173081599</v>
      </c>
      <c r="R84" s="1528">
        <v>0.62783521661583352</v>
      </c>
      <c r="S84" s="1528">
        <v>0.62155686444967517</v>
      </c>
      <c r="T84" s="1528">
        <v>0.61534129580517838</v>
      </c>
      <c r="U84" s="1522">
        <v>0.60918788284712655</v>
      </c>
    </row>
    <row r="85" spans="1:21" ht="24" customHeight="1">
      <c r="A85" s="1532"/>
      <c r="B85" s="1525"/>
      <c r="C85" s="1531"/>
      <c r="D85" s="528" t="s">
        <v>877</v>
      </c>
      <c r="E85" s="1527"/>
      <c r="F85" s="1519"/>
      <c r="G85" s="1519"/>
      <c r="H85" s="1519"/>
      <c r="I85" s="1519"/>
      <c r="J85" s="1529"/>
      <c r="K85" s="1529"/>
      <c r="L85" s="1529"/>
      <c r="M85" s="1529"/>
      <c r="N85" s="1529"/>
      <c r="O85" s="1529"/>
      <c r="P85" s="1529"/>
      <c r="Q85" s="1529"/>
      <c r="R85" s="1529"/>
      <c r="S85" s="1529"/>
      <c r="T85" s="1529"/>
      <c r="U85" s="1523"/>
    </row>
    <row r="86" spans="1:21" ht="24" customHeight="1">
      <c r="A86" s="1532"/>
      <c r="B86" s="1524" t="s">
        <v>908</v>
      </c>
      <c r="C86" s="1530" t="s">
        <v>903</v>
      </c>
      <c r="D86" s="526" t="s">
        <v>876</v>
      </c>
      <c r="E86" s="1527"/>
      <c r="F86" s="1519"/>
      <c r="G86" s="1519"/>
      <c r="H86" s="1519"/>
      <c r="I86" s="1519"/>
      <c r="J86" s="1519"/>
      <c r="K86" s="1528">
        <v>0.92</v>
      </c>
      <c r="L86" s="1528">
        <v>0.874</v>
      </c>
      <c r="M86" s="1528">
        <v>0.83029999999999993</v>
      </c>
      <c r="N86" s="1528">
        <v>0.79708799999999991</v>
      </c>
      <c r="O86" s="1528">
        <v>0.77317535999999987</v>
      </c>
      <c r="P86" s="1528">
        <v>0.76544360639999987</v>
      </c>
      <c r="Q86" s="1528">
        <v>0.73482586214399981</v>
      </c>
      <c r="R86" s="1528">
        <v>0.70543282765823978</v>
      </c>
      <c r="S86" s="1528">
        <v>0.69837849938165741</v>
      </c>
      <c r="T86" s="1528">
        <v>0.69139471438784084</v>
      </c>
      <c r="U86" s="1522">
        <v>0.68448076724396245</v>
      </c>
    </row>
    <row r="87" spans="1:21" ht="24" customHeight="1">
      <c r="A87" s="1532"/>
      <c r="B87" s="1525"/>
      <c r="C87" s="1531"/>
      <c r="D87" s="528" t="s">
        <v>877</v>
      </c>
      <c r="E87" s="1527"/>
      <c r="F87" s="1519"/>
      <c r="G87" s="1519"/>
      <c r="H87" s="1519"/>
      <c r="I87" s="1519"/>
      <c r="J87" s="1519"/>
      <c r="K87" s="1529"/>
      <c r="L87" s="1529"/>
      <c r="M87" s="1529"/>
      <c r="N87" s="1529"/>
      <c r="O87" s="1529"/>
      <c r="P87" s="1529"/>
      <c r="Q87" s="1529"/>
      <c r="R87" s="1529"/>
      <c r="S87" s="1529"/>
      <c r="T87" s="1529"/>
      <c r="U87" s="1523"/>
    </row>
    <row r="88" spans="1:21" ht="24" customHeight="1">
      <c r="A88" s="1532"/>
      <c r="B88" s="1524" t="s">
        <v>909</v>
      </c>
      <c r="C88" s="1530" t="s">
        <v>903</v>
      </c>
      <c r="D88" s="526" t="s">
        <v>876</v>
      </c>
      <c r="E88" s="1527"/>
      <c r="F88" s="1519"/>
      <c r="G88" s="1519"/>
      <c r="H88" s="1519"/>
      <c r="I88" s="1519"/>
      <c r="J88" s="1519"/>
      <c r="K88" s="1519"/>
      <c r="L88" s="1528">
        <v>0.95</v>
      </c>
      <c r="M88" s="1528">
        <v>0.90249999999999997</v>
      </c>
      <c r="N88" s="1528">
        <v>0.86639999999999995</v>
      </c>
      <c r="O88" s="1528">
        <v>0.84040799999999993</v>
      </c>
      <c r="P88" s="1528">
        <v>0.8320039199999999</v>
      </c>
      <c r="Q88" s="1528">
        <v>0.79872376319999983</v>
      </c>
      <c r="R88" s="1528">
        <v>0.76677481267199976</v>
      </c>
      <c r="S88" s="1528">
        <v>0.75910706454527976</v>
      </c>
      <c r="T88" s="1528">
        <v>0.75151599389982693</v>
      </c>
      <c r="U88" s="1522">
        <v>0.74400083396082861</v>
      </c>
    </row>
    <row r="89" spans="1:21" ht="24" customHeight="1">
      <c r="A89" s="1532"/>
      <c r="B89" s="1525"/>
      <c r="C89" s="1531"/>
      <c r="D89" s="528" t="s">
        <v>877</v>
      </c>
      <c r="E89" s="1527"/>
      <c r="F89" s="1519"/>
      <c r="G89" s="1519"/>
      <c r="H89" s="1519"/>
      <c r="I89" s="1519"/>
      <c r="J89" s="1519"/>
      <c r="K89" s="1519"/>
      <c r="L89" s="1529"/>
      <c r="M89" s="1529"/>
      <c r="N89" s="1529"/>
      <c r="O89" s="1529"/>
      <c r="P89" s="1529"/>
      <c r="Q89" s="1529"/>
      <c r="R89" s="1529"/>
      <c r="S89" s="1529"/>
      <c r="T89" s="1529"/>
      <c r="U89" s="1523"/>
    </row>
    <row r="90" spans="1:21" ht="24" customHeight="1">
      <c r="A90" s="1532"/>
      <c r="B90" s="1524" t="s">
        <v>910</v>
      </c>
      <c r="C90" s="1530" t="s">
        <v>903</v>
      </c>
      <c r="D90" s="526" t="s">
        <v>876</v>
      </c>
      <c r="E90" s="1527"/>
      <c r="F90" s="1519"/>
      <c r="G90" s="1519"/>
      <c r="H90" s="1519"/>
      <c r="I90" s="1519"/>
      <c r="J90" s="1519"/>
      <c r="K90" s="1519"/>
      <c r="L90" s="1519"/>
      <c r="M90" s="1528">
        <v>0.95</v>
      </c>
      <c r="N90" s="1528">
        <v>0.91199999999999992</v>
      </c>
      <c r="O90" s="1528">
        <v>0.88463999999999987</v>
      </c>
      <c r="P90" s="1528">
        <v>0.87579359999999984</v>
      </c>
      <c r="Q90" s="1528">
        <v>0.84076185599999986</v>
      </c>
      <c r="R90" s="1528">
        <v>0.80713138175999988</v>
      </c>
      <c r="S90" s="1528">
        <v>0.79906006794239992</v>
      </c>
      <c r="T90" s="1528">
        <v>0.79106946726297589</v>
      </c>
      <c r="U90" s="1522">
        <v>0.78315877259034616</v>
      </c>
    </row>
    <row r="91" spans="1:21" ht="24" customHeight="1">
      <c r="A91" s="1532"/>
      <c r="B91" s="1525"/>
      <c r="C91" s="1531"/>
      <c r="D91" s="528" t="s">
        <v>877</v>
      </c>
      <c r="E91" s="1527"/>
      <c r="F91" s="1519"/>
      <c r="G91" s="1519"/>
      <c r="H91" s="1519"/>
      <c r="I91" s="1519"/>
      <c r="J91" s="1519"/>
      <c r="K91" s="1519"/>
      <c r="L91" s="1519"/>
      <c r="M91" s="1529"/>
      <c r="N91" s="1529"/>
      <c r="O91" s="1529"/>
      <c r="P91" s="1529"/>
      <c r="Q91" s="1529"/>
      <c r="R91" s="1529"/>
      <c r="S91" s="1529"/>
      <c r="T91" s="1529"/>
      <c r="U91" s="1523"/>
    </row>
    <row r="92" spans="1:21" ht="24" customHeight="1">
      <c r="A92" s="1532"/>
      <c r="B92" s="1524" t="s">
        <v>911</v>
      </c>
      <c r="C92" s="1530" t="s">
        <v>903</v>
      </c>
      <c r="D92" s="526" t="s">
        <v>876</v>
      </c>
      <c r="E92" s="1527"/>
      <c r="F92" s="1519"/>
      <c r="G92" s="1519"/>
      <c r="H92" s="1519"/>
      <c r="I92" s="1519"/>
      <c r="J92" s="1519"/>
      <c r="K92" s="1519"/>
      <c r="L92" s="1519"/>
      <c r="M92" s="1519"/>
      <c r="N92" s="1528">
        <v>0.96</v>
      </c>
      <c r="O92" s="1528">
        <v>0.93119999999999992</v>
      </c>
      <c r="P92" s="1528">
        <v>0.92188799999999993</v>
      </c>
      <c r="Q92" s="1528">
        <v>0.88501247999999988</v>
      </c>
      <c r="R92" s="1528">
        <v>0.84961198079999989</v>
      </c>
      <c r="S92" s="1528">
        <v>0.84111586099199986</v>
      </c>
      <c r="T92" s="1528">
        <v>0.83270470238207983</v>
      </c>
      <c r="U92" s="1522">
        <v>0.82437765535825902</v>
      </c>
    </row>
    <row r="93" spans="1:21" ht="24" customHeight="1">
      <c r="A93" s="1532"/>
      <c r="B93" s="1525"/>
      <c r="C93" s="1531"/>
      <c r="D93" s="528" t="s">
        <v>877</v>
      </c>
      <c r="E93" s="1527"/>
      <c r="F93" s="1519"/>
      <c r="G93" s="1519"/>
      <c r="H93" s="1519"/>
      <c r="I93" s="1519"/>
      <c r="J93" s="1519"/>
      <c r="K93" s="1519"/>
      <c r="L93" s="1519"/>
      <c r="M93" s="1519"/>
      <c r="N93" s="1529"/>
      <c r="O93" s="1529"/>
      <c r="P93" s="1529"/>
      <c r="Q93" s="1529"/>
      <c r="R93" s="1529"/>
      <c r="S93" s="1529"/>
      <c r="T93" s="1529"/>
      <c r="U93" s="1523"/>
    </row>
    <row r="94" spans="1:21" ht="24" customHeight="1">
      <c r="A94" s="1532"/>
      <c r="B94" s="1524" t="s">
        <v>912</v>
      </c>
      <c r="C94" s="1530" t="s">
        <v>903</v>
      </c>
      <c r="D94" s="526" t="s">
        <v>876</v>
      </c>
      <c r="E94" s="1527"/>
      <c r="F94" s="1519"/>
      <c r="G94" s="1519"/>
      <c r="H94" s="1519"/>
      <c r="I94" s="1519"/>
      <c r="J94" s="1519"/>
      <c r="K94" s="1519"/>
      <c r="L94" s="1519"/>
      <c r="M94" s="1519"/>
      <c r="N94" s="1519"/>
      <c r="O94" s="1528">
        <v>0.97</v>
      </c>
      <c r="P94" s="1528">
        <v>0.96029999999999993</v>
      </c>
      <c r="Q94" s="1528">
        <v>0.92188799999999993</v>
      </c>
      <c r="R94" s="1528">
        <v>0.88501247999999988</v>
      </c>
      <c r="S94" s="1528">
        <v>0.87616235519999985</v>
      </c>
      <c r="T94" s="1528">
        <v>0.8674007316479998</v>
      </c>
      <c r="U94" s="1522">
        <v>0.85872672433151975</v>
      </c>
    </row>
    <row r="95" spans="1:21" ht="24" customHeight="1">
      <c r="A95" s="1532"/>
      <c r="B95" s="1525"/>
      <c r="C95" s="1531"/>
      <c r="D95" s="528" t="s">
        <v>877</v>
      </c>
      <c r="E95" s="1527"/>
      <c r="F95" s="1519"/>
      <c r="G95" s="1519"/>
      <c r="H95" s="1519"/>
      <c r="I95" s="1519"/>
      <c r="J95" s="1519"/>
      <c r="K95" s="1519"/>
      <c r="L95" s="1519"/>
      <c r="M95" s="1519"/>
      <c r="N95" s="1519"/>
      <c r="O95" s="1529"/>
      <c r="P95" s="1529"/>
      <c r="Q95" s="1529"/>
      <c r="R95" s="1529"/>
      <c r="S95" s="1529"/>
      <c r="T95" s="1529"/>
      <c r="U95" s="1523"/>
    </row>
    <row r="96" spans="1:21" ht="24" customHeight="1">
      <c r="A96" s="1532"/>
      <c r="B96" s="1524" t="s">
        <v>913</v>
      </c>
      <c r="C96" s="1530" t="s">
        <v>903</v>
      </c>
      <c r="D96" s="526" t="s">
        <v>876</v>
      </c>
      <c r="E96" s="1527"/>
      <c r="F96" s="1519"/>
      <c r="G96" s="1519"/>
      <c r="H96" s="1519"/>
      <c r="I96" s="1519"/>
      <c r="J96" s="1519"/>
      <c r="K96" s="1519"/>
      <c r="L96" s="1519"/>
      <c r="M96" s="1519"/>
      <c r="N96" s="1519"/>
      <c r="O96" s="1519"/>
      <c r="P96" s="1528">
        <v>0.99</v>
      </c>
      <c r="Q96" s="1528">
        <v>0.95039999999999991</v>
      </c>
      <c r="R96" s="1528">
        <v>0.91238399999999986</v>
      </c>
      <c r="S96" s="1528">
        <v>0.90326015999999987</v>
      </c>
      <c r="T96" s="1528">
        <v>0.8942275583999999</v>
      </c>
      <c r="U96" s="1522">
        <v>0.88528528281599994</v>
      </c>
    </row>
    <row r="97" spans="1:21" ht="24" customHeight="1">
      <c r="A97" s="1532"/>
      <c r="B97" s="1525"/>
      <c r="C97" s="1531"/>
      <c r="D97" s="528" t="s">
        <v>877</v>
      </c>
      <c r="E97" s="1527"/>
      <c r="F97" s="1519"/>
      <c r="G97" s="1519"/>
      <c r="H97" s="1519"/>
      <c r="I97" s="1519"/>
      <c r="J97" s="1519"/>
      <c r="K97" s="1519"/>
      <c r="L97" s="1519"/>
      <c r="M97" s="1519"/>
      <c r="N97" s="1519"/>
      <c r="O97" s="1519"/>
      <c r="P97" s="1529"/>
      <c r="Q97" s="1529"/>
      <c r="R97" s="1529"/>
      <c r="S97" s="1529"/>
      <c r="T97" s="1529"/>
      <c r="U97" s="1523"/>
    </row>
    <row r="98" spans="1:21" ht="24" customHeight="1">
      <c r="A98" s="1532"/>
      <c r="B98" s="1524" t="s">
        <v>914</v>
      </c>
      <c r="C98" s="1530" t="s">
        <v>903</v>
      </c>
      <c r="D98" s="526" t="s">
        <v>876</v>
      </c>
      <c r="E98" s="1527"/>
      <c r="F98" s="1519"/>
      <c r="G98" s="1519"/>
      <c r="H98" s="1519"/>
      <c r="I98" s="1519"/>
      <c r="J98" s="1519"/>
      <c r="K98" s="1519"/>
      <c r="L98" s="1519"/>
      <c r="M98" s="1519"/>
      <c r="N98" s="1519"/>
      <c r="O98" s="1519"/>
      <c r="P98" s="1519"/>
      <c r="Q98" s="1528">
        <v>0.96</v>
      </c>
      <c r="R98" s="1528">
        <v>0.92159999999999997</v>
      </c>
      <c r="S98" s="1528">
        <v>0.91238399999999997</v>
      </c>
      <c r="T98" s="1528">
        <v>0.90326015999999998</v>
      </c>
      <c r="U98" s="1522">
        <v>0.89422755840000001</v>
      </c>
    </row>
    <row r="99" spans="1:21" ht="24" customHeight="1">
      <c r="A99" s="1532"/>
      <c r="B99" s="1525"/>
      <c r="C99" s="1531"/>
      <c r="D99" s="528" t="s">
        <v>877</v>
      </c>
      <c r="E99" s="1527"/>
      <c r="F99" s="1519"/>
      <c r="G99" s="1519"/>
      <c r="H99" s="1519"/>
      <c r="I99" s="1519"/>
      <c r="J99" s="1519"/>
      <c r="K99" s="1519"/>
      <c r="L99" s="1519"/>
      <c r="M99" s="1519"/>
      <c r="N99" s="1519"/>
      <c r="O99" s="1519"/>
      <c r="P99" s="1519"/>
      <c r="Q99" s="1529"/>
      <c r="R99" s="1529"/>
      <c r="S99" s="1529"/>
      <c r="T99" s="1529"/>
      <c r="U99" s="1523"/>
    </row>
    <row r="100" spans="1:21" ht="24" customHeight="1">
      <c r="A100" s="1532"/>
      <c r="B100" s="1524" t="s">
        <v>915</v>
      </c>
      <c r="C100" s="1530" t="s">
        <v>903</v>
      </c>
      <c r="D100" s="526" t="s">
        <v>876</v>
      </c>
      <c r="E100" s="1527"/>
      <c r="F100" s="1519"/>
      <c r="G100" s="1519"/>
      <c r="H100" s="1519"/>
      <c r="I100" s="1519"/>
      <c r="J100" s="1519"/>
      <c r="K100" s="1519"/>
      <c r="L100" s="1519"/>
      <c r="M100" s="1519"/>
      <c r="N100" s="1519"/>
      <c r="O100" s="1519"/>
      <c r="P100" s="1519"/>
      <c r="Q100" s="1519"/>
      <c r="R100" s="1528">
        <v>0.96</v>
      </c>
      <c r="S100" s="1528">
        <v>0.95039999999999991</v>
      </c>
      <c r="T100" s="1528">
        <v>0.94089599999999995</v>
      </c>
      <c r="U100" s="1522">
        <v>0.93148703999999993</v>
      </c>
    </row>
    <row r="101" spans="1:21" ht="24" customHeight="1">
      <c r="A101" s="1532"/>
      <c r="B101" s="1525"/>
      <c r="C101" s="1531"/>
      <c r="D101" s="528" t="s">
        <v>877</v>
      </c>
      <c r="E101" s="1527"/>
      <c r="F101" s="1519"/>
      <c r="G101" s="1519"/>
      <c r="H101" s="1519"/>
      <c r="I101" s="1519"/>
      <c r="J101" s="1519"/>
      <c r="K101" s="1519"/>
      <c r="L101" s="1519"/>
      <c r="M101" s="1519"/>
      <c r="N101" s="1519"/>
      <c r="O101" s="1519"/>
      <c r="P101" s="1519"/>
      <c r="Q101" s="1519"/>
      <c r="R101" s="1529"/>
      <c r="S101" s="1529"/>
      <c r="T101" s="1529"/>
      <c r="U101" s="1523"/>
    </row>
    <row r="102" spans="1:21" ht="24" customHeight="1">
      <c r="A102" s="1532"/>
      <c r="B102" s="1524" t="s">
        <v>916</v>
      </c>
      <c r="C102" s="1530" t="s">
        <v>903</v>
      </c>
      <c r="D102" s="526" t="s">
        <v>876</v>
      </c>
      <c r="E102" s="1527"/>
      <c r="F102" s="1519"/>
      <c r="G102" s="1519"/>
      <c r="H102" s="1519"/>
      <c r="I102" s="1519"/>
      <c r="J102" s="1519"/>
      <c r="K102" s="1519"/>
      <c r="L102" s="1519"/>
      <c r="M102" s="1519"/>
      <c r="N102" s="1519"/>
      <c r="O102" s="1519"/>
      <c r="P102" s="1519"/>
      <c r="Q102" s="1519"/>
      <c r="R102" s="1519"/>
      <c r="S102" s="1528">
        <v>0.99</v>
      </c>
      <c r="T102" s="1528">
        <v>0.98009999999999997</v>
      </c>
      <c r="U102" s="1522">
        <v>0.97029899999999991</v>
      </c>
    </row>
    <row r="103" spans="1:21" ht="24" customHeight="1">
      <c r="A103" s="1532"/>
      <c r="B103" s="1525"/>
      <c r="C103" s="1531"/>
      <c r="D103" s="528" t="s">
        <v>877</v>
      </c>
      <c r="E103" s="1527"/>
      <c r="F103" s="1519"/>
      <c r="G103" s="1519"/>
      <c r="H103" s="1519"/>
      <c r="I103" s="1519"/>
      <c r="J103" s="1519"/>
      <c r="K103" s="1519"/>
      <c r="L103" s="1519"/>
      <c r="M103" s="1519"/>
      <c r="N103" s="1519"/>
      <c r="O103" s="1519"/>
      <c r="P103" s="1519"/>
      <c r="Q103" s="1519"/>
      <c r="R103" s="1519"/>
      <c r="S103" s="1529"/>
      <c r="T103" s="1529"/>
      <c r="U103" s="1523"/>
    </row>
    <row r="104" spans="1:21" ht="24" customHeight="1">
      <c r="A104" s="1532"/>
      <c r="B104" s="1524" t="s">
        <v>917</v>
      </c>
      <c r="C104" s="1530" t="s">
        <v>903</v>
      </c>
      <c r="D104" s="526" t="s">
        <v>876</v>
      </c>
      <c r="E104" s="1527"/>
      <c r="F104" s="1519"/>
      <c r="G104" s="1519"/>
      <c r="H104" s="1519"/>
      <c r="I104" s="1519"/>
      <c r="J104" s="1519"/>
      <c r="K104" s="1519"/>
      <c r="L104" s="1519"/>
      <c r="M104" s="1519"/>
      <c r="N104" s="1519"/>
      <c r="O104" s="1519"/>
      <c r="P104" s="1519"/>
      <c r="Q104" s="1519"/>
      <c r="R104" s="1519"/>
      <c r="S104" s="1519"/>
      <c r="T104" s="1528">
        <v>0.99</v>
      </c>
      <c r="U104" s="1522">
        <v>0.98009999999999997</v>
      </c>
    </row>
    <row r="105" spans="1:21" ht="24" customHeight="1">
      <c r="A105" s="1532"/>
      <c r="B105" s="1525"/>
      <c r="C105" s="1531"/>
      <c r="D105" s="528" t="s">
        <v>877</v>
      </c>
      <c r="E105" s="1527"/>
      <c r="F105" s="1519"/>
      <c r="G105" s="1519"/>
      <c r="H105" s="1519"/>
      <c r="I105" s="1519"/>
      <c r="J105" s="1519"/>
      <c r="K105" s="1519"/>
      <c r="L105" s="1519"/>
      <c r="M105" s="1519"/>
      <c r="N105" s="1519"/>
      <c r="O105" s="1519"/>
      <c r="P105" s="1519"/>
      <c r="Q105" s="1519"/>
      <c r="R105" s="1519"/>
      <c r="S105" s="1519"/>
      <c r="T105" s="1529"/>
      <c r="U105" s="1523"/>
    </row>
    <row r="106" spans="1:21" ht="24" customHeight="1">
      <c r="A106" s="1532"/>
      <c r="B106" s="1524" t="s">
        <v>918</v>
      </c>
      <c r="C106" s="1530" t="s">
        <v>903</v>
      </c>
      <c r="D106" s="526" t="s">
        <v>876</v>
      </c>
      <c r="E106" s="1527"/>
      <c r="F106" s="1519"/>
      <c r="G106" s="1519"/>
      <c r="H106" s="1519"/>
      <c r="I106" s="1519"/>
      <c r="J106" s="1519"/>
      <c r="K106" s="1519"/>
      <c r="L106" s="1519"/>
      <c r="M106" s="1519"/>
      <c r="N106" s="1519"/>
      <c r="O106" s="1519"/>
      <c r="P106" s="1519"/>
      <c r="Q106" s="1519"/>
      <c r="R106" s="1519"/>
      <c r="S106" s="1519"/>
      <c r="T106" s="1519"/>
      <c r="U106" s="1522">
        <v>0.99</v>
      </c>
    </row>
    <row r="107" spans="1:21" ht="24" customHeight="1">
      <c r="A107" s="1532"/>
      <c r="B107" s="1525"/>
      <c r="C107" s="1531"/>
      <c r="D107" s="528" t="s">
        <v>877</v>
      </c>
      <c r="E107" s="1527"/>
      <c r="F107" s="1519"/>
      <c r="G107" s="1519"/>
      <c r="H107" s="1519"/>
      <c r="I107" s="1519"/>
      <c r="J107" s="1519"/>
      <c r="K107" s="1519"/>
      <c r="L107" s="1519"/>
      <c r="M107" s="1519"/>
      <c r="N107" s="1519"/>
      <c r="O107" s="1519"/>
      <c r="P107" s="1519"/>
      <c r="Q107" s="1519"/>
      <c r="R107" s="1519"/>
      <c r="S107" s="1519"/>
      <c r="T107" s="1519"/>
      <c r="U107" s="1523"/>
    </row>
    <row r="108" spans="1:21" ht="24" customHeight="1">
      <c r="A108" s="1532"/>
      <c r="B108" s="1524" t="s">
        <v>224</v>
      </c>
      <c r="C108" s="1530" t="s">
        <v>903</v>
      </c>
      <c r="D108" s="526" t="s">
        <v>876</v>
      </c>
      <c r="E108" s="1527"/>
      <c r="F108" s="1519"/>
      <c r="G108" s="1519"/>
      <c r="H108" s="1519"/>
      <c r="I108" s="1519"/>
      <c r="J108" s="1519"/>
      <c r="K108" s="1519"/>
      <c r="L108" s="1519"/>
      <c r="M108" s="1519"/>
      <c r="N108" s="1519"/>
      <c r="O108" s="1519"/>
      <c r="P108" s="1519"/>
      <c r="Q108" s="1519"/>
      <c r="R108" s="1519"/>
      <c r="S108" s="1519"/>
      <c r="T108" s="1519"/>
      <c r="U108" s="1520"/>
    </row>
    <row r="109" spans="1:21" ht="24" customHeight="1">
      <c r="A109" s="1525"/>
      <c r="B109" s="1525"/>
      <c r="C109" s="1533"/>
      <c r="D109" s="528" t="s">
        <v>877</v>
      </c>
      <c r="E109" s="1527"/>
      <c r="F109" s="1519"/>
      <c r="G109" s="1519"/>
      <c r="H109" s="1519"/>
      <c r="I109" s="1519"/>
      <c r="J109" s="1519"/>
      <c r="K109" s="1519"/>
      <c r="L109" s="1519"/>
      <c r="M109" s="1519"/>
      <c r="N109" s="1519"/>
      <c r="O109" s="1519"/>
      <c r="P109" s="1519"/>
      <c r="Q109" s="1519"/>
      <c r="R109" s="1519"/>
      <c r="S109" s="1519"/>
      <c r="T109" s="1519"/>
      <c r="U109" s="1521"/>
    </row>
    <row r="110" spans="1:21" ht="24" customHeight="1">
      <c r="A110" s="1524" t="s">
        <v>228</v>
      </c>
      <c r="B110" s="1524" t="s">
        <v>902</v>
      </c>
      <c r="C110" s="1530" t="s">
        <v>903</v>
      </c>
      <c r="D110" s="526" t="s">
        <v>876</v>
      </c>
      <c r="E110" s="1527"/>
      <c r="F110" s="1528">
        <v>0.63</v>
      </c>
      <c r="G110" s="1528">
        <v>0.4914</v>
      </c>
      <c r="H110" s="1528">
        <v>0.42260399999999998</v>
      </c>
      <c r="I110" s="1528">
        <v>0.40147379999999994</v>
      </c>
      <c r="J110" s="1528">
        <v>0.35731168199999996</v>
      </c>
      <c r="K110" s="1528">
        <v>0.32872674743999997</v>
      </c>
      <c r="L110" s="1528">
        <v>0.31229041006799996</v>
      </c>
      <c r="M110" s="1528">
        <v>0.29667588956459995</v>
      </c>
      <c r="N110" s="1528">
        <v>0.28480885398201594</v>
      </c>
      <c r="O110" s="1528">
        <v>0.27626458836255546</v>
      </c>
      <c r="P110" s="1528">
        <v>0.27350194247892989</v>
      </c>
      <c r="Q110" s="1528">
        <v>0.26256186477977267</v>
      </c>
      <c r="R110" s="1528">
        <v>0.25205939018858176</v>
      </c>
      <c r="S110" s="1528">
        <v>0.24953879628669592</v>
      </c>
      <c r="T110" s="1528">
        <v>0.24704340832382896</v>
      </c>
      <c r="U110" s="1522">
        <v>0.24457297424059066</v>
      </c>
    </row>
    <row r="111" spans="1:21" ht="24" customHeight="1">
      <c r="A111" s="1532"/>
      <c r="B111" s="1525"/>
      <c r="C111" s="1531"/>
      <c r="D111" s="528" t="s">
        <v>877</v>
      </c>
      <c r="E111" s="1527"/>
      <c r="F111" s="1529"/>
      <c r="G111" s="1529"/>
      <c r="H111" s="1529"/>
      <c r="I111" s="1529"/>
      <c r="J111" s="1529"/>
      <c r="K111" s="1529"/>
      <c r="L111" s="1529"/>
      <c r="M111" s="1529"/>
      <c r="N111" s="1529"/>
      <c r="O111" s="1529"/>
      <c r="P111" s="1529"/>
      <c r="Q111" s="1529"/>
      <c r="R111" s="1529"/>
      <c r="S111" s="1529"/>
      <c r="T111" s="1529"/>
      <c r="U111" s="1523"/>
    </row>
    <row r="112" spans="1:21" ht="24" customHeight="1">
      <c r="A112" s="1532"/>
      <c r="B112" s="1524" t="s">
        <v>904</v>
      </c>
      <c r="C112" s="1530" t="s">
        <v>903</v>
      </c>
      <c r="D112" s="526" t="s">
        <v>876</v>
      </c>
      <c r="E112" s="1527"/>
      <c r="F112" s="1519"/>
      <c r="G112" s="1528">
        <v>0.78</v>
      </c>
      <c r="H112" s="1528">
        <v>0.67080000000000006</v>
      </c>
      <c r="I112" s="1528">
        <v>0.63726000000000005</v>
      </c>
      <c r="J112" s="1528">
        <v>0.56716140000000004</v>
      </c>
      <c r="K112" s="1528">
        <v>0.52178848800000011</v>
      </c>
      <c r="L112" s="1528">
        <v>0.4956990636000001</v>
      </c>
      <c r="M112" s="1528">
        <v>0.47091411042000009</v>
      </c>
      <c r="N112" s="1528">
        <v>0.45207754600320005</v>
      </c>
      <c r="O112" s="1528">
        <v>0.43851521962310402</v>
      </c>
      <c r="P112" s="1528">
        <v>0.43413006742687299</v>
      </c>
      <c r="Q112" s="1528">
        <v>0.41676486472979807</v>
      </c>
      <c r="R112" s="1528">
        <v>0.40009427014060611</v>
      </c>
      <c r="S112" s="1528">
        <v>0.39609332743920006</v>
      </c>
      <c r="T112" s="1528">
        <v>0.39213239416480805</v>
      </c>
      <c r="U112" s="1522">
        <v>0.38821107022315998</v>
      </c>
    </row>
    <row r="113" spans="1:21" ht="24" customHeight="1">
      <c r="A113" s="1532"/>
      <c r="B113" s="1525"/>
      <c r="C113" s="1531"/>
      <c r="D113" s="528" t="s">
        <v>877</v>
      </c>
      <c r="E113" s="1527"/>
      <c r="F113" s="1519"/>
      <c r="G113" s="1529"/>
      <c r="H113" s="1529"/>
      <c r="I113" s="1529"/>
      <c r="J113" s="1529"/>
      <c r="K113" s="1529"/>
      <c r="L113" s="1529"/>
      <c r="M113" s="1529"/>
      <c r="N113" s="1529"/>
      <c r="O113" s="1529"/>
      <c r="P113" s="1529"/>
      <c r="Q113" s="1529"/>
      <c r="R113" s="1529"/>
      <c r="S113" s="1529"/>
      <c r="T113" s="1529"/>
      <c r="U113" s="1523"/>
    </row>
    <row r="114" spans="1:21" ht="24" customHeight="1">
      <c r="A114" s="1532"/>
      <c r="B114" s="1524" t="s">
        <v>905</v>
      </c>
      <c r="C114" s="1530" t="s">
        <v>903</v>
      </c>
      <c r="D114" s="526" t="s">
        <v>876</v>
      </c>
      <c r="E114" s="1527"/>
      <c r="F114" s="1519"/>
      <c r="G114" s="1519"/>
      <c r="H114" s="1528">
        <v>0.86</v>
      </c>
      <c r="I114" s="1528">
        <v>0.81699999999999995</v>
      </c>
      <c r="J114" s="1528">
        <v>0.72712999999999994</v>
      </c>
      <c r="K114" s="1528">
        <v>0.66895959999999999</v>
      </c>
      <c r="L114" s="1528">
        <v>0.63551161999999994</v>
      </c>
      <c r="M114" s="1528">
        <v>0.60373603899999995</v>
      </c>
      <c r="N114" s="1528">
        <v>0.57958659743999996</v>
      </c>
      <c r="O114" s="1528">
        <v>0.56219899951679997</v>
      </c>
      <c r="P114" s="1528">
        <v>0.55657700952163192</v>
      </c>
      <c r="Q114" s="1528">
        <v>0.53431392914076659</v>
      </c>
      <c r="R114" s="1528">
        <v>0.5129413719751359</v>
      </c>
      <c r="S114" s="1528">
        <v>0.5078119582553845</v>
      </c>
      <c r="T114" s="1528">
        <v>0.50273383867283061</v>
      </c>
      <c r="U114" s="1522">
        <v>0.4977065002861023</v>
      </c>
    </row>
    <row r="115" spans="1:21" ht="24" customHeight="1">
      <c r="A115" s="1532"/>
      <c r="B115" s="1525"/>
      <c r="C115" s="1531"/>
      <c r="D115" s="528" t="s">
        <v>877</v>
      </c>
      <c r="E115" s="1527"/>
      <c r="F115" s="1519"/>
      <c r="G115" s="1519"/>
      <c r="H115" s="1529"/>
      <c r="I115" s="1529"/>
      <c r="J115" s="1529"/>
      <c r="K115" s="1529"/>
      <c r="L115" s="1529"/>
      <c r="M115" s="1529"/>
      <c r="N115" s="1529"/>
      <c r="O115" s="1529"/>
      <c r="P115" s="1529"/>
      <c r="Q115" s="1529"/>
      <c r="R115" s="1529"/>
      <c r="S115" s="1529"/>
      <c r="T115" s="1529"/>
      <c r="U115" s="1523"/>
    </row>
    <row r="116" spans="1:21" ht="24" customHeight="1">
      <c r="A116" s="1532"/>
      <c r="B116" s="1524" t="s">
        <v>906</v>
      </c>
      <c r="C116" s="1530" t="s">
        <v>903</v>
      </c>
      <c r="D116" s="526" t="s">
        <v>876</v>
      </c>
      <c r="E116" s="1527"/>
      <c r="F116" s="1519"/>
      <c r="G116" s="1519"/>
      <c r="H116" s="1519"/>
      <c r="I116" s="1528">
        <v>0.95</v>
      </c>
      <c r="J116" s="1528">
        <v>0.84549999999999992</v>
      </c>
      <c r="K116" s="1528">
        <v>0.77786</v>
      </c>
      <c r="L116" s="1528">
        <v>0.73896699999999993</v>
      </c>
      <c r="M116" s="1528">
        <v>0.70201864999999986</v>
      </c>
      <c r="N116" s="1528">
        <v>0.67393790399999987</v>
      </c>
      <c r="O116" s="1528">
        <v>0.65371976687999989</v>
      </c>
      <c r="P116" s="1528">
        <v>0.64718256921119988</v>
      </c>
      <c r="Q116" s="1528">
        <v>0.6212952664427519</v>
      </c>
      <c r="R116" s="1528">
        <v>0.59644345578504177</v>
      </c>
      <c r="S116" s="1528">
        <v>0.59047902122719131</v>
      </c>
      <c r="T116" s="1528">
        <v>0.58457423101491934</v>
      </c>
      <c r="U116" s="1522">
        <v>0.57872848870477012</v>
      </c>
    </row>
    <row r="117" spans="1:21" ht="24" customHeight="1">
      <c r="A117" s="1532"/>
      <c r="B117" s="1525"/>
      <c r="C117" s="1531"/>
      <c r="D117" s="528" t="s">
        <v>877</v>
      </c>
      <c r="E117" s="1527"/>
      <c r="F117" s="1519"/>
      <c r="G117" s="1519"/>
      <c r="H117" s="1519"/>
      <c r="I117" s="1529"/>
      <c r="J117" s="1529"/>
      <c r="K117" s="1529"/>
      <c r="L117" s="1529"/>
      <c r="M117" s="1529"/>
      <c r="N117" s="1529"/>
      <c r="O117" s="1529"/>
      <c r="P117" s="1529"/>
      <c r="Q117" s="1529"/>
      <c r="R117" s="1529"/>
      <c r="S117" s="1529"/>
      <c r="T117" s="1529"/>
      <c r="U117" s="1523"/>
    </row>
    <row r="118" spans="1:21" ht="24" customHeight="1">
      <c r="A118" s="1532"/>
      <c r="B118" s="1524" t="s">
        <v>907</v>
      </c>
      <c r="C118" s="1530" t="s">
        <v>903</v>
      </c>
      <c r="D118" s="526" t="s">
        <v>876</v>
      </c>
      <c r="E118" s="1527"/>
      <c r="F118" s="1519"/>
      <c r="G118" s="1519"/>
      <c r="H118" s="1519"/>
      <c r="I118" s="1519"/>
      <c r="J118" s="1528">
        <v>0.89</v>
      </c>
      <c r="K118" s="1528">
        <v>0.81880000000000008</v>
      </c>
      <c r="L118" s="1528">
        <v>0.77786</v>
      </c>
      <c r="M118" s="1528">
        <v>0.73896699999999993</v>
      </c>
      <c r="N118" s="1528">
        <v>0.70940831999999987</v>
      </c>
      <c r="O118" s="1528">
        <v>0.68812607039999985</v>
      </c>
      <c r="P118" s="1528">
        <v>0.68124480969599988</v>
      </c>
      <c r="Q118" s="1528">
        <v>0.6539950173081599</v>
      </c>
      <c r="R118" s="1528">
        <v>0.62783521661583352</v>
      </c>
      <c r="S118" s="1528">
        <v>0.62155686444967517</v>
      </c>
      <c r="T118" s="1528">
        <v>0.61534129580517838</v>
      </c>
      <c r="U118" s="1522">
        <v>0.60918788284712655</v>
      </c>
    </row>
    <row r="119" spans="1:21" ht="24" customHeight="1">
      <c r="A119" s="1532"/>
      <c r="B119" s="1525"/>
      <c r="C119" s="1531"/>
      <c r="D119" s="528" t="s">
        <v>877</v>
      </c>
      <c r="E119" s="1527"/>
      <c r="F119" s="1519"/>
      <c r="G119" s="1519"/>
      <c r="H119" s="1519"/>
      <c r="I119" s="1519"/>
      <c r="J119" s="1529"/>
      <c r="K119" s="1529"/>
      <c r="L119" s="1529"/>
      <c r="M119" s="1529"/>
      <c r="N119" s="1529"/>
      <c r="O119" s="1529"/>
      <c r="P119" s="1529"/>
      <c r="Q119" s="1529"/>
      <c r="R119" s="1529"/>
      <c r="S119" s="1529"/>
      <c r="T119" s="1529"/>
      <c r="U119" s="1523"/>
    </row>
    <row r="120" spans="1:21" ht="24" customHeight="1">
      <c r="A120" s="1532"/>
      <c r="B120" s="1524" t="s">
        <v>908</v>
      </c>
      <c r="C120" s="1530" t="s">
        <v>903</v>
      </c>
      <c r="D120" s="526" t="s">
        <v>876</v>
      </c>
      <c r="E120" s="1527"/>
      <c r="F120" s="1519"/>
      <c r="G120" s="1519"/>
      <c r="H120" s="1519"/>
      <c r="I120" s="1519"/>
      <c r="J120" s="1519"/>
      <c r="K120" s="1528">
        <v>0.92</v>
      </c>
      <c r="L120" s="1528">
        <v>0.874</v>
      </c>
      <c r="M120" s="1528">
        <v>0.83029999999999993</v>
      </c>
      <c r="N120" s="1528">
        <v>0.79708799999999991</v>
      </c>
      <c r="O120" s="1528">
        <v>0.77317535999999987</v>
      </c>
      <c r="P120" s="1528">
        <v>0.76544360639999987</v>
      </c>
      <c r="Q120" s="1528">
        <v>0.73482586214399981</v>
      </c>
      <c r="R120" s="1528">
        <v>0.70543282765823978</v>
      </c>
      <c r="S120" s="1528">
        <v>0.69837849938165741</v>
      </c>
      <c r="T120" s="1528">
        <v>0.69139471438784084</v>
      </c>
      <c r="U120" s="1522">
        <v>0.68448076724396245</v>
      </c>
    </row>
    <row r="121" spans="1:21" ht="24" customHeight="1">
      <c r="A121" s="1532"/>
      <c r="B121" s="1525"/>
      <c r="C121" s="1531"/>
      <c r="D121" s="528" t="s">
        <v>877</v>
      </c>
      <c r="E121" s="1527"/>
      <c r="F121" s="1519"/>
      <c r="G121" s="1519"/>
      <c r="H121" s="1519"/>
      <c r="I121" s="1519"/>
      <c r="J121" s="1519"/>
      <c r="K121" s="1529"/>
      <c r="L121" s="1529"/>
      <c r="M121" s="1529"/>
      <c r="N121" s="1529"/>
      <c r="O121" s="1529"/>
      <c r="P121" s="1529"/>
      <c r="Q121" s="1529"/>
      <c r="R121" s="1529"/>
      <c r="S121" s="1529"/>
      <c r="T121" s="1529"/>
      <c r="U121" s="1523"/>
    </row>
    <row r="122" spans="1:21" ht="24" customHeight="1">
      <c r="A122" s="1532"/>
      <c r="B122" s="1524" t="s">
        <v>909</v>
      </c>
      <c r="C122" s="1530" t="s">
        <v>903</v>
      </c>
      <c r="D122" s="526" t="s">
        <v>876</v>
      </c>
      <c r="E122" s="1527"/>
      <c r="F122" s="1519"/>
      <c r="G122" s="1519"/>
      <c r="H122" s="1519"/>
      <c r="I122" s="1519"/>
      <c r="J122" s="1519"/>
      <c r="K122" s="1519"/>
      <c r="L122" s="1528">
        <v>0.95</v>
      </c>
      <c r="M122" s="1528">
        <v>0.90249999999999997</v>
      </c>
      <c r="N122" s="1528">
        <v>0.86639999999999995</v>
      </c>
      <c r="O122" s="1528">
        <v>0.84040799999999993</v>
      </c>
      <c r="P122" s="1528">
        <v>0.8320039199999999</v>
      </c>
      <c r="Q122" s="1528">
        <v>0.79872376319999983</v>
      </c>
      <c r="R122" s="1528">
        <v>0.76677481267199976</v>
      </c>
      <c r="S122" s="1528">
        <v>0.75910706454527976</v>
      </c>
      <c r="T122" s="1528">
        <v>0.75151599389982693</v>
      </c>
      <c r="U122" s="1522">
        <v>0.74400083396082861</v>
      </c>
    </row>
    <row r="123" spans="1:21" ht="24" customHeight="1">
      <c r="A123" s="1532"/>
      <c r="B123" s="1525"/>
      <c r="C123" s="1531"/>
      <c r="D123" s="528" t="s">
        <v>877</v>
      </c>
      <c r="E123" s="1527"/>
      <c r="F123" s="1519"/>
      <c r="G123" s="1519"/>
      <c r="H123" s="1519"/>
      <c r="I123" s="1519"/>
      <c r="J123" s="1519"/>
      <c r="K123" s="1519"/>
      <c r="L123" s="1529"/>
      <c r="M123" s="1529"/>
      <c r="N123" s="1529"/>
      <c r="O123" s="1529"/>
      <c r="P123" s="1529"/>
      <c r="Q123" s="1529"/>
      <c r="R123" s="1529"/>
      <c r="S123" s="1529"/>
      <c r="T123" s="1529"/>
      <c r="U123" s="1523"/>
    </row>
    <row r="124" spans="1:21" ht="24" customHeight="1">
      <c r="A124" s="1532"/>
      <c r="B124" s="1524" t="s">
        <v>910</v>
      </c>
      <c r="C124" s="1530" t="s">
        <v>903</v>
      </c>
      <c r="D124" s="526" t="s">
        <v>876</v>
      </c>
      <c r="E124" s="1527"/>
      <c r="F124" s="1519"/>
      <c r="G124" s="1519"/>
      <c r="H124" s="1519"/>
      <c r="I124" s="1519"/>
      <c r="J124" s="1519"/>
      <c r="K124" s="1519"/>
      <c r="L124" s="1519"/>
      <c r="M124" s="1528">
        <v>0.95</v>
      </c>
      <c r="N124" s="1528">
        <v>0.91199999999999992</v>
      </c>
      <c r="O124" s="1528">
        <v>0.88463999999999987</v>
      </c>
      <c r="P124" s="1528">
        <v>0.87579359999999984</v>
      </c>
      <c r="Q124" s="1528">
        <v>0.84076185599999986</v>
      </c>
      <c r="R124" s="1528">
        <v>0.80713138175999988</v>
      </c>
      <c r="S124" s="1528">
        <v>0.79906006794239992</v>
      </c>
      <c r="T124" s="1528">
        <v>0.79106946726297589</v>
      </c>
      <c r="U124" s="1522">
        <v>0.78315877259034616</v>
      </c>
    </row>
    <row r="125" spans="1:21" ht="24" customHeight="1">
      <c r="A125" s="1532"/>
      <c r="B125" s="1525"/>
      <c r="C125" s="1531"/>
      <c r="D125" s="528" t="s">
        <v>877</v>
      </c>
      <c r="E125" s="1527"/>
      <c r="F125" s="1519"/>
      <c r="G125" s="1519"/>
      <c r="H125" s="1519"/>
      <c r="I125" s="1519"/>
      <c r="J125" s="1519"/>
      <c r="K125" s="1519"/>
      <c r="L125" s="1519"/>
      <c r="M125" s="1529"/>
      <c r="N125" s="1529"/>
      <c r="O125" s="1529"/>
      <c r="P125" s="1529"/>
      <c r="Q125" s="1529"/>
      <c r="R125" s="1529"/>
      <c r="S125" s="1529"/>
      <c r="T125" s="1529"/>
      <c r="U125" s="1523"/>
    </row>
    <row r="126" spans="1:21" ht="24" customHeight="1">
      <c r="A126" s="1532"/>
      <c r="B126" s="1524" t="s">
        <v>911</v>
      </c>
      <c r="C126" s="1530" t="s">
        <v>903</v>
      </c>
      <c r="D126" s="526" t="s">
        <v>876</v>
      </c>
      <c r="E126" s="1527"/>
      <c r="F126" s="1519"/>
      <c r="G126" s="1519"/>
      <c r="H126" s="1519"/>
      <c r="I126" s="1519"/>
      <c r="J126" s="1519"/>
      <c r="K126" s="1519"/>
      <c r="L126" s="1519"/>
      <c r="M126" s="1519"/>
      <c r="N126" s="1528">
        <v>0.96</v>
      </c>
      <c r="O126" s="1528">
        <v>0.93119999999999992</v>
      </c>
      <c r="P126" s="1528">
        <v>0.92188799999999993</v>
      </c>
      <c r="Q126" s="1528">
        <v>0.88501247999999988</v>
      </c>
      <c r="R126" s="1528">
        <v>0.84961198079999989</v>
      </c>
      <c r="S126" s="1528">
        <v>0.84111586099199986</v>
      </c>
      <c r="T126" s="1528">
        <v>0.83270470238207983</v>
      </c>
      <c r="U126" s="1522">
        <v>0.82437765535825902</v>
      </c>
    </row>
    <row r="127" spans="1:21" ht="24" customHeight="1">
      <c r="A127" s="1532"/>
      <c r="B127" s="1525"/>
      <c r="C127" s="1531"/>
      <c r="D127" s="528" t="s">
        <v>877</v>
      </c>
      <c r="E127" s="1527"/>
      <c r="F127" s="1519"/>
      <c r="G127" s="1519"/>
      <c r="H127" s="1519"/>
      <c r="I127" s="1519"/>
      <c r="J127" s="1519"/>
      <c r="K127" s="1519"/>
      <c r="L127" s="1519"/>
      <c r="M127" s="1519"/>
      <c r="N127" s="1529"/>
      <c r="O127" s="1529"/>
      <c r="P127" s="1529"/>
      <c r="Q127" s="1529"/>
      <c r="R127" s="1529"/>
      <c r="S127" s="1529"/>
      <c r="T127" s="1529"/>
      <c r="U127" s="1523"/>
    </row>
    <row r="128" spans="1:21" ht="24" customHeight="1">
      <c r="A128" s="1532"/>
      <c r="B128" s="1524" t="s">
        <v>912</v>
      </c>
      <c r="C128" s="1530" t="s">
        <v>903</v>
      </c>
      <c r="D128" s="526" t="s">
        <v>876</v>
      </c>
      <c r="E128" s="1527"/>
      <c r="F128" s="1519"/>
      <c r="G128" s="1519"/>
      <c r="H128" s="1519"/>
      <c r="I128" s="1519"/>
      <c r="J128" s="1519"/>
      <c r="K128" s="1519"/>
      <c r="L128" s="1519"/>
      <c r="M128" s="1519"/>
      <c r="N128" s="1519"/>
      <c r="O128" s="1528">
        <v>0.97</v>
      </c>
      <c r="P128" s="1528">
        <v>0.96029999999999993</v>
      </c>
      <c r="Q128" s="1528">
        <v>0.92188799999999993</v>
      </c>
      <c r="R128" s="1528">
        <v>0.88501247999999988</v>
      </c>
      <c r="S128" s="1528">
        <v>0.87616235519999985</v>
      </c>
      <c r="T128" s="1528">
        <v>0.8674007316479998</v>
      </c>
      <c r="U128" s="1522">
        <v>0.85872672433151975</v>
      </c>
    </row>
    <row r="129" spans="1:21" ht="24" customHeight="1">
      <c r="A129" s="1532"/>
      <c r="B129" s="1525"/>
      <c r="C129" s="1531"/>
      <c r="D129" s="528" t="s">
        <v>877</v>
      </c>
      <c r="E129" s="1527"/>
      <c r="F129" s="1519"/>
      <c r="G129" s="1519"/>
      <c r="H129" s="1519"/>
      <c r="I129" s="1519"/>
      <c r="J129" s="1519"/>
      <c r="K129" s="1519"/>
      <c r="L129" s="1519"/>
      <c r="M129" s="1519"/>
      <c r="N129" s="1519"/>
      <c r="O129" s="1529"/>
      <c r="P129" s="1529"/>
      <c r="Q129" s="1529"/>
      <c r="R129" s="1529"/>
      <c r="S129" s="1529"/>
      <c r="T129" s="1529"/>
      <c r="U129" s="1523"/>
    </row>
    <row r="130" spans="1:21" ht="24" customHeight="1">
      <c r="A130" s="1532"/>
      <c r="B130" s="1524" t="s">
        <v>913</v>
      </c>
      <c r="C130" s="1530" t="s">
        <v>903</v>
      </c>
      <c r="D130" s="526" t="s">
        <v>876</v>
      </c>
      <c r="E130" s="1527"/>
      <c r="F130" s="1519"/>
      <c r="G130" s="1519"/>
      <c r="H130" s="1519"/>
      <c r="I130" s="1519"/>
      <c r="J130" s="1519"/>
      <c r="K130" s="1519"/>
      <c r="L130" s="1519"/>
      <c r="M130" s="1519"/>
      <c r="N130" s="1519"/>
      <c r="O130" s="1519"/>
      <c r="P130" s="1528">
        <v>0.99</v>
      </c>
      <c r="Q130" s="1528">
        <v>0.95039999999999991</v>
      </c>
      <c r="R130" s="1528">
        <v>0.91238399999999986</v>
      </c>
      <c r="S130" s="1528">
        <v>0.90326015999999987</v>
      </c>
      <c r="T130" s="1528">
        <v>0.8942275583999999</v>
      </c>
      <c r="U130" s="1522">
        <v>0.88528528281599994</v>
      </c>
    </row>
    <row r="131" spans="1:21" ht="24" customHeight="1">
      <c r="A131" s="1532"/>
      <c r="B131" s="1525"/>
      <c r="C131" s="1531"/>
      <c r="D131" s="528" t="s">
        <v>877</v>
      </c>
      <c r="E131" s="1527"/>
      <c r="F131" s="1519"/>
      <c r="G131" s="1519"/>
      <c r="H131" s="1519"/>
      <c r="I131" s="1519"/>
      <c r="J131" s="1519"/>
      <c r="K131" s="1519"/>
      <c r="L131" s="1519"/>
      <c r="M131" s="1519"/>
      <c r="N131" s="1519"/>
      <c r="O131" s="1519"/>
      <c r="P131" s="1529"/>
      <c r="Q131" s="1529"/>
      <c r="R131" s="1529"/>
      <c r="S131" s="1529"/>
      <c r="T131" s="1529"/>
      <c r="U131" s="1523"/>
    </row>
    <row r="132" spans="1:21" ht="24" customHeight="1">
      <c r="A132" s="1532"/>
      <c r="B132" s="1524" t="s">
        <v>914</v>
      </c>
      <c r="C132" s="1530" t="s">
        <v>903</v>
      </c>
      <c r="D132" s="526" t="s">
        <v>876</v>
      </c>
      <c r="E132" s="1527"/>
      <c r="F132" s="1519"/>
      <c r="G132" s="1519"/>
      <c r="H132" s="1519"/>
      <c r="I132" s="1519"/>
      <c r="J132" s="1519"/>
      <c r="K132" s="1519"/>
      <c r="L132" s="1519"/>
      <c r="M132" s="1519"/>
      <c r="N132" s="1519"/>
      <c r="O132" s="1519"/>
      <c r="P132" s="1519"/>
      <c r="Q132" s="1528">
        <v>0.96</v>
      </c>
      <c r="R132" s="1528">
        <v>0.92159999999999997</v>
      </c>
      <c r="S132" s="1528">
        <v>0.91238399999999997</v>
      </c>
      <c r="T132" s="1528">
        <v>0.90326015999999998</v>
      </c>
      <c r="U132" s="1522">
        <v>0.89422755840000001</v>
      </c>
    </row>
    <row r="133" spans="1:21" ht="24" customHeight="1">
      <c r="A133" s="1532"/>
      <c r="B133" s="1525"/>
      <c r="C133" s="1531"/>
      <c r="D133" s="528" t="s">
        <v>877</v>
      </c>
      <c r="E133" s="1527"/>
      <c r="F133" s="1519"/>
      <c r="G133" s="1519"/>
      <c r="H133" s="1519"/>
      <c r="I133" s="1519"/>
      <c r="J133" s="1519"/>
      <c r="K133" s="1519"/>
      <c r="L133" s="1519"/>
      <c r="M133" s="1519"/>
      <c r="N133" s="1519"/>
      <c r="O133" s="1519"/>
      <c r="P133" s="1519"/>
      <c r="Q133" s="1529"/>
      <c r="R133" s="1529"/>
      <c r="S133" s="1529"/>
      <c r="T133" s="1529"/>
      <c r="U133" s="1523"/>
    </row>
    <row r="134" spans="1:21" ht="24" customHeight="1">
      <c r="A134" s="1532"/>
      <c r="B134" s="1524" t="s">
        <v>915</v>
      </c>
      <c r="C134" s="1530" t="s">
        <v>903</v>
      </c>
      <c r="D134" s="526" t="s">
        <v>876</v>
      </c>
      <c r="E134" s="1527"/>
      <c r="F134" s="1519"/>
      <c r="G134" s="1519"/>
      <c r="H134" s="1519"/>
      <c r="I134" s="1519"/>
      <c r="J134" s="1519"/>
      <c r="K134" s="1519"/>
      <c r="L134" s="1519"/>
      <c r="M134" s="1519"/>
      <c r="N134" s="1519"/>
      <c r="O134" s="1519"/>
      <c r="P134" s="1519"/>
      <c r="Q134" s="1519"/>
      <c r="R134" s="1528">
        <v>0.96</v>
      </c>
      <c r="S134" s="1528">
        <v>0.95039999999999991</v>
      </c>
      <c r="T134" s="1528">
        <v>0.94089599999999995</v>
      </c>
      <c r="U134" s="1522">
        <v>0.93148703999999993</v>
      </c>
    </row>
    <row r="135" spans="1:21" ht="24" customHeight="1">
      <c r="A135" s="1532"/>
      <c r="B135" s="1525"/>
      <c r="C135" s="1531"/>
      <c r="D135" s="528" t="s">
        <v>877</v>
      </c>
      <c r="E135" s="1527"/>
      <c r="F135" s="1519"/>
      <c r="G135" s="1519"/>
      <c r="H135" s="1519"/>
      <c r="I135" s="1519"/>
      <c r="J135" s="1519"/>
      <c r="K135" s="1519"/>
      <c r="L135" s="1519"/>
      <c r="M135" s="1519"/>
      <c r="N135" s="1519"/>
      <c r="O135" s="1519"/>
      <c r="P135" s="1519"/>
      <c r="Q135" s="1519"/>
      <c r="R135" s="1529"/>
      <c r="S135" s="1529"/>
      <c r="T135" s="1529"/>
      <c r="U135" s="1523"/>
    </row>
    <row r="136" spans="1:21" ht="24" customHeight="1">
      <c r="A136" s="1532"/>
      <c r="B136" s="1524" t="s">
        <v>916</v>
      </c>
      <c r="C136" s="1530" t="s">
        <v>903</v>
      </c>
      <c r="D136" s="526" t="s">
        <v>876</v>
      </c>
      <c r="E136" s="1527"/>
      <c r="F136" s="1519"/>
      <c r="G136" s="1519"/>
      <c r="H136" s="1519"/>
      <c r="I136" s="1519"/>
      <c r="J136" s="1519"/>
      <c r="K136" s="1519"/>
      <c r="L136" s="1519"/>
      <c r="M136" s="1519"/>
      <c r="N136" s="1519"/>
      <c r="O136" s="1519"/>
      <c r="P136" s="1519"/>
      <c r="Q136" s="1519"/>
      <c r="R136" s="1519"/>
      <c r="S136" s="1528">
        <v>0.99</v>
      </c>
      <c r="T136" s="1528">
        <v>0.98009999999999997</v>
      </c>
      <c r="U136" s="1522">
        <v>0.97029899999999991</v>
      </c>
    </row>
    <row r="137" spans="1:21" ht="24" customHeight="1">
      <c r="A137" s="1532"/>
      <c r="B137" s="1525"/>
      <c r="C137" s="1531"/>
      <c r="D137" s="528" t="s">
        <v>877</v>
      </c>
      <c r="E137" s="1527"/>
      <c r="F137" s="1519"/>
      <c r="G137" s="1519"/>
      <c r="H137" s="1519"/>
      <c r="I137" s="1519"/>
      <c r="J137" s="1519"/>
      <c r="K137" s="1519"/>
      <c r="L137" s="1519"/>
      <c r="M137" s="1519"/>
      <c r="N137" s="1519"/>
      <c r="O137" s="1519"/>
      <c r="P137" s="1519"/>
      <c r="Q137" s="1519"/>
      <c r="R137" s="1519"/>
      <c r="S137" s="1529"/>
      <c r="T137" s="1529"/>
      <c r="U137" s="1523"/>
    </row>
    <row r="138" spans="1:21" ht="24" customHeight="1">
      <c r="A138" s="1532"/>
      <c r="B138" s="1524" t="s">
        <v>917</v>
      </c>
      <c r="C138" s="1530" t="s">
        <v>903</v>
      </c>
      <c r="D138" s="526" t="s">
        <v>876</v>
      </c>
      <c r="E138" s="1527"/>
      <c r="F138" s="1519"/>
      <c r="G138" s="1519"/>
      <c r="H138" s="1519"/>
      <c r="I138" s="1519"/>
      <c r="J138" s="1519"/>
      <c r="K138" s="1519"/>
      <c r="L138" s="1519"/>
      <c r="M138" s="1519"/>
      <c r="N138" s="1519"/>
      <c r="O138" s="1519"/>
      <c r="P138" s="1519"/>
      <c r="Q138" s="1519"/>
      <c r="R138" s="1519"/>
      <c r="S138" s="1519"/>
      <c r="T138" s="1528">
        <v>0.99</v>
      </c>
      <c r="U138" s="1522">
        <v>0.98009999999999997</v>
      </c>
    </row>
    <row r="139" spans="1:21" ht="24" customHeight="1">
      <c r="A139" s="1532"/>
      <c r="B139" s="1525"/>
      <c r="C139" s="1531"/>
      <c r="D139" s="528" t="s">
        <v>877</v>
      </c>
      <c r="E139" s="1527"/>
      <c r="F139" s="1519"/>
      <c r="G139" s="1519"/>
      <c r="H139" s="1519"/>
      <c r="I139" s="1519"/>
      <c r="J139" s="1519"/>
      <c r="K139" s="1519"/>
      <c r="L139" s="1519"/>
      <c r="M139" s="1519"/>
      <c r="N139" s="1519"/>
      <c r="O139" s="1519"/>
      <c r="P139" s="1519"/>
      <c r="Q139" s="1519"/>
      <c r="R139" s="1519"/>
      <c r="S139" s="1519"/>
      <c r="T139" s="1529"/>
      <c r="U139" s="1523"/>
    </row>
    <row r="140" spans="1:21" ht="24" customHeight="1">
      <c r="A140" s="1532"/>
      <c r="B140" s="1524" t="s">
        <v>918</v>
      </c>
      <c r="C140" s="1530" t="s">
        <v>903</v>
      </c>
      <c r="D140" s="526" t="s">
        <v>876</v>
      </c>
      <c r="E140" s="1527"/>
      <c r="F140" s="1519"/>
      <c r="G140" s="1519"/>
      <c r="H140" s="1519"/>
      <c r="I140" s="1519"/>
      <c r="J140" s="1519"/>
      <c r="K140" s="1519"/>
      <c r="L140" s="1519"/>
      <c r="M140" s="1519"/>
      <c r="N140" s="1519"/>
      <c r="O140" s="1519"/>
      <c r="P140" s="1519"/>
      <c r="Q140" s="1519"/>
      <c r="R140" s="1519"/>
      <c r="S140" s="1519"/>
      <c r="T140" s="1519"/>
      <c r="U140" s="1522">
        <v>0.99</v>
      </c>
    </row>
    <row r="141" spans="1:21" ht="24" customHeight="1">
      <c r="A141" s="1532"/>
      <c r="B141" s="1525"/>
      <c r="C141" s="1531"/>
      <c r="D141" s="528" t="s">
        <v>877</v>
      </c>
      <c r="E141" s="1527"/>
      <c r="F141" s="1519"/>
      <c r="G141" s="1519"/>
      <c r="H141" s="1519"/>
      <c r="I141" s="1519"/>
      <c r="J141" s="1519"/>
      <c r="K141" s="1519"/>
      <c r="L141" s="1519"/>
      <c r="M141" s="1519"/>
      <c r="N141" s="1519"/>
      <c r="O141" s="1519"/>
      <c r="P141" s="1519"/>
      <c r="Q141" s="1519"/>
      <c r="R141" s="1519"/>
      <c r="S141" s="1519"/>
      <c r="T141" s="1519"/>
      <c r="U141" s="1523"/>
    </row>
    <row r="142" spans="1:21" ht="24" customHeight="1">
      <c r="A142" s="1532"/>
      <c r="B142" s="1524" t="s">
        <v>224</v>
      </c>
      <c r="C142" s="1530" t="s">
        <v>903</v>
      </c>
      <c r="D142" s="526" t="s">
        <v>876</v>
      </c>
      <c r="E142" s="1527"/>
      <c r="F142" s="1519"/>
      <c r="G142" s="1519"/>
      <c r="H142" s="1519"/>
      <c r="I142" s="1519"/>
      <c r="J142" s="1519"/>
      <c r="K142" s="1519"/>
      <c r="L142" s="1519"/>
      <c r="M142" s="1519"/>
      <c r="N142" s="1519"/>
      <c r="O142" s="1519"/>
      <c r="P142" s="1519"/>
      <c r="Q142" s="1519"/>
      <c r="R142" s="1519"/>
      <c r="S142" s="1519"/>
      <c r="T142" s="1519"/>
      <c r="U142" s="1520"/>
    </row>
    <row r="143" spans="1:21" ht="24" customHeight="1">
      <c r="A143" s="1525"/>
      <c r="B143" s="1525"/>
      <c r="C143" s="1533"/>
      <c r="D143" s="528" t="s">
        <v>877</v>
      </c>
      <c r="E143" s="1527"/>
      <c r="F143" s="1519"/>
      <c r="G143" s="1519"/>
      <c r="H143" s="1519"/>
      <c r="I143" s="1519"/>
      <c r="J143" s="1519"/>
      <c r="K143" s="1519"/>
      <c r="L143" s="1519"/>
      <c r="M143" s="1519"/>
      <c r="N143" s="1519"/>
      <c r="O143" s="1519"/>
      <c r="P143" s="1519"/>
      <c r="Q143" s="1519"/>
      <c r="R143" s="1519"/>
      <c r="S143" s="1519"/>
      <c r="T143" s="1519"/>
      <c r="U143" s="1521"/>
    </row>
    <row r="144" spans="1:21" ht="24" customHeight="1">
      <c r="A144" s="1524" t="s">
        <v>229</v>
      </c>
      <c r="B144" s="1524" t="s">
        <v>902</v>
      </c>
      <c r="C144" s="1530" t="s">
        <v>903</v>
      </c>
      <c r="D144" s="526" t="s">
        <v>876</v>
      </c>
      <c r="E144" s="1527"/>
      <c r="F144" s="1528">
        <v>0.63</v>
      </c>
      <c r="G144" s="1528">
        <v>0.48510000000000003</v>
      </c>
      <c r="H144" s="1528">
        <v>0.417186</v>
      </c>
      <c r="I144" s="1528">
        <v>0.39632669999999998</v>
      </c>
      <c r="J144" s="1528">
        <v>0.352730763</v>
      </c>
      <c r="K144" s="1528">
        <v>0.32451230196000003</v>
      </c>
      <c r="L144" s="1528">
        <v>0.308286686862</v>
      </c>
      <c r="M144" s="1528">
        <v>0.29287235251889998</v>
      </c>
      <c r="N144" s="1528">
        <v>0.28115745841814399</v>
      </c>
      <c r="O144" s="1528">
        <v>0.27272273466559965</v>
      </c>
      <c r="P144" s="1528">
        <v>0.26999550731894367</v>
      </c>
      <c r="Q144" s="1528">
        <v>0.25649573195299646</v>
      </c>
      <c r="R144" s="1528">
        <v>0.24623590267487661</v>
      </c>
      <c r="S144" s="1528">
        <v>0.24377354364812784</v>
      </c>
      <c r="T144" s="1528">
        <v>0.24133580821164655</v>
      </c>
      <c r="U144" s="1522">
        <v>0.23892245012953009</v>
      </c>
    </row>
    <row r="145" spans="1:21" ht="24" customHeight="1">
      <c r="A145" s="1532"/>
      <c r="B145" s="1525"/>
      <c r="C145" s="1531"/>
      <c r="D145" s="528" t="s">
        <v>877</v>
      </c>
      <c r="E145" s="1527"/>
      <c r="F145" s="1529"/>
      <c r="G145" s="1529"/>
      <c r="H145" s="1529"/>
      <c r="I145" s="1529"/>
      <c r="J145" s="1529"/>
      <c r="K145" s="1529"/>
      <c r="L145" s="1529"/>
      <c r="M145" s="1529"/>
      <c r="N145" s="1529"/>
      <c r="O145" s="1529"/>
      <c r="P145" s="1529"/>
      <c r="Q145" s="1529"/>
      <c r="R145" s="1529"/>
      <c r="S145" s="1529"/>
      <c r="T145" s="1529"/>
      <c r="U145" s="1523"/>
    </row>
    <row r="146" spans="1:21" ht="24" customHeight="1">
      <c r="A146" s="1532"/>
      <c r="B146" s="1524" t="s">
        <v>904</v>
      </c>
      <c r="C146" s="1530" t="s">
        <v>903</v>
      </c>
      <c r="D146" s="526" t="s">
        <v>876</v>
      </c>
      <c r="E146" s="1527"/>
      <c r="F146" s="1519"/>
      <c r="G146" s="1528">
        <v>0.77</v>
      </c>
      <c r="H146" s="1528">
        <v>0.66220000000000001</v>
      </c>
      <c r="I146" s="1528">
        <v>0.62908999999999993</v>
      </c>
      <c r="J146" s="1528">
        <v>0.55989009999999995</v>
      </c>
      <c r="K146" s="1528">
        <v>0.51509889199999992</v>
      </c>
      <c r="L146" s="1528">
        <v>0.48934394739999992</v>
      </c>
      <c r="M146" s="1528">
        <v>0.4648767500299999</v>
      </c>
      <c r="N146" s="1528">
        <v>0.44628168002879987</v>
      </c>
      <c r="O146" s="1528">
        <v>0.43289322962793586</v>
      </c>
      <c r="P146" s="1528">
        <v>0.42856429733165652</v>
      </c>
      <c r="Q146" s="1528">
        <v>0.40713608246507366</v>
      </c>
      <c r="R146" s="1528">
        <v>0.39085063916647067</v>
      </c>
      <c r="S146" s="1528">
        <v>0.38694213277480594</v>
      </c>
      <c r="T146" s="1528">
        <v>0.38307271144705785</v>
      </c>
      <c r="U146" s="1522">
        <v>0.37924198433258727</v>
      </c>
    </row>
    <row r="147" spans="1:21" ht="24" customHeight="1">
      <c r="A147" s="1532"/>
      <c r="B147" s="1525"/>
      <c r="C147" s="1531"/>
      <c r="D147" s="528" t="s">
        <v>877</v>
      </c>
      <c r="E147" s="1527"/>
      <c r="F147" s="1519"/>
      <c r="G147" s="1529"/>
      <c r="H147" s="1529"/>
      <c r="I147" s="1529"/>
      <c r="J147" s="1529"/>
      <c r="K147" s="1529"/>
      <c r="L147" s="1529"/>
      <c r="M147" s="1529"/>
      <c r="N147" s="1529"/>
      <c r="O147" s="1529"/>
      <c r="P147" s="1529"/>
      <c r="Q147" s="1529"/>
      <c r="R147" s="1529"/>
      <c r="S147" s="1529"/>
      <c r="T147" s="1529"/>
      <c r="U147" s="1523"/>
    </row>
    <row r="148" spans="1:21" ht="24" customHeight="1">
      <c r="A148" s="1532"/>
      <c r="B148" s="1524" t="s">
        <v>905</v>
      </c>
      <c r="C148" s="1530" t="s">
        <v>903</v>
      </c>
      <c r="D148" s="526" t="s">
        <v>876</v>
      </c>
      <c r="E148" s="1527"/>
      <c r="F148" s="1519"/>
      <c r="G148" s="1519"/>
      <c r="H148" s="1528">
        <v>0.86</v>
      </c>
      <c r="I148" s="1528">
        <v>0.81699999999999995</v>
      </c>
      <c r="J148" s="1528">
        <v>0.72712999999999994</v>
      </c>
      <c r="K148" s="1528">
        <v>0.66895959999999999</v>
      </c>
      <c r="L148" s="1528">
        <v>0.63551161999999994</v>
      </c>
      <c r="M148" s="1528">
        <v>0.60373603899999995</v>
      </c>
      <c r="N148" s="1528">
        <v>0.57958659743999996</v>
      </c>
      <c r="O148" s="1528">
        <v>0.56219899951679997</v>
      </c>
      <c r="P148" s="1528">
        <v>0.55657700952163192</v>
      </c>
      <c r="Q148" s="1528">
        <v>0.52874815904555028</v>
      </c>
      <c r="R148" s="1528">
        <v>0.50759823268372828</v>
      </c>
      <c r="S148" s="1528">
        <v>0.50252225035689102</v>
      </c>
      <c r="T148" s="1528">
        <v>0.49749702785332212</v>
      </c>
      <c r="U148" s="1522">
        <v>0.4925220575747889</v>
      </c>
    </row>
    <row r="149" spans="1:21" ht="24" customHeight="1">
      <c r="A149" s="1532"/>
      <c r="B149" s="1525"/>
      <c r="C149" s="1531"/>
      <c r="D149" s="528" t="s">
        <v>877</v>
      </c>
      <c r="E149" s="1527"/>
      <c r="F149" s="1519"/>
      <c r="G149" s="1519"/>
      <c r="H149" s="1529"/>
      <c r="I149" s="1529"/>
      <c r="J149" s="1529"/>
      <c r="K149" s="1529"/>
      <c r="L149" s="1529"/>
      <c r="M149" s="1529"/>
      <c r="N149" s="1529"/>
      <c r="O149" s="1529"/>
      <c r="P149" s="1529"/>
      <c r="Q149" s="1529"/>
      <c r="R149" s="1529"/>
      <c r="S149" s="1529"/>
      <c r="T149" s="1529"/>
      <c r="U149" s="1523"/>
    </row>
    <row r="150" spans="1:21" ht="24" customHeight="1">
      <c r="A150" s="1532"/>
      <c r="B150" s="1524" t="s">
        <v>906</v>
      </c>
      <c r="C150" s="1530" t="s">
        <v>903</v>
      </c>
      <c r="D150" s="526" t="s">
        <v>876</v>
      </c>
      <c r="E150" s="1527"/>
      <c r="F150" s="1519"/>
      <c r="G150" s="1519"/>
      <c r="H150" s="1519"/>
      <c r="I150" s="1528">
        <v>0.95</v>
      </c>
      <c r="J150" s="1528">
        <v>0.84549999999999992</v>
      </c>
      <c r="K150" s="1528">
        <v>0.77786</v>
      </c>
      <c r="L150" s="1528">
        <v>0.73896699999999993</v>
      </c>
      <c r="M150" s="1528">
        <v>0.70201864999999986</v>
      </c>
      <c r="N150" s="1528">
        <v>0.67393790399999987</v>
      </c>
      <c r="O150" s="1528">
        <v>0.65371976687999989</v>
      </c>
      <c r="P150" s="1528">
        <v>0.64718256921119988</v>
      </c>
      <c r="Q150" s="1528">
        <v>0.61482344075063988</v>
      </c>
      <c r="R150" s="1528">
        <v>0.59023050312061431</v>
      </c>
      <c r="S150" s="1528">
        <v>0.58432819808940817</v>
      </c>
      <c r="T150" s="1528">
        <v>0.57848491610851405</v>
      </c>
      <c r="U150" s="1522">
        <v>0.57270006694742892</v>
      </c>
    </row>
    <row r="151" spans="1:21" ht="24" customHeight="1">
      <c r="A151" s="1532"/>
      <c r="B151" s="1525"/>
      <c r="C151" s="1531"/>
      <c r="D151" s="528" t="s">
        <v>877</v>
      </c>
      <c r="E151" s="1527"/>
      <c r="F151" s="1519"/>
      <c r="G151" s="1519"/>
      <c r="H151" s="1519"/>
      <c r="I151" s="1529"/>
      <c r="J151" s="1529"/>
      <c r="K151" s="1529"/>
      <c r="L151" s="1529"/>
      <c r="M151" s="1529"/>
      <c r="N151" s="1529"/>
      <c r="O151" s="1529"/>
      <c r="P151" s="1529"/>
      <c r="Q151" s="1529"/>
      <c r="R151" s="1529"/>
      <c r="S151" s="1529"/>
      <c r="T151" s="1529"/>
      <c r="U151" s="1523"/>
    </row>
    <row r="152" spans="1:21" ht="24" customHeight="1">
      <c r="A152" s="1532"/>
      <c r="B152" s="1524" t="s">
        <v>907</v>
      </c>
      <c r="C152" s="1530" t="s">
        <v>903</v>
      </c>
      <c r="D152" s="526" t="s">
        <v>876</v>
      </c>
      <c r="E152" s="1527"/>
      <c r="F152" s="1519"/>
      <c r="G152" s="1519"/>
      <c r="H152" s="1519"/>
      <c r="I152" s="1519"/>
      <c r="J152" s="1528">
        <v>0.89</v>
      </c>
      <c r="K152" s="1528">
        <v>0.81880000000000008</v>
      </c>
      <c r="L152" s="1528">
        <v>0.77786</v>
      </c>
      <c r="M152" s="1528">
        <v>0.73896699999999993</v>
      </c>
      <c r="N152" s="1528">
        <v>0.70940831999999987</v>
      </c>
      <c r="O152" s="1528">
        <v>0.68812607039999985</v>
      </c>
      <c r="P152" s="1528">
        <v>0.68124480969599988</v>
      </c>
      <c r="Q152" s="1528">
        <v>0.64718256921119988</v>
      </c>
      <c r="R152" s="1528">
        <v>0.6212952664427519</v>
      </c>
      <c r="S152" s="1528">
        <v>0.61508231377832434</v>
      </c>
      <c r="T152" s="1528">
        <v>0.60893149064054108</v>
      </c>
      <c r="U152" s="1522">
        <v>0.60284217573413568</v>
      </c>
    </row>
    <row r="153" spans="1:21" ht="24" customHeight="1">
      <c r="A153" s="1532"/>
      <c r="B153" s="1525"/>
      <c r="C153" s="1531"/>
      <c r="D153" s="528" t="s">
        <v>877</v>
      </c>
      <c r="E153" s="1527"/>
      <c r="F153" s="1519"/>
      <c r="G153" s="1519"/>
      <c r="H153" s="1519"/>
      <c r="I153" s="1519"/>
      <c r="J153" s="1529"/>
      <c r="K153" s="1529"/>
      <c r="L153" s="1529"/>
      <c r="M153" s="1529"/>
      <c r="N153" s="1529"/>
      <c r="O153" s="1529"/>
      <c r="P153" s="1529"/>
      <c r="Q153" s="1529"/>
      <c r="R153" s="1529"/>
      <c r="S153" s="1529"/>
      <c r="T153" s="1529"/>
      <c r="U153" s="1523"/>
    </row>
    <row r="154" spans="1:21" ht="24" customHeight="1">
      <c r="A154" s="1532"/>
      <c r="B154" s="1524" t="s">
        <v>908</v>
      </c>
      <c r="C154" s="1530" t="s">
        <v>903</v>
      </c>
      <c r="D154" s="526" t="s">
        <v>876</v>
      </c>
      <c r="E154" s="1527"/>
      <c r="F154" s="1519"/>
      <c r="G154" s="1519"/>
      <c r="H154" s="1519"/>
      <c r="I154" s="1519"/>
      <c r="J154" s="1519"/>
      <c r="K154" s="1528">
        <v>0.92</v>
      </c>
      <c r="L154" s="1528">
        <v>0.874</v>
      </c>
      <c r="M154" s="1528">
        <v>0.83029999999999993</v>
      </c>
      <c r="N154" s="1528">
        <v>0.79708799999999991</v>
      </c>
      <c r="O154" s="1528">
        <v>0.77317535999999987</v>
      </c>
      <c r="P154" s="1528">
        <v>0.76544360639999987</v>
      </c>
      <c r="Q154" s="1528">
        <v>0.72717142607999985</v>
      </c>
      <c r="R154" s="1528">
        <v>0.69808456903679983</v>
      </c>
      <c r="S154" s="1528">
        <v>0.69110372334643178</v>
      </c>
      <c r="T154" s="1528">
        <v>0.68419268611296746</v>
      </c>
      <c r="U154" s="1522">
        <v>0.67735075925183774</v>
      </c>
    </row>
    <row r="155" spans="1:21" ht="24" customHeight="1">
      <c r="A155" s="1532"/>
      <c r="B155" s="1525"/>
      <c r="C155" s="1531"/>
      <c r="D155" s="528" t="s">
        <v>877</v>
      </c>
      <c r="E155" s="1527"/>
      <c r="F155" s="1519"/>
      <c r="G155" s="1519"/>
      <c r="H155" s="1519"/>
      <c r="I155" s="1519"/>
      <c r="J155" s="1519"/>
      <c r="K155" s="1529"/>
      <c r="L155" s="1529"/>
      <c r="M155" s="1529"/>
      <c r="N155" s="1529"/>
      <c r="O155" s="1529"/>
      <c r="P155" s="1529"/>
      <c r="Q155" s="1529"/>
      <c r="R155" s="1529"/>
      <c r="S155" s="1529"/>
      <c r="T155" s="1529"/>
      <c r="U155" s="1523"/>
    </row>
    <row r="156" spans="1:21" ht="24" customHeight="1">
      <c r="A156" s="1532"/>
      <c r="B156" s="1524" t="s">
        <v>909</v>
      </c>
      <c r="C156" s="1530" t="s">
        <v>903</v>
      </c>
      <c r="D156" s="526" t="s">
        <v>876</v>
      </c>
      <c r="E156" s="1527"/>
      <c r="F156" s="1519"/>
      <c r="G156" s="1519"/>
      <c r="H156" s="1519"/>
      <c r="I156" s="1519"/>
      <c r="J156" s="1519"/>
      <c r="K156" s="1519"/>
      <c r="L156" s="1528">
        <v>0.95</v>
      </c>
      <c r="M156" s="1528">
        <v>0.90249999999999997</v>
      </c>
      <c r="N156" s="1528">
        <v>0.86639999999999995</v>
      </c>
      <c r="O156" s="1528">
        <v>0.84040799999999993</v>
      </c>
      <c r="P156" s="1528">
        <v>0.8320039199999999</v>
      </c>
      <c r="Q156" s="1528">
        <v>0.79040372399999992</v>
      </c>
      <c r="R156" s="1528">
        <v>0.75878757503999994</v>
      </c>
      <c r="S156" s="1528">
        <v>0.75119969928959995</v>
      </c>
      <c r="T156" s="1528">
        <v>0.743687702296704</v>
      </c>
      <c r="U156" s="1522">
        <v>0.73625082527373698</v>
      </c>
    </row>
    <row r="157" spans="1:21" ht="24" customHeight="1">
      <c r="A157" s="1532"/>
      <c r="B157" s="1525"/>
      <c r="C157" s="1531"/>
      <c r="D157" s="528" t="s">
        <v>877</v>
      </c>
      <c r="E157" s="1527"/>
      <c r="F157" s="1519"/>
      <c r="G157" s="1519"/>
      <c r="H157" s="1519"/>
      <c r="I157" s="1519"/>
      <c r="J157" s="1519"/>
      <c r="K157" s="1519"/>
      <c r="L157" s="1529"/>
      <c r="M157" s="1529"/>
      <c r="N157" s="1529"/>
      <c r="O157" s="1529"/>
      <c r="P157" s="1529"/>
      <c r="Q157" s="1529"/>
      <c r="R157" s="1529"/>
      <c r="S157" s="1529"/>
      <c r="T157" s="1529"/>
      <c r="U157" s="1523"/>
    </row>
    <row r="158" spans="1:21" ht="24" customHeight="1">
      <c r="A158" s="1532"/>
      <c r="B158" s="1524" t="s">
        <v>910</v>
      </c>
      <c r="C158" s="1530" t="s">
        <v>903</v>
      </c>
      <c r="D158" s="526" t="s">
        <v>876</v>
      </c>
      <c r="E158" s="1527"/>
      <c r="F158" s="1519"/>
      <c r="G158" s="1519"/>
      <c r="H158" s="1519"/>
      <c r="I158" s="1519"/>
      <c r="J158" s="1519"/>
      <c r="K158" s="1519"/>
      <c r="L158" s="1519"/>
      <c r="M158" s="1528">
        <v>0.95</v>
      </c>
      <c r="N158" s="1528">
        <v>0.91199999999999992</v>
      </c>
      <c r="O158" s="1528">
        <v>0.88463999999999987</v>
      </c>
      <c r="P158" s="1528">
        <v>0.87579359999999984</v>
      </c>
      <c r="Q158" s="1528">
        <v>0.83200391999999979</v>
      </c>
      <c r="R158" s="1528">
        <v>0.79872376319999971</v>
      </c>
      <c r="S158" s="1528">
        <v>0.79073652556799967</v>
      </c>
      <c r="T158" s="1528">
        <v>0.78282916031231964</v>
      </c>
      <c r="U158" s="1522">
        <v>0.77500086870919649</v>
      </c>
    </row>
    <row r="159" spans="1:21" ht="24" customHeight="1">
      <c r="A159" s="1532"/>
      <c r="B159" s="1525"/>
      <c r="C159" s="1531"/>
      <c r="D159" s="528" t="s">
        <v>877</v>
      </c>
      <c r="E159" s="1527"/>
      <c r="F159" s="1519"/>
      <c r="G159" s="1519"/>
      <c r="H159" s="1519"/>
      <c r="I159" s="1519"/>
      <c r="J159" s="1519"/>
      <c r="K159" s="1519"/>
      <c r="L159" s="1519"/>
      <c r="M159" s="1529"/>
      <c r="N159" s="1529"/>
      <c r="O159" s="1529"/>
      <c r="P159" s="1529"/>
      <c r="Q159" s="1529"/>
      <c r="R159" s="1529"/>
      <c r="S159" s="1529"/>
      <c r="T159" s="1529"/>
      <c r="U159" s="1523"/>
    </row>
    <row r="160" spans="1:21" ht="24" customHeight="1">
      <c r="A160" s="1532"/>
      <c r="B160" s="1524" t="s">
        <v>911</v>
      </c>
      <c r="C160" s="1530" t="s">
        <v>903</v>
      </c>
      <c r="D160" s="526" t="s">
        <v>876</v>
      </c>
      <c r="E160" s="1527"/>
      <c r="F160" s="1519"/>
      <c r="G160" s="1519"/>
      <c r="H160" s="1519"/>
      <c r="I160" s="1519"/>
      <c r="J160" s="1519"/>
      <c r="K160" s="1519"/>
      <c r="L160" s="1519"/>
      <c r="M160" s="1519"/>
      <c r="N160" s="1528">
        <v>0.96</v>
      </c>
      <c r="O160" s="1528">
        <v>0.93119999999999992</v>
      </c>
      <c r="P160" s="1528">
        <v>0.92188799999999993</v>
      </c>
      <c r="Q160" s="1528">
        <v>0.87579359999999984</v>
      </c>
      <c r="R160" s="1528">
        <v>0.84076185599999986</v>
      </c>
      <c r="S160" s="1528">
        <v>0.83235423743999981</v>
      </c>
      <c r="T160" s="1528">
        <v>0.82403069506559978</v>
      </c>
      <c r="U160" s="1522">
        <v>0.81579038811494375</v>
      </c>
    </row>
    <row r="161" spans="1:21" ht="24" customHeight="1">
      <c r="A161" s="1532"/>
      <c r="B161" s="1525"/>
      <c r="C161" s="1531"/>
      <c r="D161" s="528" t="s">
        <v>877</v>
      </c>
      <c r="E161" s="1527"/>
      <c r="F161" s="1519"/>
      <c r="G161" s="1519"/>
      <c r="H161" s="1519"/>
      <c r="I161" s="1519"/>
      <c r="J161" s="1519"/>
      <c r="K161" s="1519"/>
      <c r="L161" s="1519"/>
      <c r="M161" s="1519"/>
      <c r="N161" s="1529"/>
      <c r="O161" s="1529"/>
      <c r="P161" s="1529"/>
      <c r="Q161" s="1529"/>
      <c r="R161" s="1529"/>
      <c r="S161" s="1529"/>
      <c r="T161" s="1529"/>
      <c r="U161" s="1523"/>
    </row>
    <row r="162" spans="1:21" ht="24" customHeight="1">
      <c r="A162" s="1532"/>
      <c r="B162" s="1524" t="s">
        <v>912</v>
      </c>
      <c r="C162" s="1530" t="s">
        <v>903</v>
      </c>
      <c r="D162" s="526" t="s">
        <v>876</v>
      </c>
      <c r="E162" s="1527"/>
      <c r="F162" s="1519"/>
      <c r="G162" s="1519"/>
      <c r="H162" s="1519"/>
      <c r="I162" s="1519"/>
      <c r="J162" s="1519"/>
      <c r="K162" s="1519"/>
      <c r="L162" s="1519"/>
      <c r="M162" s="1519"/>
      <c r="N162" s="1519"/>
      <c r="O162" s="1528">
        <v>0.97</v>
      </c>
      <c r="P162" s="1528">
        <v>0.96029999999999993</v>
      </c>
      <c r="Q162" s="1528">
        <v>0.9122849999999999</v>
      </c>
      <c r="R162" s="1528">
        <v>0.87579359999999984</v>
      </c>
      <c r="S162" s="1528">
        <v>0.86703566399999987</v>
      </c>
      <c r="T162" s="1528">
        <v>0.85836530735999983</v>
      </c>
      <c r="U162" s="1522">
        <v>0.84978165428639985</v>
      </c>
    </row>
    <row r="163" spans="1:21" ht="24" customHeight="1">
      <c r="A163" s="1532"/>
      <c r="B163" s="1525"/>
      <c r="C163" s="1531"/>
      <c r="D163" s="528" t="s">
        <v>877</v>
      </c>
      <c r="E163" s="1527"/>
      <c r="F163" s="1519"/>
      <c r="G163" s="1519"/>
      <c r="H163" s="1519"/>
      <c r="I163" s="1519"/>
      <c r="J163" s="1519"/>
      <c r="K163" s="1519"/>
      <c r="L163" s="1519"/>
      <c r="M163" s="1519"/>
      <c r="N163" s="1519"/>
      <c r="O163" s="1529"/>
      <c r="P163" s="1529"/>
      <c r="Q163" s="1529"/>
      <c r="R163" s="1529"/>
      <c r="S163" s="1529"/>
      <c r="T163" s="1529"/>
      <c r="U163" s="1523"/>
    </row>
    <row r="164" spans="1:21" ht="24" customHeight="1">
      <c r="A164" s="1532"/>
      <c r="B164" s="1524" t="s">
        <v>913</v>
      </c>
      <c r="C164" s="1530" t="s">
        <v>903</v>
      </c>
      <c r="D164" s="526" t="s">
        <v>876</v>
      </c>
      <c r="E164" s="1527"/>
      <c r="F164" s="1519"/>
      <c r="G164" s="1519"/>
      <c r="H164" s="1519"/>
      <c r="I164" s="1519"/>
      <c r="J164" s="1519"/>
      <c r="K164" s="1519"/>
      <c r="L164" s="1519"/>
      <c r="M164" s="1519"/>
      <c r="N164" s="1519"/>
      <c r="O164" s="1519"/>
      <c r="P164" s="1528">
        <v>0.99</v>
      </c>
      <c r="Q164" s="1528">
        <v>0.9405</v>
      </c>
      <c r="R164" s="1528">
        <v>0.90288000000000002</v>
      </c>
      <c r="S164" s="1528">
        <v>0.89385119999999996</v>
      </c>
      <c r="T164" s="1528">
        <v>0.884912688</v>
      </c>
      <c r="U164" s="1522">
        <v>0.87606356111999995</v>
      </c>
    </row>
    <row r="165" spans="1:21" ht="24" customHeight="1">
      <c r="A165" s="1532"/>
      <c r="B165" s="1525"/>
      <c r="C165" s="1531"/>
      <c r="D165" s="528" t="s">
        <v>877</v>
      </c>
      <c r="E165" s="1527"/>
      <c r="F165" s="1519"/>
      <c r="G165" s="1519"/>
      <c r="H165" s="1519"/>
      <c r="I165" s="1519"/>
      <c r="J165" s="1519"/>
      <c r="K165" s="1519"/>
      <c r="L165" s="1519"/>
      <c r="M165" s="1519"/>
      <c r="N165" s="1519"/>
      <c r="O165" s="1519"/>
      <c r="P165" s="1529"/>
      <c r="Q165" s="1529"/>
      <c r="R165" s="1529"/>
      <c r="S165" s="1529"/>
      <c r="T165" s="1529"/>
      <c r="U165" s="1523"/>
    </row>
    <row r="166" spans="1:21" ht="24" customHeight="1">
      <c r="A166" s="1532"/>
      <c r="B166" s="1524" t="s">
        <v>914</v>
      </c>
      <c r="C166" s="1530" t="s">
        <v>903</v>
      </c>
      <c r="D166" s="526" t="s">
        <v>876</v>
      </c>
      <c r="E166" s="1527"/>
      <c r="F166" s="1519"/>
      <c r="G166" s="1519"/>
      <c r="H166" s="1519"/>
      <c r="I166" s="1519"/>
      <c r="J166" s="1519"/>
      <c r="K166" s="1519"/>
      <c r="L166" s="1519"/>
      <c r="M166" s="1519"/>
      <c r="N166" s="1519"/>
      <c r="O166" s="1519"/>
      <c r="P166" s="1519"/>
      <c r="Q166" s="1528">
        <v>0.95</v>
      </c>
      <c r="R166" s="1528">
        <v>0.91199999999999992</v>
      </c>
      <c r="S166" s="1528">
        <v>0.9028799999999999</v>
      </c>
      <c r="T166" s="1528">
        <v>0.89385119999999985</v>
      </c>
      <c r="U166" s="1522">
        <v>0.88491268799999989</v>
      </c>
    </row>
    <row r="167" spans="1:21" ht="24" customHeight="1">
      <c r="A167" s="1532"/>
      <c r="B167" s="1525"/>
      <c r="C167" s="1531"/>
      <c r="D167" s="528" t="s">
        <v>877</v>
      </c>
      <c r="E167" s="1527"/>
      <c r="F167" s="1519"/>
      <c r="G167" s="1519"/>
      <c r="H167" s="1519"/>
      <c r="I167" s="1519"/>
      <c r="J167" s="1519"/>
      <c r="K167" s="1519"/>
      <c r="L167" s="1519"/>
      <c r="M167" s="1519"/>
      <c r="N167" s="1519"/>
      <c r="O167" s="1519"/>
      <c r="P167" s="1519"/>
      <c r="Q167" s="1529"/>
      <c r="R167" s="1529"/>
      <c r="S167" s="1529"/>
      <c r="T167" s="1529"/>
      <c r="U167" s="1523"/>
    </row>
    <row r="168" spans="1:21" ht="24" customHeight="1">
      <c r="A168" s="1532"/>
      <c r="B168" s="1524" t="s">
        <v>915</v>
      </c>
      <c r="C168" s="1530" t="s">
        <v>903</v>
      </c>
      <c r="D168" s="526" t="s">
        <v>876</v>
      </c>
      <c r="E168" s="1527"/>
      <c r="F168" s="1519"/>
      <c r="G168" s="1519"/>
      <c r="H168" s="1519"/>
      <c r="I168" s="1519"/>
      <c r="J168" s="1519"/>
      <c r="K168" s="1519"/>
      <c r="L168" s="1519"/>
      <c r="M168" s="1519"/>
      <c r="N168" s="1519"/>
      <c r="O168" s="1519"/>
      <c r="P168" s="1519"/>
      <c r="Q168" s="1519"/>
      <c r="R168" s="1528">
        <v>0.96</v>
      </c>
      <c r="S168" s="1528">
        <v>0.95039999999999991</v>
      </c>
      <c r="T168" s="1528">
        <v>0.94089599999999995</v>
      </c>
      <c r="U168" s="1522">
        <v>0.93148703999999993</v>
      </c>
    </row>
    <row r="169" spans="1:21" ht="24" customHeight="1">
      <c r="A169" s="1532"/>
      <c r="B169" s="1525"/>
      <c r="C169" s="1531"/>
      <c r="D169" s="528" t="s">
        <v>877</v>
      </c>
      <c r="E169" s="1527"/>
      <c r="F169" s="1519"/>
      <c r="G169" s="1519"/>
      <c r="H169" s="1519"/>
      <c r="I169" s="1519"/>
      <c r="J169" s="1519"/>
      <c r="K169" s="1519"/>
      <c r="L169" s="1519"/>
      <c r="M169" s="1519"/>
      <c r="N169" s="1519"/>
      <c r="O169" s="1519"/>
      <c r="P169" s="1519"/>
      <c r="Q169" s="1519"/>
      <c r="R169" s="1529"/>
      <c r="S169" s="1529"/>
      <c r="T169" s="1529"/>
      <c r="U169" s="1523"/>
    </row>
    <row r="170" spans="1:21" ht="24" customHeight="1">
      <c r="A170" s="1532"/>
      <c r="B170" s="1524" t="s">
        <v>916</v>
      </c>
      <c r="C170" s="1530" t="s">
        <v>903</v>
      </c>
      <c r="D170" s="526" t="s">
        <v>876</v>
      </c>
      <c r="E170" s="1527"/>
      <c r="F170" s="1519"/>
      <c r="G170" s="1519"/>
      <c r="H170" s="1519"/>
      <c r="I170" s="1519"/>
      <c r="J170" s="1519"/>
      <c r="K170" s="1519"/>
      <c r="L170" s="1519"/>
      <c r="M170" s="1519"/>
      <c r="N170" s="1519"/>
      <c r="O170" s="1519"/>
      <c r="P170" s="1519"/>
      <c r="Q170" s="1519"/>
      <c r="R170" s="1519"/>
      <c r="S170" s="1528">
        <v>0.99</v>
      </c>
      <c r="T170" s="1528">
        <v>0.98009999999999997</v>
      </c>
      <c r="U170" s="1522">
        <v>0.97029899999999991</v>
      </c>
    </row>
    <row r="171" spans="1:21" ht="24" customHeight="1">
      <c r="A171" s="1532"/>
      <c r="B171" s="1525"/>
      <c r="C171" s="1531"/>
      <c r="D171" s="528" t="s">
        <v>877</v>
      </c>
      <c r="E171" s="1527"/>
      <c r="F171" s="1519"/>
      <c r="G171" s="1519"/>
      <c r="H171" s="1519"/>
      <c r="I171" s="1519"/>
      <c r="J171" s="1519"/>
      <c r="K171" s="1519"/>
      <c r="L171" s="1519"/>
      <c r="M171" s="1519"/>
      <c r="N171" s="1519"/>
      <c r="O171" s="1519"/>
      <c r="P171" s="1519"/>
      <c r="Q171" s="1519"/>
      <c r="R171" s="1519"/>
      <c r="S171" s="1529"/>
      <c r="T171" s="1529"/>
      <c r="U171" s="1523"/>
    </row>
    <row r="172" spans="1:21" ht="24" customHeight="1">
      <c r="A172" s="1532"/>
      <c r="B172" s="1524" t="s">
        <v>917</v>
      </c>
      <c r="C172" s="1530" t="s">
        <v>903</v>
      </c>
      <c r="D172" s="526" t="s">
        <v>876</v>
      </c>
      <c r="E172" s="1527"/>
      <c r="F172" s="1519"/>
      <c r="G172" s="1519"/>
      <c r="H172" s="1519"/>
      <c r="I172" s="1519"/>
      <c r="J172" s="1519"/>
      <c r="K172" s="1519"/>
      <c r="L172" s="1519"/>
      <c r="M172" s="1519"/>
      <c r="N172" s="1519"/>
      <c r="O172" s="1519"/>
      <c r="P172" s="1519"/>
      <c r="Q172" s="1519"/>
      <c r="R172" s="1519"/>
      <c r="S172" s="1519"/>
      <c r="T172" s="1528">
        <v>0.99</v>
      </c>
      <c r="U172" s="1522">
        <v>0.98009999999999997</v>
      </c>
    </row>
    <row r="173" spans="1:21" ht="24" customHeight="1">
      <c r="A173" s="1532"/>
      <c r="B173" s="1525"/>
      <c r="C173" s="1531"/>
      <c r="D173" s="528" t="s">
        <v>877</v>
      </c>
      <c r="E173" s="1527"/>
      <c r="F173" s="1519"/>
      <c r="G173" s="1519"/>
      <c r="H173" s="1519"/>
      <c r="I173" s="1519"/>
      <c r="J173" s="1519"/>
      <c r="K173" s="1519"/>
      <c r="L173" s="1519"/>
      <c r="M173" s="1519"/>
      <c r="N173" s="1519"/>
      <c r="O173" s="1519"/>
      <c r="P173" s="1519"/>
      <c r="Q173" s="1519"/>
      <c r="R173" s="1519"/>
      <c r="S173" s="1519"/>
      <c r="T173" s="1529"/>
      <c r="U173" s="1523"/>
    </row>
    <row r="174" spans="1:21" ht="24" customHeight="1">
      <c r="A174" s="1532"/>
      <c r="B174" s="1524" t="s">
        <v>918</v>
      </c>
      <c r="C174" s="1530" t="s">
        <v>903</v>
      </c>
      <c r="D174" s="526" t="s">
        <v>876</v>
      </c>
      <c r="E174" s="1527"/>
      <c r="F174" s="1519"/>
      <c r="G174" s="1519"/>
      <c r="H174" s="1519"/>
      <c r="I174" s="1519"/>
      <c r="J174" s="1519"/>
      <c r="K174" s="1519"/>
      <c r="L174" s="1519"/>
      <c r="M174" s="1519"/>
      <c r="N174" s="1519"/>
      <c r="O174" s="1519"/>
      <c r="P174" s="1519"/>
      <c r="Q174" s="1519"/>
      <c r="R174" s="1519"/>
      <c r="S174" s="1519"/>
      <c r="T174" s="1519"/>
      <c r="U174" s="1522">
        <v>0.99</v>
      </c>
    </row>
    <row r="175" spans="1:21" ht="24" customHeight="1">
      <c r="A175" s="1532"/>
      <c r="B175" s="1525"/>
      <c r="C175" s="1531"/>
      <c r="D175" s="528" t="s">
        <v>877</v>
      </c>
      <c r="E175" s="1527"/>
      <c r="F175" s="1519"/>
      <c r="G175" s="1519"/>
      <c r="H175" s="1519"/>
      <c r="I175" s="1519"/>
      <c r="J175" s="1519"/>
      <c r="K175" s="1519"/>
      <c r="L175" s="1519"/>
      <c r="M175" s="1519"/>
      <c r="N175" s="1519"/>
      <c r="O175" s="1519"/>
      <c r="P175" s="1519"/>
      <c r="Q175" s="1519"/>
      <c r="R175" s="1519"/>
      <c r="S175" s="1519"/>
      <c r="T175" s="1519"/>
      <c r="U175" s="1523"/>
    </row>
    <row r="176" spans="1:21" ht="24" customHeight="1">
      <c r="A176" s="1532"/>
      <c r="B176" s="1524" t="s">
        <v>224</v>
      </c>
      <c r="C176" s="1530" t="s">
        <v>903</v>
      </c>
      <c r="D176" s="526" t="s">
        <v>876</v>
      </c>
      <c r="E176" s="1527"/>
      <c r="F176" s="1519"/>
      <c r="G176" s="1519"/>
      <c r="H176" s="1519"/>
      <c r="I176" s="1519"/>
      <c r="J176" s="1519"/>
      <c r="K176" s="1519"/>
      <c r="L176" s="1519"/>
      <c r="M176" s="1519"/>
      <c r="N176" s="1519"/>
      <c r="O176" s="1519"/>
      <c r="P176" s="1519"/>
      <c r="Q176" s="1519"/>
      <c r="R176" s="1519"/>
      <c r="S176" s="1519"/>
      <c r="T176" s="1519"/>
      <c r="U176" s="1520"/>
    </row>
    <row r="177" spans="1:21" ht="24" customHeight="1">
      <c r="A177" s="1525"/>
      <c r="B177" s="1525"/>
      <c r="C177" s="1533"/>
      <c r="D177" s="528" t="s">
        <v>877</v>
      </c>
      <c r="E177" s="1527"/>
      <c r="F177" s="1519"/>
      <c r="G177" s="1519"/>
      <c r="H177" s="1519"/>
      <c r="I177" s="1519"/>
      <c r="J177" s="1519"/>
      <c r="K177" s="1519"/>
      <c r="L177" s="1519"/>
      <c r="M177" s="1519"/>
      <c r="N177" s="1519"/>
      <c r="O177" s="1519"/>
      <c r="P177" s="1519"/>
      <c r="Q177" s="1519"/>
      <c r="R177" s="1519"/>
      <c r="S177" s="1519"/>
      <c r="T177" s="1519"/>
      <c r="U177" s="1521"/>
    </row>
    <row r="178" spans="1:21" ht="24" customHeight="1">
      <c r="A178" s="1524" t="s">
        <v>230</v>
      </c>
      <c r="B178" s="1524" t="s">
        <v>902</v>
      </c>
      <c r="C178" s="1530" t="s">
        <v>903</v>
      </c>
      <c r="D178" s="526" t="s">
        <v>876</v>
      </c>
      <c r="E178" s="1527"/>
      <c r="F178" s="1528">
        <v>0.63</v>
      </c>
      <c r="G178" s="1528">
        <v>0.4914</v>
      </c>
      <c r="H178" s="1528">
        <v>0.42260399999999998</v>
      </c>
      <c r="I178" s="1528">
        <v>0.40147379999999994</v>
      </c>
      <c r="J178" s="1528">
        <v>0.35731168199999996</v>
      </c>
      <c r="K178" s="1528">
        <v>0.32872674743999997</v>
      </c>
      <c r="L178" s="1528">
        <v>0.31229041006799996</v>
      </c>
      <c r="M178" s="1528">
        <v>0.29667588956459995</v>
      </c>
      <c r="N178" s="1528">
        <v>0.28480885398201594</v>
      </c>
      <c r="O178" s="1528">
        <v>0.2734164998227353</v>
      </c>
      <c r="P178" s="1528">
        <v>0.27068233482450793</v>
      </c>
      <c r="Q178" s="1528">
        <v>0.2598550414315276</v>
      </c>
      <c r="R178" s="1528">
        <v>0.24946083977426647</v>
      </c>
      <c r="S178" s="1528">
        <v>0.24696623137652382</v>
      </c>
      <c r="T178" s="1528">
        <v>0.24449656906275857</v>
      </c>
      <c r="U178" s="1522">
        <v>0.242051603372131</v>
      </c>
    </row>
    <row r="179" spans="1:21" ht="24" customHeight="1">
      <c r="A179" s="1532"/>
      <c r="B179" s="1525"/>
      <c r="C179" s="1531"/>
      <c r="D179" s="528" t="s">
        <v>877</v>
      </c>
      <c r="E179" s="1527"/>
      <c r="F179" s="1529"/>
      <c r="G179" s="1529"/>
      <c r="H179" s="1529"/>
      <c r="I179" s="1529"/>
      <c r="J179" s="1529"/>
      <c r="K179" s="1529"/>
      <c r="L179" s="1529"/>
      <c r="M179" s="1529"/>
      <c r="N179" s="1529"/>
      <c r="O179" s="1529"/>
      <c r="P179" s="1529"/>
      <c r="Q179" s="1529"/>
      <c r="R179" s="1529"/>
      <c r="S179" s="1529"/>
      <c r="T179" s="1529"/>
      <c r="U179" s="1523"/>
    </row>
    <row r="180" spans="1:21" ht="24" customHeight="1">
      <c r="A180" s="1532"/>
      <c r="B180" s="1524" t="s">
        <v>904</v>
      </c>
      <c r="C180" s="1530" t="s">
        <v>903</v>
      </c>
      <c r="D180" s="526" t="s">
        <v>876</v>
      </c>
      <c r="E180" s="1527"/>
      <c r="F180" s="1519"/>
      <c r="G180" s="1528">
        <v>0.78</v>
      </c>
      <c r="H180" s="1528">
        <v>0.67080000000000006</v>
      </c>
      <c r="I180" s="1528">
        <v>0.63726000000000005</v>
      </c>
      <c r="J180" s="1528">
        <v>0.56716140000000004</v>
      </c>
      <c r="K180" s="1528">
        <v>0.52178848800000011</v>
      </c>
      <c r="L180" s="1528">
        <v>0.4956990636000001</v>
      </c>
      <c r="M180" s="1528">
        <v>0.47091411042000009</v>
      </c>
      <c r="N180" s="1528">
        <v>0.45207754600320005</v>
      </c>
      <c r="O180" s="1528">
        <v>0.43399444416307204</v>
      </c>
      <c r="P180" s="1528">
        <v>0.42965449972144132</v>
      </c>
      <c r="Q180" s="1528">
        <v>0.41246831973258363</v>
      </c>
      <c r="R180" s="1528">
        <v>0.39596958694328027</v>
      </c>
      <c r="S180" s="1528">
        <v>0.39200989107384748</v>
      </c>
      <c r="T180" s="1528">
        <v>0.38808979216310902</v>
      </c>
      <c r="U180" s="1522">
        <v>0.38420889424147792</v>
      </c>
    </row>
    <row r="181" spans="1:21" ht="24" customHeight="1">
      <c r="A181" s="1532"/>
      <c r="B181" s="1525"/>
      <c r="C181" s="1531"/>
      <c r="D181" s="528" t="s">
        <v>877</v>
      </c>
      <c r="E181" s="1527"/>
      <c r="F181" s="1519"/>
      <c r="G181" s="1529"/>
      <c r="H181" s="1529"/>
      <c r="I181" s="1529"/>
      <c r="J181" s="1529"/>
      <c r="K181" s="1529"/>
      <c r="L181" s="1529"/>
      <c r="M181" s="1529"/>
      <c r="N181" s="1529"/>
      <c r="O181" s="1529"/>
      <c r="P181" s="1529"/>
      <c r="Q181" s="1529"/>
      <c r="R181" s="1529"/>
      <c r="S181" s="1529"/>
      <c r="T181" s="1529"/>
      <c r="U181" s="1523"/>
    </row>
    <row r="182" spans="1:21" ht="24" customHeight="1">
      <c r="A182" s="1532"/>
      <c r="B182" s="1524" t="s">
        <v>905</v>
      </c>
      <c r="C182" s="1530" t="s">
        <v>903</v>
      </c>
      <c r="D182" s="526" t="s">
        <v>876</v>
      </c>
      <c r="E182" s="1527"/>
      <c r="F182" s="1519"/>
      <c r="G182" s="1519"/>
      <c r="H182" s="1528">
        <v>0.86</v>
      </c>
      <c r="I182" s="1528">
        <v>0.81699999999999995</v>
      </c>
      <c r="J182" s="1528">
        <v>0.72712999999999994</v>
      </c>
      <c r="K182" s="1528">
        <v>0.66895959999999999</v>
      </c>
      <c r="L182" s="1528">
        <v>0.63551161999999994</v>
      </c>
      <c r="M182" s="1528">
        <v>0.60373603899999995</v>
      </c>
      <c r="N182" s="1528">
        <v>0.57958659743999996</v>
      </c>
      <c r="O182" s="1528">
        <v>0.5564031335423999</v>
      </c>
      <c r="P182" s="1528">
        <v>0.55083910220697585</v>
      </c>
      <c r="Q182" s="1528">
        <v>0.52880553811869679</v>
      </c>
      <c r="R182" s="1528">
        <v>0.50765331659394886</v>
      </c>
      <c r="S182" s="1528">
        <v>0.50257678342800938</v>
      </c>
      <c r="T182" s="1528">
        <v>0.49755101559372927</v>
      </c>
      <c r="U182" s="1522">
        <v>0.49257550543779199</v>
      </c>
    </row>
    <row r="183" spans="1:21" ht="24" customHeight="1">
      <c r="A183" s="1532"/>
      <c r="B183" s="1525"/>
      <c r="C183" s="1531"/>
      <c r="D183" s="528" t="s">
        <v>877</v>
      </c>
      <c r="E183" s="1527"/>
      <c r="F183" s="1519"/>
      <c r="G183" s="1519"/>
      <c r="H183" s="1529"/>
      <c r="I183" s="1529"/>
      <c r="J183" s="1529"/>
      <c r="K183" s="1529"/>
      <c r="L183" s="1529"/>
      <c r="M183" s="1529"/>
      <c r="N183" s="1529"/>
      <c r="O183" s="1529"/>
      <c r="P183" s="1529"/>
      <c r="Q183" s="1529"/>
      <c r="R183" s="1529"/>
      <c r="S183" s="1529"/>
      <c r="T183" s="1529"/>
      <c r="U183" s="1523"/>
    </row>
    <row r="184" spans="1:21" ht="24" customHeight="1">
      <c r="A184" s="1532"/>
      <c r="B184" s="1524" t="s">
        <v>906</v>
      </c>
      <c r="C184" s="1530" t="s">
        <v>903</v>
      </c>
      <c r="D184" s="526" t="s">
        <v>876</v>
      </c>
      <c r="E184" s="1527"/>
      <c r="F184" s="1519"/>
      <c r="G184" s="1519"/>
      <c r="H184" s="1519"/>
      <c r="I184" s="1528">
        <v>0.95</v>
      </c>
      <c r="J184" s="1528">
        <v>0.84549999999999992</v>
      </c>
      <c r="K184" s="1528">
        <v>0.77786</v>
      </c>
      <c r="L184" s="1528">
        <v>0.73896699999999993</v>
      </c>
      <c r="M184" s="1528">
        <v>0.70201864999999986</v>
      </c>
      <c r="N184" s="1528">
        <v>0.67393790399999987</v>
      </c>
      <c r="O184" s="1528">
        <v>0.64698038783999989</v>
      </c>
      <c r="P184" s="1528">
        <v>0.64051058396159988</v>
      </c>
      <c r="Q184" s="1528">
        <v>0.61489016060313584</v>
      </c>
      <c r="R184" s="1528">
        <v>0.59029455417901033</v>
      </c>
      <c r="S184" s="1528">
        <v>0.58439160863722017</v>
      </c>
      <c r="T184" s="1528">
        <v>0.57854769255084793</v>
      </c>
      <c r="U184" s="1522">
        <v>0.57276221562533947</v>
      </c>
    </row>
    <row r="185" spans="1:21" ht="24" customHeight="1">
      <c r="A185" s="1532"/>
      <c r="B185" s="1525"/>
      <c r="C185" s="1531"/>
      <c r="D185" s="528" t="s">
        <v>877</v>
      </c>
      <c r="E185" s="1527"/>
      <c r="F185" s="1519"/>
      <c r="G185" s="1519"/>
      <c r="H185" s="1519"/>
      <c r="I185" s="1529"/>
      <c r="J185" s="1529"/>
      <c r="K185" s="1529"/>
      <c r="L185" s="1529"/>
      <c r="M185" s="1529"/>
      <c r="N185" s="1529"/>
      <c r="O185" s="1529"/>
      <c r="P185" s="1529"/>
      <c r="Q185" s="1529"/>
      <c r="R185" s="1529"/>
      <c r="S185" s="1529"/>
      <c r="T185" s="1529"/>
      <c r="U185" s="1523"/>
    </row>
    <row r="186" spans="1:21" ht="24" customHeight="1">
      <c r="A186" s="1532"/>
      <c r="B186" s="1524" t="s">
        <v>907</v>
      </c>
      <c r="C186" s="1530" t="s">
        <v>903</v>
      </c>
      <c r="D186" s="526" t="s">
        <v>876</v>
      </c>
      <c r="E186" s="1527"/>
      <c r="F186" s="1519"/>
      <c r="G186" s="1519"/>
      <c r="H186" s="1519"/>
      <c r="I186" s="1519"/>
      <c r="J186" s="1528">
        <v>0.89</v>
      </c>
      <c r="K186" s="1528">
        <v>0.81880000000000008</v>
      </c>
      <c r="L186" s="1528">
        <v>0.77786</v>
      </c>
      <c r="M186" s="1528">
        <v>0.73896699999999993</v>
      </c>
      <c r="N186" s="1528">
        <v>0.70940831999999987</v>
      </c>
      <c r="O186" s="1528">
        <v>0.6810319871999998</v>
      </c>
      <c r="P186" s="1528">
        <v>0.67422166732799982</v>
      </c>
      <c r="Q186" s="1528">
        <v>0.64725280063487978</v>
      </c>
      <c r="R186" s="1528">
        <v>0.62136268860948451</v>
      </c>
      <c r="S186" s="1528">
        <v>0.61514906172338968</v>
      </c>
      <c r="T186" s="1528">
        <v>0.60899757110615582</v>
      </c>
      <c r="U186" s="1522">
        <v>0.60290759539509431</v>
      </c>
    </row>
    <row r="187" spans="1:21" ht="24" customHeight="1">
      <c r="A187" s="1532"/>
      <c r="B187" s="1525"/>
      <c r="C187" s="1531"/>
      <c r="D187" s="528" t="s">
        <v>877</v>
      </c>
      <c r="E187" s="1527"/>
      <c r="F187" s="1519"/>
      <c r="G187" s="1519"/>
      <c r="H187" s="1519"/>
      <c r="I187" s="1519"/>
      <c r="J187" s="1529"/>
      <c r="K187" s="1529"/>
      <c r="L187" s="1529"/>
      <c r="M187" s="1529"/>
      <c r="N187" s="1529"/>
      <c r="O187" s="1529"/>
      <c r="P187" s="1529"/>
      <c r="Q187" s="1529"/>
      <c r="R187" s="1529"/>
      <c r="S187" s="1529"/>
      <c r="T187" s="1529"/>
      <c r="U187" s="1523"/>
    </row>
    <row r="188" spans="1:21" ht="24" customHeight="1">
      <c r="A188" s="1532"/>
      <c r="B188" s="1524" t="s">
        <v>908</v>
      </c>
      <c r="C188" s="1530" t="s">
        <v>903</v>
      </c>
      <c r="D188" s="526" t="s">
        <v>876</v>
      </c>
      <c r="E188" s="1527"/>
      <c r="F188" s="1519"/>
      <c r="G188" s="1519"/>
      <c r="H188" s="1519"/>
      <c r="I188" s="1519"/>
      <c r="J188" s="1519"/>
      <c r="K188" s="1528">
        <v>0.92</v>
      </c>
      <c r="L188" s="1528">
        <v>0.874</v>
      </c>
      <c r="M188" s="1528">
        <v>0.83029999999999993</v>
      </c>
      <c r="N188" s="1528">
        <v>0.79708799999999991</v>
      </c>
      <c r="O188" s="1528">
        <v>0.76520447999999985</v>
      </c>
      <c r="P188" s="1528">
        <v>0.75755243519999982</v>
      </c>
      <c r="Q188" s="1528">
        <v>0.72725033779199977</v>
      </c>
      <c r="R188" s="1528">
        <v>0.69816032428031971</v>
      </c>
      <c r="S188" s="1528">
        <v>0.69117872103751654</v>
      </c>
      <c r="T188" s="1528">
        <v>0.68426693382714132</v>
      </c>
      <c r="U188" s="1522">
        <v>0.67742426448886994</v>
      </c>
    </row>
    <row r="189" spans="1:21" ht="24" customHeight="1">
      <c r="A189" s="1532"/>
      <c r="B189" s="1525"/>
      <c r="C189" s="1531"/>
      <c r="D189" s="528" t="s">
        <v>877</v>
      </c>
      <c r="E189" s="1527"/>
      <c r="F189" s="1519"/>
      <c r="G189" s="1519"/>
      <c r="H189" s="1519"/>
      <c r="I189" s="1519"/>
      <c r="J189" s="1519"/>
      <c r="K189" s="1529"/>
      <c r="L189" s="1529"/>
      <c r="M189" s="1529"/>
      <c r="N189" s="1529"/>
      <c r="O189" s="1529"/>
      <c r="P189" s="1529"/>
      <c r="Q189" s="1529"/>
      <c r="R189" s="1529"/>
      <c r="S189" s="1529"/>
      <c r="T189" s="1529"/>
      <c r="U189" s="1523"/>
    </row>
    <row r="190" spans="1:21" ht="24" customHeight="1">
      <c r="A190" s="1532"/>
      <c r="B190" s="1524" t="s">
        <v>909</v>
      </c>
      <c r="C190" s="1530" t="s">
        <v>903</v>
      </c>
      <c r="D190" s="526" t="s">
        <v>876</v>
      </c>
      <c r="E190" s="1527"/>
      <c r="F190" s="1519"/>
      <c r="G190" s="1519"/>
      <c r="H190" s="1519"/>
      <c r="I190" s="1519"/>
      <c r="J190" s="1519"/>
      <c r="K190" s="1519"/>
      <c r="L190" s="1528">
        <v>0.95</v>
      </c>
      <c r="M190" s="1528">
        <v>0.90249999999999997</v>
      </c>
      <c r="N190" s="1528">
        <v>0.86639999999999995</v>
      </c>
      <c r="O190" s="1528">
        <v>0.83174399999999993</v>
      </c>
      <c r="P190" s="1528">
        <v>0.82342655999999992</v>
      </c>
      <c r="Q190" s="1528">
        <v>0.79048949759999987</v>
      </c>
      <c r="R190" s="1528">
        <v>0.75886991769599987</v>
      </c>
      <c r="S190" s="1528">
        <v>0.75128121851903984</v>
      </c>
      <c r="T190" s="1528">
        <v>0.74376840633384944</v>
      </c>
      <c r="U190" s="1522">
        <v>0.736330722270511</v>
      </c>
    </row>
    <row r="191" spans="1:21" ht="24" customHeight="1">
      <c r="A191" s="1532"/>
      <c r="B191" s="1525"/>
      <c r="C191" s="1531"/>
      <c r="D191" s="528" t="s">
        <v>877</v>
      </c>
      <c r="E191" s="1527"/>
      <c r="F191" s="1519"/>
      <c r="G191" s="1519"/>
      <c r="H191" s="1519"/>
      <c r="I191" s="1519"/>
      <c r="J191" s="1519"/>
      <c r="K191" s="1519"/>
      <c r="L191" s="1529"/>
      <c r="M191" s="1529"/>
      <c r="N191" s="1529"/>
      <c r="O191" s="1529"/>
      <c r="P191" s="1529"/>
      <c r="Q191" s="1529"/>
      <c r="R191" s="1529"/>
      <c r="S191" s="1529"/>
      <c r="T191" s="1529"/>
      <c r="U191" s="1523"/>
    </row>
    <row r="192" spans="1:21" ht="24" customHeight="1">
      <c r="A192" s="1532"/>
      <c r="B192" s="1524" t="s">
        <v>910</v>
      </c>
      <c r="C192" s="1530" t="s">
        <v>903</v>
      </c>
      <c r="D192" s="526" t="s">
        <v>876</v>
      </c>
      <c r="E192" s="1527"/>
      <c r="F192" s="1519"/>
      <c r="G192" s="1519"/>
      <c r="H192" s="1519"/>
      <c r="I192" s="1519"/>
      <c r="J192" s="1519"/>
      <c r="K192" s="1519"/>
      <c r="L192" s="1519"/>
      <c r="M192" s="1528">
        <v>0.95</v>
      </c>
      <c r="N192" s="1528">
        <v>0.91199999999999992</v>
      </c>
      <c r="O192" s="1528">
        <v>0.87551999999999985</v>
      </c>
      <c r="P192" s="1528">
        <v>0.86676479999999989</v>
      </c>
      <c r="Q192" s="1528">
        <v>0.83209420799999989</v>
      </c>
      <c r="R192" s="1528">
        <v>0.79881043967999987</v>
      </c>
      <c r="S192" s="1528">
        <v>0.7908223352831999</v>
      </c>
      <c r="T192" s="1528">
        <v>0.78291411193036786</v>
      </c>
      <c r="U192" s="1522">
        <v>0.7750849708110642</v>
      </c>
    </row>
    <row r="193" spans="1:21" ht="24" customHeight="1">
      <c r="A193" s="1532"/>
      <c r="B193" s="1525"/>
      <c r="C193" s="1531"/>
      <c r="D193" s="528" t="s">
        <v>877</v>
      </c>
      <c r="E193" s="1527"/>
      <c r="F193" s="1519"/>
      <c r="G193" s="1519"/>
      <c r="H193" s="1519"/>
      <c r="I193" s="1519"/>
      <c r="J193" s="1519"/>
      <c r="K193" s="1519"/>
      <c r="L193" s="1519"/>
      <c r="M193" s="1529"/>
      <c r="N193" s="1529"/>
      <c r="O193" s="1529"/>
      <c r="P193" s="1529"/>
      <c r="Q193" s="1529"/>
      <c r="R193" s="1529"/>
      <c r="S193" s="1529"/>
      <c r="T193" s="1529"/>
      <c r="U193" s="1523"/>
    </row>
    <row r="194" spans="1:21" ht="24" customHeight="1">
      <c r="A194" s="1532"/>
      <c r="B194" s="1524" t="s">
        <v>911</v>
      </c>
      <c r="C194" s="1530" t="s">
        <v>903</v>
      </c>
      <c r="D194" s="526" t="s">
        <v>876</v>
      </c>
      <c r="E194" s="1527"/>
      <c r="F194" s="1519"/>
      <c r="G194" s="1519"/>
      <c r="H194" s="1519"/>
      <c r="I194" s="1519"/>
      <c r="J194" s="1519"/>
      <c r="K194" s="1519"/>
      <c r="L194" s="1519"/>
      <c r="M194" s="1519"/>
      <c r="N194" s="1528">
        <v>0.96</v>
      </c>
      <c r="O194" s="1528">
        <v>0.92159999999999997</v>
      </c>
      <c r="P194" s="1528">
        <v>0.91238399999999997</v>
      </c>
      <c r="Q194" s="1528">
        <v>0.87588864</v>
      </c>
      <c r="R194" s="1528">
        <v>0.8408530944</v>
      </c>
      <c r="S194" s="1528">
        <v>0.83244456345600004</v>
      </c>
      <c r="T194" s="1528">
        <v>0.82412011782144001</v>
      </c>
      <c r="U194" s="1522">
        <v>0.81587891664322565</v>
      </c>
    </row>
    <row r="195" spans="1:21" ht="24" customHeight="1">
      <c r="A195" s="1532"/>
      <c r="B195" s="1525"/>
      <c r="C195" s="1531"/>
      <c r="D195" s="528" t="s">
        <v>877</v>
      </c>
      <c r="E195" s="1527"/>
      <c r="F195" s="1519"/>
      <c r="G195" s="1519"/>
      <c r="H195" s="1519"/>
      <c r="I195" s="1519"/>
      <c r="J195" s="1519"/>
      <c r="K195" s="1519"/>
      <c r="L195" s="1519"/>
      <c r="M195" s="1519"/>
      <c r="N195" s="1529"/>
      <c r="O195" s="1529"/>
      <c r="P195" s="1529"/>
      <c r="Q195" s="1529"/>
      <c r="R195" s="1529"/>
      <c r="S195" s="1529"/>
      <c r="T195" s="1529"/>
      <c r="U195" s="1523"/>
    </row>
    <row r="196" spans="1:21" ht="24" customHeight="1">
      <c r="A196" s="1532"/>
      <c r="B196" s="1524" t="s">
        <v>912</v>
      </c>
      <c r="C196" s="1530" t="s">
        <v>903</v>
      </c>
      <c r="D196" s="526" t="s">
        <v>876</v>
      </c>
      <c r="E196" s="1527"/>
      <c r="F196" s="1519"/>
      <c r="G196" s="1519"/>
      <c r="H196" s="1519"/>
      <c r="I196" s="1519"/>
      <c r="J196" s="1519"/>
      <c r="K196" s="1519"/>
      <c r="L196" s="1519"/>
      <c r="M196" s="1519"/>
      <c r="N196" s="1519"/>
      <c r="O196" s="1528">
        <v>0.96</v>
      </c>
      <c r="P196" s="1528">
        <v>0.95039999999999991</v>
      </c>
      <c r="Q196" s="1528">
        <v>0.91238399999999986</v>
      </c>
      <c r="R196" s="1528">
        <v>0.87588863999999989</v>
      </c>
      <c r="S196" s="1528">
        <v>0.86712975359999989</v>
      </c>
      <c r="T196" s="1528">
        <v>0.85845845606399984</v>
      </c>
      <c r="U196" s="1522">
        <v>0.8498738715033598</v>
      </c>
    </row>
    <row r="197" spans="1:21" ht="24" customHeight="1">
      <c r="A197" s="1532"/>
      <c r="B197" s="1525"/>
      <c r="C197" s="1531"/>
      <c r="D197" s="528" t="s">
        <v>877</v>
      </c>
      <c r="E197" s="1527"/>
      <c r="F197" s="1519"/>
      <c r="G197" s="1519"/>
      <c r="H197" s="1519"/>
      <c r="I197" s="1519"/>
      <c r="J197" s="1519"/>
      <c r="K197" s="1519"/>
      <c r="L197" s="1519"/>
      <c r="M197" s="1519"/>
      <c r="N197" s="1519"/>
      <c r="O197" s="1529"/>
      <c r="P197" s="1529"/>
      <c r="Q197" s="1529"/>
      <c r="R197" s="1529"/>
      <c r="S197" s="1529"/>
      <c r="T197" s="1529"/>
      <c r="U197" s="1523"/>
    </row>
    <row r="198" spans="1:21" ht="24" customHeight="1">
      <c r="A198" s="1532"/>
      <c r="B198" s="1524" t="s">
        <v>913</v>
      </c>
      <c r="C198" s="1530" t="s">
        <v>903</v>
      </c>
      <c r="D198" s="526" t="s">
        <v>876</v>
      </c>
      <c r="E198" s="1527"/>
      <c r="F198" s="1519"/>
      <c r="G198" s="1519"/>
      <c r="H198" s="1519"/>
      <c r="I198" s="1519"/>
      <c r="J198" s="1519"/>
      <c r="K198" s="1519"/>
      <c r="L198" s="1519"/>
      <c r="M198" s="1519"/>
      <c r="N198" s="1519"/>
      <c r="O198" s="1519"/>
      <c r="P198" s="1528">
        <v>0.99</v>
      </c>
      <c r="Q198" s="1528">
        <v>0.95039999999999991</v>
      </c>
      <c r="R198" s="1528">
        <v>0.91238399999999986</v>
      </c>
      <c r="S198" s="1528">
        <v>0.90326015999999987</v>
      </c>
      <c r="T198" s="1528">
        <v>0.8942275583999999</v>
      </c>
      <c r="U198" s="1522">
        <v>0.88528528281599994</v>
      </c>
    </row>
    <row r="199" spans="1:21" ht="24" customHeight="1">
      <c r="A199" s="1532"/>
      <c r="B199" s="1525"/>
      <c r="C199" s="1531"/>
      <c r="D199" s="528" t="s">
        <v>877</v>
      </c>
      <c r="E199" s="1527"/>
      <c r="F199" s="1519"/>
      <c r="G199" s="1519"/>
      <c r="H199" s="1519"/>
      <c r="I199" s="1519"/>
      <c r="J199" s="1519"/>
      <c r="K199" s="1519"/>
      <c r="L199" s="1519"/>
      <c r="M199" s="1519"/>
      <c r="N199" s="1519"/>
      <c r="O199" s="1519"/>
      <c r="P199" s="1529"/>
      <c r="Q199" s="1529"/>
      <c r="R199" s="1529"/>
      <c r="S199" s="1529"/>
      <c r="T199" s="1529"/>
      <c r="U199" s="1523"/>
    </row>
    <row r="200" spans="1:21" ht="24" customHeight="1">
      <c r="A200" s="1532"/>
      <c r="B200" s="1524" t="s">
        <v>914</v>
      </c>
      <c r="C200" s="1530" t="s">
        <v>903</v>
      </c>
      <c r="D200" s="526" t="s">
        <v>876</v>
      </c>
      <c r="E200" s="1527"/>
      <c r="F200" s="1519"/>
      <c r="G200" s="1519"/>
      <c r="H200" s="1519"/>
      <c r="I200" s="1519"/>
      <c r="J200" s="1519"/>
      <c r="K200" s="1519"/>
      <c r="L200" s="1519"/>
      <c r="M200" s="1519"/>
      <c r="N200" s="1519"/>
      <c r="O200" s="1519"/>
      <c r="P200" s="1519"/>
      <c r="Q200" s="1528">
        <v>0.96</v>
      </c>
      <c r="R200" s="1528">
        <v>0.92159999999999997</v>
      </c>
      <c r="S200" s="1528">
        <v>0.91238399999999997</v>
      </c>
      <c r="T200" s="1528">
        <v>0.90326015999999998</v>
      </c>
      <c r="U200" s="1522">
        <v>0.89422755840000001</v>
      </c>
    </row>
    <row r="201" spans="1:21" ht="24" customHeight="1">
      <c r="A201" s="1532"/>
      <c r="B201" s="1525"/>
      <c r="C201" s="1531"/>
      <c r="D201" s="528" t="s">
        <v>877</v>
      </c>
      <c r="E201" s="1527"/>
      <c r="F201" s="1519"/>
      <c r="G201" s="1519"/>
      <c r="H201" s="1519"/>
      <c r="I201" s="1519"/>
      <c r="J201" s="1519"/>
      <c r="K201" s="1519"/>
      <c r="L201" s="1519"/>
      <c r="M201" s="1519"/>
      <c r="N201" s="1519"/>
      <c r="O201" s="1519"/>
      <c r="P201" s="1519"/>
      <c r="Q201" s="1529"/>
      <c r="R201" s="1529"/>
      <c r="S201" s="1529"/>
      <c r="T201" s="1529"/>
      <c r="U201" s="1523"/>
    </row>
    <row r="202" spans="1:21" ht="24" customHeight="1">
      <c r="A202" s="1532"/>
      <c r="B202" s="1524" t="s">
        <v>915</v>
      </c>
      <c r="C202" s="1530" t="s">
        <v>903</v>
      </c>
      <c r="D202" s="526" t="s">
        <v>876</v>
      </c>
      <c r="E202" s="1527"/>
      <c r="F202" s="1519"/>
      <c r="G202" s="1519"/>
      <c r="H202" s="1519"/>
      <c r="I202" s="1519"/>
      <c r="J202" s="1519"/>
      <c r="K202" s="1519"/>
      <c r="L202" s="1519"/>
      <c r="M202" s="1519"/>
      <c r="N202" s="1519"/>
      <c r="O202" s="1519"/>
      <c r="P202" s="1519"/>
      <c r="Q202" s="1519"/>
      <c r="R202" s="1528">
        <v>0.96</v>
      </c>
      <c r="S202" s="1528">
        <v>0.95039999999999991</v>
      </c>
      <c r="T202" s="1528">
        <v>0.94089599999999995</v>
      </c>
      <c r="U202" s="1522">
        <v>0.93148703999999993</v>
      </c>
    </row>
    <row r="203" spans="1:21" ht="24" customHeight="1">
      <c r="A203" s="1532"/>
      <c r="B203" s="1525"/>
      <c r="C203" s="1531"/>
      <c r="D203" s="528" t="s">
        <v>877</v>
      </c>
      <c r="E203" s="1527"/>
      <c r="F203" s="1519"/>
      <c r="G203" s="1519"/>
      <c r="H203" s="1519"/>
      <c r="I203" s="1519"/>
      <c r="J203" s="1519"/>
      <c r="K203" s="1519"/>
      <c r="L203" s="1519"/>
      <c r="M203" s="1519"/>
      <c r="N203" s="1519"/>
      <c r="O203" s="1519"/>
      <c r="P203" s="1519"/>
      <c r="Q203" s="1519"/>
      <c r="R203" s="1529"/>
      <c r="S203" s="1529"/>
      <c r="T203" s="1529"/>
      <c r="U203" s="1523"/>
    </row>
    <row r="204" spans="1:21" ht="24" customHeight="1">
      <c r="A204" s="1532"/>
      <c r="B204" s="1524" t="s">
        <v>916</v>
      </c>
      <c r="C204" s="1530" t="s">
        <v>903</v>
      </c>
      <c r="D204" s="526" t="s">
        <v>876</v>
      </c>
      <c r="E204" s="1527"/>
      <c r="F204" s="1519"/>
      <c r="G204" s="1519"/>
      <c r="H204" s="1519"/>
      <c r="I204" s="1519"/>
      <c r="J204" s="1519"/>
      <c r="K204" s="1519"/>
      <c r="L204" s="1519"/>
      <c r="M204" s="1519"/>
      <c r="N204" s="1519"/>
      <c r="O204" s="1519"/>
      <c r="P204" s="1519"/>
      <c r="Q204" s="1519"/>
      <c r="R204" s="1519"/>
      <c r="S204" s="1528">
        <v>0.99</v>
      </c>
      <c r="T204" s="1528">
        <v>0.98009999999999997</v>
      </c>
      <c r="U204" s="1522">
        <v>0.97029899999999991</v>
      </c>
    </row>
    <row r="205" spans="1:21" ht="24" customHeight="1">
      <c r="A205" s="1532"/>
      <c r="B205" s="1525"/>
      <c r="C205" s="1531"/>
      <c r="D205" s="528" t="s">
        <v>877</v>
      </c>
      <c r="E205" s="1527"/>
      <c r="F205" s="1519"/>
      <c r="G205" s="1519"/>
      <c r="H205" s="1519"/>
      <c r="I205" s="1519"/>
      <c r="J205" s="1519"/>
      <c r="K205" s="1519"/>
      <c r="L205" s="1519"/>
      <c r="M205" s="1519"/>
      <c r="N205" s="1519"/>
      <c r="O205" s="1519"/>
      <c r="P205" s="1519"/>
      <c r="Q205" s="1519"/>
      <c r="R205" s="1519"/>
      <c r="S205" s="1529"/>
      <c r="T205" s="1529"/>
      <c r="U205" s="1523"/>
    </row>
    <row r="206" spans="1:21" ht="24" customHeight="1">
      <c r="A206" s="1532"/>
      <c r="B206" s="1524" t="s">
        <v>917</v>
      </c>
      <c r="C206" s="1530" t="s">
        <v>903</v>
      </c>
      <c r="D206" s="526" t="s">
        <v>876</v>
      </c>
      <c r="E206" s="1527"/>
      <c r="F206" s="1519"/>
      <c r="G206" s="1519"/>
      <c r="H206" s="1519"/>
      <c r="I206" s="1519"/>
      <c r="J206" s="1519"/>
      <c r="K206" s="1519"/>
      <c r="L206" s="1519"/>
      <c r="M206" s="1519"/>
      <c r="N206" s="1519"/>
      <c r="O206" s="1519"/>
      <c r="P206" s="1519"/>
      <c r="Q206" s="1519"/>
      <c r="R206" s="1519"/>
      <c r="S206" s="1519"/>
      <c r="T206" s="1528">
        <v>0.99</v>
      </c>
      <c r="U206" s="1522">
        <v>0.98009999999999997</v>
      </c>
    </row>
    <row r="207" spans="1:21" ht="24" customHeight="1">
      <c r="A207" s="1532"/>
      <c r="B207" s="1525"/>
      <c r="C207" s="1531"/>
      <c r="D207" s="528" t="s">
        <v>877</v>
      </c>
      <c r="E207" s="1527"/>
      <c r="F207" s="1519"/>
      <c r="G207" s="1519"/>
      <c r="H207" s="1519"/>
      <c r="I207" s="1519"/>
      <c r="J207" s="1519"/>
      <c r="K207" s="1519"/>
      <c r="L207" s="1519"/>
      <c r="M207" s="1519"/>
      <c r="N207" s="1519"/>
      <c r="O207" s="1519"/>
      <c r="P207" s="1519"/>
      <c r="Q207" s="1519"/>
      <c r="R207" s="1519"/>
      <c r="S207" s="1519"/>
      <c r="T207" s="1529"/>
      <c r="U207" s="1523"/>
    </row>
    <row r="208" spans="1:21" ht="24" customHeight="1">
      <c r="A208" s="1532"/>
      <c r="B208" s="1524" t="s">
        <v>918</v>
      </c>
      <c r="C208" s="1530" t="s">
        <v>903</v>
      </c>
      <c r="D208" s="526" t="s">
        <v>876</v>
      </c>
      <c r="E208" s="1527"/>
      <c r="F208" s="1519"/>
      <c r="G208" s="1519"/>
      <c r="H208" s="1519"/>
      <c r="I208" s="1519"/>
      <c r="J208" s="1519"/>
      <c r="K208" s="1519"/>
      <c r="L208" s="1519"/>
      <c r="M208" s="1519"/>
      <c r="N208" s="1519"/>
      <c r="O208" s="1519"/>
      <c r="P208" s="1519"/>
      <c r="Q208" s="1519"/>
      <c r="R208" s="1519"/>
      <c r="S208" s="1519"/>
      <c r="T208" s="1519"/>
      <c r="U208" s="1522">
        <v>0.99</v>
      </c>
    </row>
    <row r="209" spans="1:21" ht="24" customHeight="1">
      <c r="A209" s="1532"/>
      <c r="B209" s="1525"/>
      <c r="C209" s="1531"/>
      <c r="D209" s="528" t="s">
        <v>877</v>
      </c>
      <c r="E209" s="1527"/>
      <c r="F209" s="1519"/>
      <c r="G209" s="1519"/>
      <c r="H209" s="1519"/>
      <c r="I209" s="1519"/>
      <c r="J209" s="1519"/>
      <c r="K209" s="1519"/>
      <c r="L209" s="1519"/>
      <c r="M209" s="1519"/>
      <c r="N209" s="1519"/>
      <c r="O209" s="1519"/>
      <c r="P209" s="1519"/>
      <c r="Q209" s="1519"/>
      <c r="R209" s="1519"/>
      <c r="S209" s="1519"/>
      <c r="T209" s="1519"/>
      <c r="U209" s="1523"/>
    </row>
    <row r="210" spans="1:21" ht="24" customHeight="1">
      <c r="A210" s="1532"/>
      <c r="B210" s="1524" t="s">
        <v>224</v>
      </c>
      <c r="C210" s="1530" t="s">
        <v>903</v>
      </c>
      <c r="D210" s="526" t="s">
        <v>876</v>
      </c>
      <c r="E210" s="1527"/>
      <c r="F210" s="1519"/>
      <c r="G210" s="1519"/>
      <c r="H210" s="1519"/>
      <c r="I210" s="1519"/>
      <c r="J210" s="1519"/>
      <c r="K210" s="1519"/>
      <c r="L210" s="1519"/>
      <c r="M210" s="1519"/>
      <c r="N210" s="1519"/>
      <c r="O210" s="1519"/>
      <c r="P210" s="1519"/>
      <c r="Q210" s="1519"/>
      <c r="R210" s="1519"/>
      <c r="S210" s="1519"/>
      <c r="T210" s="1519"/>
      <c r="U210" s="1520"/>
    </row>
    <row r="211" spans="1:21" ht="24" customHeight="1">
      <c r="A211" s="1525"/>
      <c r="B211" s="1525"/>
      <c r="C211" s="1533"/>
      <c r="D211" s="528" t="s">
        <v>877</v>
      </c>
      <c r="E211" s="1527"/>
      <c r="F211" s="1519"/>
      <c r="G211" s="1519"/>
      <c r="H211" s="1519"/>
      <c r="I211" s="1519"/>
      <c r="J211" s="1519"/>
      <c r="K211" s="1519"/>
      <c r="L211" s="1519"/>
      <c r="M211" s="1519"/>
      <c r="N211" s="1519"/>
      <c r="O211" s="1519"/>
      <c r="P211" s="1519"/>
      <c r="Q211" s="1519"/>
      <c r="R211" s="1519"/>
      <c r="S211" s="1519"/>
      <c r="T211" s="1519"/>
      <c r="U211" s="1521"/>
    </row>
    <row r="212" spans="1:21" ht="24" customHeight="1">
      <c r="A212" s="1524" t="s">
        <v>231</v>
      </c>
      <c r="B212" s="1524" t="s">
        <v>902</v>
      </c>
      <c r="C212" s="1530" t="s">
        <v>903</v>
      </c>
      <c r="D212" s="526" t="s">
        <v>876</v>
      </c>
      <c r="E212" s="1527"/>
      <c r="F212" s="1528">
        <v>0.63</v>
      </c>
      <c r="G212" s="1528">
        <v>0.4914</v>
      </c>
      <c r="H212" s="1528">
        <v>0.42260399999999998</v>
      </c>
      <c r="I212" s="1528">
        <v>0.40147379999999994</v>
      </c>
      <c r="J212" s="1528">
        <v>0.35731168199999996</v>
      </c>
      <c r="K212" s="1528">
        <v>0.32872674743999997</v>
      </c>
      <c r="L212" s="1528">
        <v>0.31229041006799996</v>
      </c>
      <c r="M212" s="1528">
        <v>0.29667588956459995</v>
      </c>
      <c r="N212" s="1528">
        <v>0.28480885398201594</v>
      </c>
      <c r="O212" s="1528">
        <v>0.2734164998227353</v>
      </c>
      <c r="P212" s="1528">
        <v>0.27068233482450793</v>
      </c>
      <c r="Q212" s="1528">
        <v>0.2598550414315276</v>
      </c>
      <c r="R212" s="1528">
        <v>0.24946083977426647</v>
      </c>
      <c r="S212" s="1528">
        <v>0.24696623137652382</v>
      </c>
      <c r="T212" s="1528">
        <v>0.24449656906275857</v>
      </c>
      <c r="U212" s="1522">
        <v>0.242051603372131</v>
      </c>
    </row>
    <row r="213" spans="1:21" ht="24" customHeight="1">
      <c r="A213" s="1532"/>
      <c r="B213" s="1525"/>
      <c r="C213" s="1531"/>
      <c r="D213" s="528" t="s">
        <v>877</v>
      </c>
      <c r="E213" s="1527"/>
      <c r="F213" s="1529"/>
      <c r="G213" s="1529"/>
      <c r="H213" s="1529"/>
      <c r="I213" s="1529"/>
      <c r="J213" s="1529"/>
      <c r="K213" s="1529"/>
      <c r="L213" s="1529"/>
      <c r="M213" s="1529"/>
      <c r="N213" s="1529"/>
      <c r="O213" s="1529"/>
      <c r="P213" s="1529"/>
      <c r="Q213" s="1529"/>
      <c r="R213" s="1529"/>
      <c r="S213" s="1529"/>
      <c r="T213" s="1529"/>
      <c r="U213" s="1523"/>
    </row>
    <row r="214" spans="1:21" ht="24" customHeight="1">
      <c r="A214" s="1532"/>
      <c r="B214" s="1524" t="s">
        <v>904</v>
      </c>
      <c r="C214" s="1530" t="s">
        <v>903</v>
      </c>
      <c r="D214" s="526" t="s">
        <v>876</v>
      </c>
      <c r="E214" s="1527"/>
      <c r="F214" s="1519"/>
      <c r="G214" s="1528">
        <v>0.78</v>
      </c>
      <c r="H214" s="1528">
        <v>0.67080000000000006</v>
      </c>
      <c r="I214" s="1528">
        <v>0.63726000000000005</v>
      </c>
      <c r="J214" s="1528">
        <v>0.56716140000000004</v>
      </c>
      <c r="K214" s="1528">
        <v>0.52178848800000011</v>
      </c>
      <c r="L214" s="1528">
        <v>0.4956990636000001</v>
      </c>
      <c r="M214" s="1528">
        <v>0.47091411042000009</v>
      </c>
      <c r="N214" s="1528">
        <v>0.45207754600320005</v>
      </c>
      <c r="O214" s="1528">
        <v>0.43399444416307204</v>
      </c>
      <c r="P214" s="1528">
        <v>0.42965449972144132</v>
      </c>
      <c r="Q214" s="1528">
        <v>0.41246831973258363</v>
      </c>
      <c r="R214" s="1528">
        <v>0.39596958694328027</v>
      </c>
      <c r="S214" s="1528">
        <v>0.39200989107384748</v>
      </c>
      <c r="T214" s="1528">
        <v>0.38808979216310902</v>
      </c>
      <c r="U214" s="1522">
        <v>0.38420889424147792</v>
      </c>
    </row>
    <row r="215" spans="1:21" ht="24" customHeight="1">
      <c r="A215" s="1532"/>
      <c r="B215" s="1525"/>
      <c r="C215" s="1531"/>
      <c r="D215" s="528" t="s">
        <v>877</v>
      </c>
      <c r="E215" s="1527"/>
      <c r="F215" s="1519"/>
      <c r="G215" s="1529"/>
      <c r="H215" s="1529"/>
      <c r="I215" s="1529"/>
      <c r="J215" s="1529"/>
      <c r="K215" s="1529"/>
      <c r="L215" s="1529"/>
      <c r="M215" s="1529"/>
      <c r="N215" s="1529"/>
      <c r="O215" s="1529"/>
      <c r="P215" s="1529"/>
      <c r="Q215" s="1529"/>
      <c r="R215" s="1529"/>
      <c r="S215" s="1529"/>
      <c r="T215" s="1529"/>
      <c r="U215" s="1523"/>
    </row>
    <row r="216" spans="1:21" ht="24" customHeight="1">
      <c r="A216" s="1532"/>
      <c r="B216" s="1524" t="s">
        <v>905</v>
      </c>
      <c r="C216" s="1530" t="s">
        <v>903</v>
      </c>
      <c r="D216" s="526" t="s">
        <v>876</v>
      </c>
      <c r="E216" s="1527"/>
      <c r="F216" s="1519"/>
      <c r="G216" s="1519"/>
      <c r="H216" s="1528">
        <v>0.86</v>
      </c>
      <c r="I216" s="1528">
        <v>0.81699999999999995</v>
      </c>
      <c r="J216" s="1528">
        <v>0.72712999999999994</v>
      </c>
      <c r="K216" s="1528">
        <v>0.66895959999999999</v>
      </c>
      <c r="L216" s="1528">
        <v>0.63551161999999994</v>
      </c>
      <c r="M216" s="1528">
        <v>0.60373603899999995</v>
      </c>
      <c r="N216" s="1528">
        <v>0.57958659743999996</v>
      </c>
      <c r="O216" s="1528">
        <v>0.5564031335423999</v>
      </c>
      <c r="P216" s="1528">
        <v>0.55083910220697585</v>
      </c>
      <c r="Q216" s="1528">
        <v>0.52880553811869679</v>
      </c>
      <c r="R216" s="1528">
        <v>0.50765331659394886</v>
      </c>
      <c r="S216" s="1528">
        <v>0.50257678342800938</v>
      </c>
      <c r="T216" s="1528">
        <v>0.49755101559372927</v>
      </c>
      <c r="U216" s="1522">
        <v>0.49257550543779199</v>
      </c>
    </row>
    <row r="217" spans="1:21" ht="24" customHeight="1">
      <c r="A217" s="1532"/>
      <c r="B217" s="1525"/>
      <c r="C217" s="1531"/>
      <c r="D217" s="528" t="s">
        <v>877</v>
      </c>
      <c r="E217" s="1527"/>
      <c r="F217" s="1519"/>
      <c r="G217" s="1519"/>
      <c r="H217" s="1529"/>
      <c r="I217" s="1529"/>
      <c r="J217" s="1529"/>
      <c r="K217" s="1529"/>
      <c r="L217" s="1529"/>
      <c r="M217" s="1529"/>
      <c r="N217" s="1529"/>
      <c r="O217" s="1529"/>
      <c r="P217" s="1529"/>
      <c r="Q217" s="1529"/>
      <c r="R217" s="1529"/>
      <c r="S217" s="1529"/>
      <c r="T217" s="1529"/>
      <c r="U217" s="1523"/>
    </row>
    <row r="218" spans="1:21" ht="24" customHeight="1">
      <c r="A218" s="1532"/>
      <c r="B218" s="1524" t="s">
        <v>906</v>
      </c>
      <c r="C218" s="1530" t="s">
        <v>903</v>
      </c>
      <c r="D218" s="526" t="s">
        <v>876</v>
      </c>
      <c r="E218" s="1527"/>
      <c r="F218" s="1519"/>
      <c r="G218" s="1519"/>
      <c r="H218" s="1519"/>
      <c r="I218" s="1528">
        <v>0.95</v>
      </c>
      <c r="J218" s="1528">
        <v>0.84549999999999992</v>
      </c>
      <c r="K218" s="1528">
        <v>0.77786</v>
      </c>
      <c r="L218" s="1528">
        <v>0.73896699999999993</v>
      </c>
      <c r="M218" s="1528">
        <v>0.70201864999999986</v>
      </c>
      <c r="N218" s="1528">
        <v>0.67393790399999987</v>
      </c>
      <c r="O218" s="1528">
        <v>0.64698038783999989</v>
      </c>
      <c r="P218" s="1528">
        <v>0.64051058396159988</v>
      </c>
      <c r="Q218" s="1528">
        <v>0.61489016060313584</v>
      </c>
      <c r="R218" s="1528">
        <v>0.59029455417901033</v>
      </c>
      <c r="S218" s="1528">
        <v>0.58439160863722017</v>
      </c>
      <c r="T218" s="1528">
        <v>0.57854769255084793</v>
      </c>
      <c r="U218" s="1522">
        <v>0.57276221562533947</v>
      </c>
    </row>
    <row r="219" spans="1:21" ht="24" customHeight="1">
      <c r="A219" s="1532"/>
      <c r="B219" s="1525"/>
      <c r="C219" s="1531"/>
      <c r="D219" s="528" t="s">
        <v>877</v>
      </c>
      <c r="E219" s="1527"/>
      <c r="F219" s="1519"/>
      <c r="G219" s="1519"/>
      <c r="H219" s="1519"/>
      <c r="I219" s="1529"/>
      <c r="J219" s="1529"/>
      <c r="K219" s="1529"/>
      <c r="L219" s="1529"/>
      <c r="M219" s="1529"/>
      <c r="N219" s="1529"/>
      <c r="O219" s="1529"/>
      <c r="P219" s="1529"/>
      <c r="Q219" s="1529"/>
      <c r="R219" s="1529"/>
      <c r="S219" s="1529"/>
      <c r="T219" s="1529"/>
      <c r="U219" s="1523"/>
    </row>
    <row r="220" spans="1:21" ht="24" customHeight="1">
      <c r="A220" s="1532"/>
      <c r="B220" s="1524" t="s">
        <v>907</v>
      </c>
      <c r="C220" s="1530" t="s">
        <v>903</v>
      </c>
      <c r="D220" s="526" t="s">
        <v>876</v>
      </c>
      <c r="E220" s="1527"/>
      <c r="F220" s="1519"/>
      <c r="G220" s="1519"/>
      <c r="H220" s="1519"/>
      <c r="I220" s="1519"/>
      <c r="J220" s="1528">
        <v>0.89</v>
      </c>
      <c r="K220" s="1528">
        <v>0.81880000000000008</v>
      </c>
      <c r="L220" s="1528">
        <v>0.77786</v>
      </c>
      <c r="M220" s="1528">
        <v>0.73896699999999993</v>
      </c>
      <c r="N220" s="1528">
        <v>0.70940831999999987</v>
      </c>
      <c r="O220" s="1528">
        <v>0.6810319871999998</v>
      </c>
      <c r="P220" s="1528">
        <v>0.67422166732799982</v>
      </c>
      <c r="Q220" s="1528">
        <v>0.64725280063487978</v>
      </c>
      <c r="R220" s="1528">
        <v>0.62136268860948451</v>
      </c>
      <c r="S220" s="1528">
        <v>0.61514906172338968</v>
      </c>
      <c r="T220" s="1528">
        <v>0.60899757110615582</v>
      </c>
      <c r="U220" s="1522">
        <v>0.60290759539509431</v>
      </c>
    </row>
    <row r="221" spans="1:21" ht="24" customHeight="1">
      <c r="A221" s="1532"/>
      <c r="B221" s="1525"/>
      <c r="C221" s="1531"/>
      <c r="D221" s="528" t="s">
        <v>877</v>
      </c>
      <c r="E221" s="1527"/>
      <c r="F221" s="1519"/>
      <c r="G221" s="1519"/>
      <c r="H221" s="1519"/>
      <c r="I221" s="1519"/>
      <c r="J221" s="1529"/>
      <c r="K221" s="1529"/>
      <c r="L221" s="1529"/>
      <c r="M221" s="1529"/>
      <c r="N221" s="1529"/>
      <c r="O221" s="1529"/>
      <c r="P221" s="1529"/>
      <c r="Q221" s="1529"/>
      <c r="R221" s="1529"/>
      <c r="S221" s="1529"/>
      <c r="T221" s="1529"/>
      <c r="U221" s="1523"/>
    </row>
    <row r="222" spans="1:21" ht="24" customHeight="1">
      <c r="A222" s="1532"/>
      <c r="B222" s="1524" t="s">
        <v>908</v>
      </c>
      <c r="C222" s="1530" t="s">
        <v>903</v>
      </c>
      <c r="D222" s="526" t="s">
        <v>876</v>
      </c>
      <c r="E222" s="1527"/>
      <c r="F222" s="1519"/>
      <c r="G222" s="1519"/>
      <c r="H222" s="1519"/>
      <c r="I222" s="1519"/>
      <c r="J222" s="1519"/>
      <c r="K222" s="1528">
        <v>0.92</v>
      </c>
      <c r="L222" s="1528">
        <v>0.874</v>
      </c>
      <c r="M222" s="1528">
        <v>0.83029999999999993</v>
      </c>
      <c r="N222" s="1528">
        <v>0.79708799999999991</v>
      </c>
      <c r="O222" s="1528">
        <v>0.76520447999999985</v>
      </c>
      <c r="P222" s="1528">
        <v>0.75755243519999982</v>
      </c>
      <c r="Q222" s="1528">
        <v>0.72725033779199977</v>
      </c>
      <c r="R222" s="1528">
        <v>0.69816032428031971</v>
      </c>
      <c r="S222" s="1528">
        <v>0.69117872103751654</v>
      </c>
      <c r="T222" s="1528">
        <v>0.68426693382714132</v>
      </c>
      <c r="U222" s="1522">
        <v>0.67742426448886994</v>
      </c>
    </row>
    <row r="223" spans="1:21" ht="24" customHeight="1">
      <c r="A223" s="1532"/>
      <c r="B223" s="1525"/>
      <c r="C223" s="1531"/>
      <c r="D223" s="528" t="s">
        <v>877</v>
      </c>
      <c r="E223" s="1527"/>
      <c r="F223" s="1519"/>
      <c r="G223" s="1519"/>
      <c r="H223" s="1519"/>
      <c r="I223" s="1519"/>
      <c r="J223" s="1519"/>
      <c r="K223" s="1529"/>
      <c r="L223" s="1529"/>
      <c r="M223" s="1529"/>
      <c r="N223" s="1529"/>
      <c r="O223" s="1529"/>
      <c r="P223" s="1529"/>
      <c r="Q223" s="1529"/>
      <c r="R223" s="1529"/>
      <c r="S223" s="1529"/>
      <c r="T223" s="1529"/>
      <c r="U223" s="1523"/>
    </row>
    <row r="224" spans="1:21" ht="24" customHeight="1">
      <c r="A224" s="1532"/>
      <c r="B224" s="1524" t="s">
        <v>909</v>
      </c>
      <c r="C224" s="1530" t="s">
        <v>903</v>
      </c>
      <c r="D224" s="526" t="s">
        <v>876</v>
      </c>
      <c r="E224" s="1527"/>
      <c r="F224" s="1519"/>
      <c r="G224" s="1519"/>
      <c r="H224" s="1519"/>
      <c r="I224" s="1519"/>
      <c r="J224" s="1519"/>
      <c r="K224" s="1519"/>
      <c r="L224" s="1528">
        <v>0.95</v>
      </c>
      <c r="M224" s="1528">
        <v>0.90249999999999997</v>
      </c>
      <c r="N224" s="1528">
        <v>0.86639999999999995</v>
      </c>
      <c r="O224" s="1528">
        <v>0.83174399999999993</v>
      </c>
      <c r="P224" s="1528">
        <v>0.82342655999999992</v>
      </c>
      <c r="Q224" s="1528">
        <v>0.79048949759999987</v>
      </c>
      <c r="R224" s="1528">
        <v>0.75886991769599987</v>
      </c>
      <c r="S224" s="1528">
        <v>0.75128121851903984</v>
      </c>
      <c r="T224" s="1528">
        <v>0.74376840633384944</v>
      </c>
      <c r="U224" s="1522">
        <v>0.736330722270511</v>
      </c>
    </row>
    <row r="225" spans="1:21" ht="24" customHeight="1">
      <c r="A225" s="1532"/>
      <c r="B225" s="1525"/>
      <c r="C225" s="1531"/>
      <c r="D225" s="528" t="s">
        <v>877</v>
      </c>
      <c r="E225" s="1527"/>
      <c r="F225" s="1519"/>
      <c r="G225" s="1519"/>
      <c r="H225" s="1519"/>
      <c r="I225" s="1519"/>
      <c r="J225" s="1519"/>
      <c r="K225" s="1519"/>
      <c r="L225" s="1529"/>
      <c r="M225" s="1529"/>
      <c r="N225" s="1529"/>
      <c r="O225" s="1529"/>
      <c r="P225" s="1529"/>
      <c r="Q225" s="1529"/>
      <c r="R225" s="1529"/>
      <c r="S225" s="1529"/>
      <c r="T225" s="1529"/>
      <c r="U225" s="1523"/>
    </row>
    <row r="226" spans="1:21" ht="24" customHeight="1">
      <c r="A226" s="1532"/>
      <c r="B226" s="1524" t="s">
        <v>910</v>
      </c>
      <c r="C226" s="1530" t="s">
        <v>903</v>
      </c>
      <c r="D226" s="526" t="s">
        <v>876</v>
      </c>
      <c r="E226" s="1527"/>
      <c r="F226" s="1519"/>
      <c r="G226" s="1519"/>
      <c r="H226" s="1519"/>
      <c r="I226" s="1519"/>
      <c r="J226" s="1519"/>
      <c r="K226" s="1519"/>
      <c r="L226" s="1519"/>
      <c r="M226" s="1528">
        <v>0.95</v>
      </c>
      <c r="N226" s="1528">
        <v>0.91199999999999992</v>
      </c>
      <c r="O226" s="1528">
        <v>0.87551999999999985</v>
      </c>
      <c r="P226" s="1528">
        <v>0.86676479999999989</v>
      </c>
      <c r="Q226" s="1528">
        <v>0.83209420799999989</v>
      </c>
      <c r="R226" s="1528">
        <v>0.79881043967999987</v>
      </c>
      <c r="S226" s="1528">
        <v>0.7908223352831999</v>
      </c>
      <c r="T226" s="1528">
        <v>0.78291411193036786</v>
      </c>
      <c r="U226" s="1522">
        <v>0.7750849708110642</v>
      </c>
    </row>
    <row r="227" spans="1:21" ht="24" customHeight="1">
      <c r="A227" s="1532"/>
      <c r="B227" s="1525"/>
      <c r="C227" s="1531"/>
      <c r="D227" s="528" t="s">
        <v>877</v>
      </c>
      <c r="E227" s="1527"/>
      <c r="F227" s="1519"/>
      <c r="G227" s="1519"/>
      <c r="H227" s="1519"/>
      <c r="I227" s="1519"/>
      <c r="J227" s="1519"/>
      <c r="K227" s="1519"/>
      <c r="L227" s="1519"/>
      <c r="M227" s="1529"/>
      <c r="N227" s="1529"/>
      <c r="O227" s="1529"/>
      <c r="P227" s="1529"/>
      <c r="Q227" s="1529"/>
      <c r="R227" s="1529"/>
      <c r="S227" s="1529"/>
      <c r="T227" s="1529"/>
      <c r="U227" s="1523"/>
    </row>
    <row r="228" spans="1:21" ht="24" customHeight="1">
      <c r="A228" s="1532"/>
      <c r="B228" s="1524" t="s">
        <v>911</v>
      </c>
      <c r="C228" s="1530" t="s">
        <v>903</v>
      </c>
      <c r="D228" s="526" t="s">
        <v>876</v>
      </c>
      <c r="E228" s="1527"/>
      <c r="F228" s="1519"/>
      <c r="G228" s="1519"/>
      <c r="H228" s="1519"/>
      <c r="I228" s="1519"/>
      <c r="J228" s="1519"/>
      <c r="K228" s="1519"/>
      <c r="L228" s="1519"/>
      <c r="M228" s="1519"/>
      <c r="N228" s="1528">
        <v>0.96</v>
      </c>
      <c r="O228" s="1528">
        <v>0.92159999999999997</v>
      </c>
      <c r="P228" s="1528">
        <v>0.91238399999999997</v>
      </c>
      <c r="Q228" s="1528">
        <v>0.87588864</v>
      </c>
      <c r="R228" s="1528">
        <v>0.8408530944</v>
      </c>
      <c r="S228" s="1528">
        <v>0.83244456345600004</v>
      </c>
      <c r="T228" s="1528">
        <v>0.82412011782144001</v>
      </c>
      <c r="U228" s="1522">
        <v>0.81587891664322565</v>
      </c>
    </row>
    <row r="229" spans="1:21" ht="24" customHeight="1">
      <c r="A229" s="1532"/>
      <c r="B229" s="1525"/>
      <c r="C229" s="1531"/>
      <c r="D229" s="528" t="s">
        <v>877</v>
      </c>
      <c r="E229" s="1527"/>
      <c r="F229" s="1519"/>
      <c r="G229" s="1519"/>
      <c r="H229" s="1519"/>
      <c r="I229" s="1519"/>
      <c r="J229" s="1519"/>
      <c r="K229" s="1519"/>
      <c r="L229" s="1519"/>
      <c r="M229" s="1519"/>
      <c r="N229" s="1529"/>
      <c r="O229" s="1529"/>
      <c r="P229" s="1529"/>
      <c r="Q229" s="1529"/>
      <c r="R229" s="1529"/>
      <c r="S229" s="1529"/>
      <c r="T229" s="1529"/>
      <c r="U229" s="1523"/>
    </row>
    <row r="230" spans="1:21" ht="24" customHeight="1">
      <c r="A230" s="1532"/>
      <c r="B230" s="1524" t="s">
        <v>912</v>
      </c>
      <c r="C230" s="1530" t="s">
        <v>903</v>
      </c>
      <c r="D230" s="526" t="s">
        <v>876</v>
      </c>
      <c r="E230" s="1527"/>
      <c r="F230" s="1519"/>
      <c r="G230" s="1519"/>
      <c r="H230" s="1519"/>
      <c r="I230" s="1519"/>
      <c r="J230" s="1519"/>
      <c r="K230" s="1519"/>
      <c r="L230" s="1519"/>
      <c r="M230" s="1519"/>
      <c r="N230" s="1519"/>
      <c r="O230" s="1528">
        <v>0.96</v>
      </c>
      <c r="P230" s="1528">
        <v>0.95039999999999991</v>
      </c>
      <c r="Q230" s="1528">
        <v>0.91238399999999986</v>
      </c>
      <c r="R230" s="1528">
        <v>0.87588863999999989</v>
      </c>
      <c r="S230" s="1528">
        <v>0.86712975359999989</v>
      </c>
      <c r="T230" s="1528">
        <v>0.85845845606399984</v>
      </c>
      <c r="U230" s="1522">
        <v>0.8498738715033598</v>
      </c>
    </row>
    <row r="231" spans="1:21" ht="24" customHeight="1">
      <c r="A231" s="1532"/>
      <c r="B231" s="1525"/>
      <c r="C231" s="1531"/>
      <c r="D231" s="528" t="s">
        <v>877</v>
      </c>
      <c r="E231" s="1527"/>
      <c r="F231" s="1519"/>
      <c r="G231" s="1519"/>
      <c r="H231" s="1519"/>
      <c r="I231" s="1519"/>
      <c r="J231" s="1519"/>
      <c r="K231" s="1519"/>
      <c r="L231" s="1519"/>
      <c r="M231" s="1519"/>
      <c r="N231" s="1519"/>
      <c r="O231" s="1529"/>
      <c r="P231" s="1529"/>
      <c r="Q231" s="1529"/>
      <c r="R231" s="1529"/>
      <c r="S231" s="1529"/>
      <c r="T231" s="1529"/>
      <c r="U231" s="1523"/>
    </row>
    <row r="232" spans="1:21" ht="24" customHeight="1">
      <c r="A232" s="1532"/>
      <c r="B232" s="1524" t="s">
        <v>913</v>
      </c>
      <c r="C232" s="1530" t="s">
        <v>903</v>
      </c>
      <c r="D232" s="526" t="s">
        <v>876</v>
      </c>
      <c r="E232" s="1527"/>
      <c r="F232" s="1519"/>
      <c r="G232" s="1519"/>
      <c r="H232" s="1519"/>
      <c r="I232" s="1519"/>
      <c r="J232" s="1519"/>
      <c r="K232" s="1519"/>
      <c r="L232" s="1519"/>
      <c r="M232" s="1519"/>
      <c r="N232" s="1519"/>
      <c r="O232" s="1519"/>
      <c r="P232" s="1528">
        <v>0.99</v>
      </c>
      <c r="Q232" s="1528">
        <v>0.95039999999999991</v>
      </c>
      <c r="R232" s="1528">
        <v>0.91238399999999986</v>
      </c>
      <c r="S232" s="1528">
        <v>0.90326015999999987</v>
      </c>
      <c r="T232" s="1528">
        <v>0.8942275583999999</v>
      </c>
      <c r="U232" s="1522">
        <v>0.88528528281599994</v>
      </c>
    </row>
    <row r="233" spans="1:21" ht="24" customHeight="1">
      <c r="A233" s="1532"/>
      <c r="B233" s="1525"/>
      <c r="C233" s="1531"/>
      <c r="D233" s="528" t="s">
        <v>877</v>
      </c>
      <c r="E233" s="1527"/>
      <c r="F233" s="1519"/>
      <c r="G233" s="1519"/>
      <c r="H233" s="1519"/>
      <c r="I233" s="1519"/>
      <c r="J233" s="1519"/>
      <c r="K233" s="1519"/>
      <c r="L233" s="1519"/>
      <c r="M233" s="1519"/>
      <c r="N233" s="1519"/>
      <c r="O233" s="1519"/>
      <c r="P233" s="1529"/>
      <c r="Q233" s="1529"/>
      <c r="R233" s="1529"/>
      <c r="S233" s="1529"/>
      <c r="T233" s="1529"/>
      <c r="U233" s="1523"/>
    </row>
    <row r="234" spans="1:21" ht="24" customHeight="1">
      <c r="A234" s="1532"/>
      <c r="B234" s="1524" t="s">
        <v>914</v>
      </c>
      <c r="C234" s="1530" t="s">
        <v>903</v>
      </c>
      <c r="D234" s="526" t="s">
        <v>876</v>
      </c>
      <c r="E234" s="1527"/>
      <c r="F234" s="1519"/>
      <c r="G234" s="1519"/>
      <c r="H234" s="1519"/>
      <c r="I234" s="1519"/>
      <c r="J234" s="1519"/>
      <c r="K234" s="1519"/>
      <c r="L234" s="1519"/>
      <c r="M234" s="1519"/>
      <c r="N234" s="1519"/>
      <c r="O234" s="1519"/>
      <c r="P234" s="1519"/>
      <c r="Q234" s="1528">
        <v>0.96</v>
      </c>
      <c r="R234" s="1528">
        <v>0.92159999999999997</v>
      </c>
      <c r="S234" s="1528">
        <v>0.91238399999999997</v>
      </c>
      <c r="T234" s="1528">
        <v>0.90326015999999998</v>
      </c>
      <c r="U234" s="1522">
        <v>0.89422755840000001</v>
      </c>
    </row>
    <row r="235" spans="1:21" ht="24" customHeight="1">
      <c r="A235" s="1532"/>
      <c r="B235" s="1525"/>
      <c r="C235" s="1531"/>
      <c r="D235" s="528" t="s">
        <v>877</v>
      </c>
      <c r="E235" s="1527"/>
      <c r="F235" s="1519"/>
      <c r="G235" s="1519"/>
      <c r="H235" s="1519"/>
      <c r="I235" s="1519"/>
      <c r="J235" s="1519"/>
      <c r="K235" s="1519"/>
      <c r="L235" s="1519"/>
      <c r="M235" s="1519"/>
      <c r="N235" s="1519"/>
      <c r="O235" s="1519"/>
      <c r="P235" s="1519"/>
      <c r="Q235" s="1529"/>
      <c r="R235" s="1529"/>
      <c r="S235" s="1529"/>
      <c r="T235" s="1529"/>
      <c r="U235" s="1523"/>
    </row>
    <row r="236" spans="1:21" ht="24" customHeight="1">
      <c r="A236" s="1532"/>
      <c r="B236" s="1524" t="s">
        <v>915</v>
      </c>
      <c r="C236" s="1530" t="s">
        <v>903</v>
      </c>
      <c r="D236" s="526" t="s">
        <v>876</v>
      </c>
      <c r="E236" s="1527"/>
      <c r="F236" s="1519"/>
      <c r="G236" s="1519"/>
      <c r="H236" s="1519"/>
      <c r="I236" s="1519"/>
      <c r="J236" s="1519"/>
      <c r="K236" s="1519"/>
      <c r="L236" s="1519"/>
      <c r="M236" s="1519"/>
      <c r="N236" s="1519"/>
      <c r="O236" s="1519"/>
      <c r="P236" s="1519"/>
      <c r="Q236" s="1519"/>
      <c r="R236" s="1528">
        <v>0.96</v>
      </c>
      <c r="S236" s="1528">
        <v>0.95039999999999991</v>
      </c>
      <c r="T236" s="1528">
        <v>0.94089599999999995</v>
      </c>
      <c r="U236" s="1522">
        <v>0.93148703999999993</v>
      </c>
    </row>
    <row r="237" spans="1:21" ht="24" customHeight="1">
      <c r="A237" s="1532"/>
      <c r="B237" s="1525"/>
      <c r="C237" s="1531"/>
      <c r="D237" s="528" t="s">
        <v>877</v>
      </c>
      <c r="E237" s="1527"/>
      <c r="F237" s="1519"/>
      <c r="G237" s="1519"/>
      <c r="H237" s="1519"/>
      <c r="I237" s="1519"/>
      <c r="J237" s="1519"/>
      <c r="K237" s="1519"/>
      <c r="L237" s="1519"/>
      <c r="M237" s="1519"/>
      <c r="N237" s="1519"/>
      <c r="O237" s="1519"/>
      <c r="P237" s="1519"/>
      <c r="Q237" s="1519"/>
      <c r="R237" s="1529"/>
      <c r="S237" s="1529"/>
      <c r="T237" s="1529"/>
      <c r="U237" s="1523"/>
    </row>
    <row r="238" spans="1:21" ht="24" customHeight="1">
      <c r="A238" s="1532"/>
      <c r="B238" s="1524" t="s">
        <v>916</v>
      </c>
      <c r="C238" s="1530" t="s">
        <v>903</v>
      </c>
      <c r="D238" s="526" t="s">
        <v>876</v>
      </c>
      <c r="E238" s="1527"/>
      <c r="F238" s="1519"/>
      <c r="G238" s="1519"/>
      <c r="H238" s="1519"/>
      <c r="I238" s="1519"/>
      <c r="J238" s="1519"/>
      <c r="K238" s="1519"/>
      <c r="L238" s="1519"/>
      <c r="M238" s="1519"/>
      <c r="N238" s="1519"/>
      <c r="O238" s="1519"/>
      <c r="P238" s="1519"/>
      <c r="Q238" s="1519"/>
      <c r="R238" s="1519"/>
      <c r="S238" s="1528">
        <v>0.99</v>
      </c>
      <c r="T238" s="1528">
        <v>0.98009999999999997</v>
      </c>
      <c r="U238" s="1522">
        <v>0.97029899999999991</v>
      </c>
    </row>
    <row r="239" spans="1:21" ht="24" customHeight="1">
      <c r="A239" s="1532"/>
      <c r="B239" s="1525"/>
      <c r="C239" s="1531"/>
      <c r="D239" s="528" t="s">
        <v>877</v>
      </c>
      <c r="E239" s="1527"/>
      <c r="F239" s="1519"/>
      <c r="G239" s="1519"/>
      <c r="H239" s="1519"/>
      <c r="I239" s="1519"/>
      <c r="J239" s="1519"/>
      <c r="K239" s="1519"/>
      <c r="L239" s="1519"/>
      <c r="M239" s="1519"/>
      <c r="N239" s="1519"/>
      <c r="O239" s="1519"/>
      <c r="P239" s="1519"/>
      <c r="Q239" s="1519"/>
      <c r="R239" s="1519"/>
      <c r="S239" s="1529"/>
      <c r="T239" s="1529"/>
      <c r="U239" s="1523"/>
    </row>
    <row r="240" spans="1:21" ht="24" customHeight="1">
      <c r="A240" s="1532"/>
      <c r="B240" s="1524" t="s">
        <v>917</v>
      </c>
      <c r="C240" s="1530" t="s">
        <v>903</v>
      </c>
      <c r="D240" s="526" t="s">
        <v>876</v>
      </c>
      <c r="E240" s="1527"/>
      <c r="F240" s="1519"/>
      <c r="G240" s="1519"/>
      <c r="H240" s="1519"/>
      <c r="I240" s="1519"/>
      <c r="J240" s="1519"/>
      <c r="K240" s="1519"/>
      <c r="L240" s="1519"/>
      <c r="M240" s="1519"/>
      <c r="N240" s="1519"/>
      <c r="O240" s="1519"/>
      <c r="P240" s="1519"/>
      <c r="Q240" s="1519"/>
      <c r="R240" s="1519"/>
      <c r="S240" s="1519"/>
      <c r="T240" s="1528">
        <v>0.99</v>
      </c>
      <c r="U240" s="1522">
        <v>0.98009999999999997</v>
      </c>
    </row>
    <row r="241" spans="1:21" ht="24" customHeight="1">
      <c r="A241" s="1532"/>
      <c r="B241" s="1525"/>
      <c r="C241" s="1531"/>
      <c r="D241" s="528" t="s">
        <v>877</v>
      </c>
      <c r="E241" s="1527"/>
      <c r="F241" s="1519"/>
      <c r="G241" s="1519"/>
      <c r="H241" s="1519"/>
      <c r="I241" s="1519"/>
      <c r="J241" s="1519"/>
      <c r="K241" s="1519"/>
      <c r="L241" s="1519"/>
      <c r="M241" s="1519"/>
      <c r="N241" s="1519"/>
      <c r="O241" s="1519"/>
      <c r="P241" s="1519"/>
      <c r="Q241" s="1519"/>
      <c r="R241" s="1519"/>
      <c r="S241" s="1519"/>
      <c r="T241" s="1529"/>
      <c r="U241" s="1523"/>
    </row>
    <row r="242" spans="1:21" ht="24" customHeight="1">
      <c r="A242" s="1532"/>
      <c r="B242" s="1524" t="s">
        <v>918</v>
      </c>
      <c r="C242" s="1530" t="s">
        <v>903</v>
      </c>
      <c r="D242" s="526" t="s">
        <v>876</v>
      </c>
      <c r="E242" s="1527"/>
      <c r="F242" s="1519"/>
      <c r="G242" s="1519"/>
      <c r="H242" s="1519"/>
      <c r="I242" s="1519"/>
      <c r="J242" s="1519"/>
      <c r="K242" s="1519"/>
      <c r="L242" s="1519"/>
      <c r="M242" s="1519"/>
      <c r="N242" s="1519"/>
      <c r="O242" s="1519"/>
      <c r="P242" s="1519"/>
      <c r="Q242" s="1519"/>
      <c r="R242" s="1519"/>
      <c r="S242" s="1519"/>
      <c r="T242" s="1519"/>
      <c r="U242" s="1522">
        <v>0.99</v>
      </c>
    </row>
    <row r="243" spans="1:21" ht="24" customHeight="1">
      <c r="A243" s="1532"/>
      <c r="B243" s="1525"/>
      <c r="C243" s="1531"/>
      <c r="D243" s="528" t="s">
        <v>877</v>
      </c>
      <c r="E243" s="1527"/>
      <c r="F243" s="1519"/>
      <c r="G243" s="1519"/>
      <c r="H243" s="1519"/>
      <c r="I243" s="1519"/>
      <c r="J243" s="1519"/>
      <c r="K243" s="1519"/>
      <c r="L243" s="1519"/>
      <c r="M243" s="1519"/>
      <c r="N243" s="1519"/>
      <c r="O243" s="1519"/>
      <c r="P243" s="1519"/>
      <c r="Q243" s="1519"/>
      <c r="R243" s="1519"/>
      <c r="S243" s="1519"/>
      <c r="T243" s="1519"/>
      <c r="U243" s="1523"/>
    </row>
    <row r="244" spans="1:21" ht="24" customHeight="1">
      <c r="A244" s="1532"/>
      <c r="B244" s="1524" t="s">
        <v>224</v>
      </c>
      <c r="C244" s="1530" t="s">
        <v>903</v>
      </c>
      <c r="D244" s="526" t="s">
        <v>876</v>
      </c>
      <c r="E244" s="1527"/>
      <c r="F244" s="1519"/>
      <c r="G244" s="1519"/>
      <c r="H244" s="1519"/>
      <c r="I244" s="1519"/>
      <c r="J244" s="1519"/>
      <c r="K244" s="1519"/>
      <c r="L244" s="1519"/>
      <c r="M244" s="1519"/>
      <c r="N244" s="1519"/>
      <c r="O244" s="1519"/>
      <c r="P244" s="1519"/>
      <c r="Q244" s="1519"/>
      <c r="R244" s="1519"/>
      <c r="S244" s="1519"/>
      <c r="T244" s="1519"/>
      <c r="U244" s="1520"/>
    </row>
    <row r="245" spans="1:21" ht="24" customHeight="1">
      <c r="A245" s="1525"/>
      <c r="B245" s="1525"/>
      <c r="C245" s="1533"/>
      <c r="D245" s="528" t="s">
        <v>877</v>
      </c>
      <c r="E245" s="1527"/>
      <c r="F245" s="1519"/>
      <c r="G245" s="1519"/>
      <c r="H245" s="1519"/>
      <c r="I245" s="1519"/>
      <c r="J245" s="1519"/>
      <c r="K245" s="1519"/>
      <c r="L245" s="1519"/>
      <c r="M245" s="1519"/>
      <c r="N245" s="1519"/>
      <c r="O245" s="1519"/>
      <c r="P245" s="1519"/>
      <c r="Q245" s="1519"/>
      <c r="R245" s="1519"/>
      <c r="S245" s="1519"/>
      <c r="T245" s="1519"/>
      <c r="U245" s="1521"/>
    </row>
    <row r="246" spans="1:21" ht="24" customHeight="1">
      <c r="A246" s="1524" t="s">
        <v>919</v>
      </c>
      <c r="B246" s="1524" t="s">
        <v>902</v>
      </c>
      <c r="C246" s="1530" t="s">
        <v>903</v>
      </c>
      <c r="D246" s="526" t="s">
        <v>876</v>
      </c>
      <c r="E246" s="1527"/>
      <c r="F246" s="1528">
        <v>0.63</v>
      </c>
      <c r="G246" s="1528">
        <v>0.4914</v>
      </c>
      <c r="H246" s="1528">
        <v>0.42260399999999998</v>
      </c>
      <c r="I246" s="1528">
        <v>0.40147379999999994</v>
      </c>
      <c r="J246" s="1528">
        <v>0.35731168199999996</v>
      </c>
      <c r="K246" s="1528">
        <v>0.32872674743999997</v>
      </c>
      <c r="L246" s="1528">
        <v>0.31229041006799996</v>
      </c>
      <c r="M246" s="1528">
        <v>0.29667588956459995</v>
      </c>
      <c r="N246" s="1528">
        <v>0.28480885398201594</v>
      </c>
      <c r="O246" s="1528">
        <v>0.2734164998227353</v>
      </c>
      <c r="P246" s="1528">
        <v>0.27068233482450793</v>
      </c>
      <c r="Q246" s="1528">
        <v>0.25714821808328253</v>
      </c>
      <c r="R246" s="1528">
        <v>0.24943377154078405</v>
      </c>
      <c r="S246" s="1528">
        <v>0.24693943382537623</v>
      </c>
      <c r="T246" s="1528">
        <v>0.24447003948712245</v>
      </c>
      <c r="U246" s="1522">
        <v>0.24202533909225124</v>
      </c>
    </row>
    <row r="247" spans="1:21" ht="24" customHeight="1">
      <c r="A247" s="1532"/>
      <c r="B247" s="1525"/>
      <c r="C247" s="1531"/>
      <c r="D247" s="528" t="s">
        <v>877</v>
      </c>
      <c r="E247" s="1527"/>
      <c r="F247" s="1529"/>
      <c r="G247" s="1529"/>
      <c r="H247" s="1529"/>
      <c r="I247" s="1529"/>
      <c r="J247" s="1529"/>
      <c r="K247" s="1529"/>
      <c r="L247" s="1529"/>
      <c r="M247" s="1529"/>
      <c r="N247" s="1529"/>
      <c r="O247" s="1529"/>
      <c r="P247" s="1529"/>
      <c r="Q247" s="1529"/>
      <c r="R247" s="1529"/>
      <c r="S247" s="1529"/>
      <c r="T247" s="1529"/>
      <c r="U247" s="1523"/>
    </row>
    <row r="248" spans="1:21" ht="24" customHeight="1">
      <c r="A248" s="1532"/>
      <c r="B248" s="1524" t="s">
        <v>904</v>
      </c>
      <c r="C248" s="1530" t="s">
        <v>903</v>
      </c>
      <c r="D248" s="526" t="s">
        <v>876</v>
      </c>
      <c r="E248" s="1527"/>
      <c r="F248" s="1519"/>
      <c r="G248" s="1528">
        <v>0.78</v>
      </c>
      <c r="H248" s="1528">
        <v>0.67080000000000006</v>
      </c>
      <c r="I248" s="1528">
        <v>0.63726000000000005</v>
      </c>
      <c r="J248" s="1528">
        <v>0.56716140000000004</v>
      </c>
      <c r="K248" s="1528">
        <v>0.52178848800000011</v>
      </c>
      <c r="L248" s="1528">
        <v>0.4956990636000001</v>
      </c>
      <c r="M248" s="1528">
        <v>0.47091411042000009</v>
      </c>
      <c r="N248" s="1528">
        <v>0.45207754600320005</v>
      </c>
      <c r="O248" s="1528">
        <v>0.43399444416307204</v>
      </c>
      <c r="P248" s="1528">
        <v>0.42965449972144132</v>
      </c>
      <c r="Q248" s="1528">
        <v>0.40817177473536925</v>
      </c>
      <c r="R248" s="1528">
        <v>0.39592662149330815</v>
      </c>
      <c r="S248" s="1528">
        <v>0.39196735527837506</v>
      </c>
      <c r="T248" s="1528">
        <v>0.38804768172559129</v>
      </c>
      <c r="U248" s="1522">
        <v>0.38416720490833539</v>
      </c>
    </row>
    <row r="249" spans="1:21" ht="24" customHeight="1">
      <c r="A249" s="1532"/>
      <c r="B249" s="1525"/>
      <c r="C249" s="1531"/>
      <c r="D249" s="528" t="s">
        <v>877</v>
      </c>
      <c r="E249" s="1527"/>
      <c r="F249" s="1519"/>
      <c r="G249" s="1529"/>
      <c r="H249" s="1529"/>
      <c r="I249" s="1529"/>
      <c r="J249" s="1529"/>
      <c r="K249" s="1529"/>
      <c r="L249" s="1529"/>
      <c r="M249" s="1529"/>
      <c r="N249" s="1529"/>
      <c r="O249" s="1529"/>
      <c r="P249" s="1529"/>
      <c r="Q249" s="1529"/>
      <c r="R249" s="1529"/>
      <c r="S249" s="1529"/>
      <c r="T249" s="1529"/>
      <c r="U249" s="1523"/>
    </row>
    <row r="250" spans="1:21" ht="24" customHeight="1">
      <c r="A250" s="1532"/>
      <c r="B250" s="1524" t="s">
        <v>905</v>
      </c>
      <c r="C250" s="1530" t="s">
        <v>903</v>
      </c>
      <c r="D250" s="526" t="s">
        <v>876</v>
      </c>
      <c r="E250" s="1527"/>
      <c r="F250" s="1519"/>
      <c r="G250" s="1519"/>
      <c r="H250" s="1528">
        <v>0.86</v>
      </c>
      <c r="I250" s="1528">
        <v>0.81699999999999995</v>
      </c>
      <c r="J250" s="1528">
        <v>0.72712999999999994</v>
      </c>
      <c r="K250" s="1528">
        <v>0.66895959999999999</v>
      </c>
      <c r="L250" s="1528">
        <v>0.63551161999999994</v>
      </c>
      <c r="M250" s="1528">
        <v>0.60373603899999995</v>
      </c>
      <c r="N250" s="1528">
        <v>0.57958659743999996</v>
      </c>
      <c r="O250" s="1528">
        <v>0.5564031335423999</v>
      </c>
      <c r="P250" s="1528">
        <v>0.55083910220697585</v>
      </c>
      <c r="Q250" s="1528">
        <v>0.523297147096627</v>
      </c>
      <c r="R250" s="1528">
        <v>0.50759823268372817</v>
      </c>
      <c r="S250" s="1528">
        <v>0.50252225035689091</v>
      </c>
      <c r="T250" s="1528">
        <v>0.497497027853322</v>
      </c>
      <c r="U250" s="1522">
        <v>0.49252205757478879</v>
      </c>
    </row>
    <row r="251" spans="1:21" ht="24" customHeight="1">
      <c r="A251" s="1532"/>
      <c r="B251" s="1525"/>
      <c r="C251" s="1531"/>
      <c r="D251" s="528" t="s">
        <v>877</v>
      </c>
      <c r="E251" s="1527"/>
      <c r="F251" s="1519"/>
      <c r="G251" s="1519"/>
      <c r="H251" s="1529"/>
      <c r="I251" s="1529"/>
      <c r="J251" s="1529"/>
      <c r="K251" s="1529"/>
      <c r="L251" s="1529"/>
      <c r="M251" s="1529"/>
      <c r="N251" s="1529"/>
      <c r="O251" s="1529"/>
      <c r="P251" s="1529"/>
      <c r="Q251" s="1529"/>
      <c r="R251" s="1529"/>
      <c r="S251" s="1529"/>
      <c r="T251" s="1529"/>
      <c r="U251" s="1523"/>
    </row>
    <row r="252" spans="1:21" ht="24" customHeight="1">
      <c r="A252" s="1532"/>
      <c r="B252" s="1524" t="s">
        <v>906</v>
      </c>
      <c r="C252" s="1530" t="s">
        <v>903</v>
      </c>
      <c r="D252" s="526" t="s">
        <v>876</v>
      </c>
      <c r="E252" s="1527"/>
      <c r="F252" s="1519"/>
      <c r="G252" s="1519"/>
      <c r="H252" s="1519"/>
      <c r="I252" s="1528">
        <v>0.95</v>
      </c>
      <c r="J252" s="1528">
        <v>0.84549999999999992</v>
      </c>
      <c r="K252" s="1528">
        <v>0.77786</v>
      </c>
      <c r="L252" s="1528">
        <v>0.73896699999999993</v>
      </c>
      <c r="M252" s="1528">
        <v>0.70201864999999986</v>
      </c>
      <c r="N252" s="1528">
        <v>0.67393790399999987</v>
      </c>
      <c r="O252" s="1528">
        <v>0.64698038783999989</v>
      </c>
      <c r="P252" s="1528">
        <v>0.64051058396159988</v>
      </c>
      <c r="Q252" s="1528">
        <v>0.60848505476351988</v>
      </c>
      <c r="R252" s="1528">
        <v>0.59023050312061431</v>
      </c>
      <c r="S252" s="1528">
        <v>0.58432819808940817</v>
      </c>
      <c r="T252" s="1528">
        <v>0.57848491610851405</v>
      </c>
      <c r="U252" s="1522">
        <v>0.57270006694742892</v>
      </c>
    </row>
    <row r="253" spans="1:21" ht="24" customHeight="1">
      <c r="A253" s="1532"/>
      <c r="B253" s="1525"/>
      <c r="C253" s="1531"/>
      <c r="D253" s="528" t="s">
        <v>877</v>
      </c>
      <c r="E253" s="1527"/>
      <c r="F253" s="1519"/>
      <c r="G253" s="1519"/>
      <c r="H253" s="1519"/>
      <c r="I253" s="1529"/>
      <c r="J253" s="1529"/>
      <c r="K253" s="1529"/>
      <c r="L253" s="1529"/>
      <c r="M253" s="1529"/>
      <c r="N253" s="1529"/>
      <c r="O253" s="1529"/>
      <c r="P253" s="1529"/>
      <c r="Q253" s="1529"/>
      <c r="R253" s="1529"/>
      <c r="S253" s="1529"/>
      <c r="T253" s="1529"/>
      <c r="U253" s="1523"/>
    </row>
    <row r="254" spans="1:21" ht="24" customHeight="1">
      <c r="A254" s="1532"/>
      <c r="B254" s="1524" t="s">
        <v>907</v>
      </c>
      <c r="C254" s="1530" t="s">
        <v>903</v>
      </c>
      <c r="D254" s="526" t="s">
        <v>876</v>
      </c>
      <c r="E254" s="1527"/>
      <c r="F254" s="1519"/>
      <c r="G254" s="1519"/>
      <c r="H254" s="1519"/>
      <c r="I254" s="1519"/>
      <c r="J254" s="1528">
        <v>0.89</v>
      </c>
      <c r="K254" s="1528">
        <v>0.81880000000000008</v>
      </c>
      <c r="L254" s="1528">
        <v>0.77786</v>
      </c>
      <c r="M254" s="1528">
        <v>0.73896699999999993</v>
      </c>
      <c r="N254" s="1528">
        <v>0.70940831999999987</v>
      </c>
      <c r="O254" s="1528">
        <v>0.6810319871999998</v>
      </c>
      <c r="P254" s="1528">
        <v>0.67422166732799982</v>
      </c>
      <c r="Q254" s="1528">
        <v>0.64051058396159977</v>
      </c>
      <c r="R254" s="1528">
        <v>0.62129526644275179</v>
      </c>
      <c r="S254" s="1528">
        <v>0.61508231377832423</v>
      </c>
      <c r="T254" s="1528">
        <v>0.60893149064054097</v>
      </c>
      <c r="U254" s="1522">
        <v>0.60284217573413557</v>
      </c>
    </row>
    <row r="255" spans="1:21" ht="24" customHeight="1">
      <c r="A255" s="1532"/>
      <c r="B255" s="1525"/>
      <c r="C255" s="1531"/>
      <c r="D255" s="528" t="s">
        <v>877</v>
      </c>
      <c r="E255" s="1527"/>
      <c r="F255" s="1519"/>
      <c r="G255" s="1519"/>
      <c r="H255" s="1519"/>
      <c r="I255" s="1519"/>
      <c r="J255" s="1529"/>
      <c r="K255" s="1529"/>
      <c r="L255" s="1529"/>
      <c r="M255" s="1529"/>
      <c r="N255" s="1529"/>
      <c r="O255" s="1529"/>
      <c r="P255" s="1529"/>
      <c r="Q255" s="1529"/>
      <c r="R255" s="1529"/>
      <c r="S255" s="1529"/>
      <c r="T255" s="1529"/>
      <c r="U255" s="1523"/>
    </row>
    <row r="256" spans="1:21" ht="24" customHeight="1">
      <c r="A256" s="1532"/>
      <c r="B256" s="1524" t="s">
        <v>908</v>
      </c>
      <c r="C256" s="1530" t="s">
        <v>903</v>
      </c>
      <c r="D256" s="526" t="s">
        <v>876</v>
      </c>
      <c r="E256" s="1527"/>
      <c r="F256" s="1519"/>
      <c r="G256" s="1519"/>
      <c r="H256" s="1519"/>
      <c r="I256" s="1519"/>
      <c r="J256" s="1519"/>
      <c r="K256" s="1528">
        <v>0.92</v>
      </c>
      <c r="L256" s="1528">
        <v>0.874</v>
      </c>
      <c r="M256" s="1528">
        <v>0.83029999999999993</v>
      </c>
      <c r="N256" s="1528">
        <v>0.79708799999999991</v>
      </c>
      <c r="O256" s="1528">
        <v>0.76520447999999985</v>
      </c>
      <c r="P256" s="1528">
        <v>0.75755243519999982</v>
      </c>
      <c r="Q256" s="1528">
        <v>0.71967481343999984</v>
      </c>
      <c r="R256" s="1528">
        <v>0.69808456903679983</v>
      </c>
      <c r="S256" s="1528">
        <v>0.69110372334643178</v>
      </c>
      <c r="T256" s="1528">
        <v>0.68419268611296746</v>
      </c>
      <c r="U256" s="1522">
        <v>0.67735075925183774</v>
      </c>
    </row>
    <row r="257" spans="1:21" ht="24" customHeight="1">
      <c r="A257" s="1532"/>
      <c r="B257" s="1525"/>
      <c r="C257" s="1531"/>
      <c r="D257" s="528" t="s">
        <v>877</v>
      </c>
      <c r="E257" s="1527"/>
      <c r="F257" s="1519"/>
      <c r="G257" s="1519"/>
      <c r="H257" s="1519"/>
      <c r="I257" s="1519"/>
      <c r="J257" s="1519"/>
      <c r="K257" s="1529"/>
      <c r="L257" s="1529"/>
      <c r="M257" s="1529"/>
      <c r="N257" s="1529"/>
      <c r="O257" s="1529"/>
      <c r="P257" s="1529"/>
      <c r="Q257" s="1529"/>
      <c r="R257" s="1529"/>
      <c r="S257" s="1529"/>
      <c r="T257" s="1529"/>
      <c r="U257" s="1523"/>
    </row>
    <row r="258" spans="1:21" ht="24" customHeight="1">
      <c r="A258" s="1532"/>
      <c r="B258" s="1524" t="s">
        <v>909</v>
      </c>
      <c r="C258" s="1530" t="s">
        <v>903</v>
      </c>
      <c r="D258" s="526" t="s">
        <v>876</v>
      </c>
      <c r="E258" s="1527"/>
      <c r="F258" s="1519"/>
      <c r="G258" s="1519"/>
      <c r="H258" s="1519"/>
      <c r="I258" s="1519"/>
      <c r="J258" s="1519"/>
      <c r="K258" s="1519"/>
      <c r="L258" s="1528">
        <v>0.95</v>
      </c>
      <c r="M258" s="1528">
        <v>0.90249999999999997</v>
      </c>
      <c r="N258" s="1528">
        <v>0.86639999999999995</v>
      </c>
      <c r="O258" s="1528">
        <v>0.83174399999999993</v>
      </c>
      <c r="P258" s="1528">
        <v>0.82342655999999992</v>
      </c>
      <c r="Q258" s="1528">
        <v>0.78225523199999991</v>
      </c>
      <c r="R258" s="1528">
        <v>0.75878757503999994</v>
      </c>
      <c r="S258" s="1528">
        <v>0.75119969928959995</v>
      </c>
      <c r="T258" s="1528">
        <v>0.743687702296704</v>
      </c>
      <c r="U258" s="1522">
        <v>0.73625082527373698</v>
      </c>
    </row>
    <row r="259" spans="1:21" ht="24" customHeight="1">
      <c r="A259" s="1532"/>
      <c r="B259" s="1525"/>
      <c r="C259" s="1531"/>
      <c r="D259" s="528" t="s">
        <v>877</v>
      </c>
      <c r="E259" s="1527"/>
      <c r="F259" s="1519"/>
      <c r="G259" s="1519"/>
      <c r="H259" s="1519"/>
      <c r="I259" s="1519"/>
      <c r="J259" s="1519"/>
      <c r="K259" s="1519"/>
      <c r="L259" s="1529"/>
      <c r="M259" s="1529"/>
      <c r="N259" s="1529"/>
      <c r="O259" s="1529"/>
      <c r="P259" s="1529"/>
      <c r="Q259" s="1529"/>
      <c r="R259" s="1529"/>
      <c r="S259" s="1529"/>
      <c r="T259" s="1529"/>
      <c r="U259" s="1523"/>
    </row>
    <row r="260" spans="1:21" ht="24" customHeight="1">
      <c r="A260" s="1532"/>
      <c r="B260" s="1524" t="s">
        <v>910</v>
      </c>
      <c r="C260" s="1530" t="s">
        <v>903</v>
      </c>
      <c r="D260" s="526" t="s">
        <v>876</v>
      </c>
      <c r="E260" s="1527"/>
      <c r="F260" s="1519"/>
      <c r="G260" s="1519"/>
      <c r="H260" s="1519"/>
      <c r="I260" s="1519"/>
      <c r="J260" s="1519"/>
      <c r="K260" s="1519"/>
      <c r="L260" s="1519"/>
      <c r="M260" s="1528">
        <v>0.95</v>
      </c>
      <c r="N260" s="1528">
        <v>0.91199999999999992</v>
      </c>
      <c r="O260" s="1528">
        <v>0.87551999999999985</v>
      </c>
      <c r="P260" s="1528">
        <v>0.86676479999999989</v>
      </c>
      <c r="Q260" s="1528">
        <v>0.82342655999999981</v>
      </c>
      <c r="R260" s="1528">
        <v>0.79872376319999983</v>
      </c>
      <c r="S260" s="1528">
        <v>0.79073652556799978</v>
      </c>
      <c r="T260" s="1528">
        <v>0.78282916031231975</v>
      </c>
      <c r="U260" s="1522">
        <v>0.7750008687091966</v>
      </c>
    </row>
    <row r="261" spans="1:21" ht="24" customHeight="1">
      <c r="A261" s="1532"/>
      <c r="B261" s="1525"/>
      <c r="C261" s="1531"/>
      <c r="D261" s="528" t="s">
        <v>877</v>
      </c>
      <c r="E261" s="1527"/>
      <c r="F261" s="1519"/>
      <c r="G261" s="1519"/>
      <c r="H261" s="1519"/>
      <c r="I261" s="1519"/>
      <c r="J261" s="1519"/>
      <c r="K261" s="1519"/>
      <c r="L261" s="1519"/>
      <c r="M261" s="1529"/>
      <c r="N261" s="1529"/>
      <c r="O261" s="1529"/>
      <c r="P261" s="1529"/>
      <c r="Q261" s="1529"/>
      <c r="R261" s="1529"/>
      <c r="S261" s="1529"/>
      <c r="T261" s="1529"/>
      <c r="U261" s="1523"/>
    </row>
    <row r="262" spans="1:21" ht="24" customHeight="1">
      <c r="A262" s="1532"/>
      <c r="B262" s="1524" t="s">
        <v>911</v>
      </c>
      <c r="C262" s="1530" t="s">
        <v>903</v>
      </c>
      <c r="D262" s="526" t="s">
        <v>876</v>
      </c>
      <c r="E262" s="1527"/>
      <c r="F262" s="1519"/>
      <c r="G262" s="1519"/>
      <c r="H262" s="1519"/>
      <c r="I262" s="1519"/>
      <c r="J262" s="1519"/>
      <c r="K262" s="1519"/>
      <c r="L262" s="1519"/>
      <c r="M262" s="1519"/>
      <c r="N262" s="1528">
        <v>0.96</v>
      </c>
      <c r="O262" s="1528">
        <v>0.92159999999999997</v>
      </c>
      <c r="P262" s="1528">
        <v>0.91238399999999997</v>
      </c>
      <c r="Q262" s="1528">
        <v>0.86676479999999989</v>
      </c>
      <c r="R262" s="1528">
        <v>0.84076185599999986</v>
      </c>
      <c r="S262" s="1528">
        <v>0.83235423743999981</v>
      </c>
      <c r="T262" s="1528">
        <v>0.82403069506559978</v>
      </c>
      <c r="U262" s="1522">
        <v>0.81579038811494375</v>
      </c>
    </row>
    <row r="263" spans="1:21" ht="24" customHeight="1">
      <c r="A263" s="1532"/>
      <c r="B263" s="1525"/>
      <c r="C263" s="1531"/>
      <c r="D263" s="528" t="s">
        <v>877</v>
      </c>
      <c r="E263" s="1527"/>
      <c r="F263" s="1519"/>
      <c r="G263" s="1519"/>
      <c r="H263" s="1519"/>
      <c r="I263" s="1519"/>
      <c r="J263" s="1519"/>
      <c r="K263" s="1519"/>
      <c r="L263" s="1519"/>
      <c r="M263" s="1519"/>
      <c r="N263" s="1529"/>
      <c r="O263" s="1529"/>
      <c r="P263" s="1529"/>
      <c r="Q263" s="1529"/>
      <c r="R263" s="1529"/>
      <c r="S263" s="1529"/>
      <c r="T263" s="1529"/>
      <c r="U263" s="1523"/>
    </row>
    <row r="264" spans="1:21" ht="24" customHeight="1">
      <c r="A264" s="1532"/>
      <c r="B264" s="1524" t="s">
        <v>912</v>
      </c>
      <c r="C264" s="1530" t="s">
        <v>903</v>
      </c>
      <c r="D264" s="526" t="s">
        <v>876</v>
      </c>
      <c r="E264" s="1527"/>
      <c r="F264" s="1519"/>
      <c r="G264" s="1519"/>
      <c r="H264" s="1519"/>
      <c r="I264" s="1519"/>
      <c r="J264" s="1519"/>
      <c r="K264" s="1519"/>
      <c r="L264" s="1519"/>
      <c r="M264" s="1519"/>
      <c r="N264" s="1519"/>
      <c r="O264" s="1528">
        <v>0.96</v>
      </c>
      <c r="P264" s="1528">
        <v>0.95039999999999991</v>
      </c>
      <c r="Q264" s="1528">
        <v>0.9028799999999999</v>
      </c>
      <c r="R264" s="1528">
        <v>0.87579359999999984</v>
      </c>
      <c r="S264" s="1528">
        <v>0.86703566399999987</v>
      </c>
      <c r="T264" s="1528">
        <v>0.85836530735999983</v>
      </c>
      <c r="U264" s="1522">
        <v>0.84978165428639985</v>
      </c>
    </row>
    <row r="265" spans="1:21" ht="24" customHeight="1">
      <c r="A265" s="1532"/>
      <c r="B265" s="1525"/>
      <c r="C265" s="1531"/>
      <c r="D265" s="528" t="s">
        <v>877</v>
      </c>
      <c r="E265" s="1527"/>
      <c r="F265" s="1519"/>
      <c r="G265" s="1519"/>
      <c r="H265" s="1519"/>
      <c r="I265" s="1519"/>
      <c r="J265" s="1519"/>
      <c r="K265" s="1519"/>
      <c r="L265" s="1519"/>
      <c r="M265" s="1519"/>
      <c r="N265" s="1519"/>
      <c r="O265" s="1529"/>
      <c r="P265" s="1529"/>
      <c r="Q265" s="1529"/>
      <c r="R265" s="1529"/>
      <c r="S265" s="1529"/>
      <c r="T265" s="1529"/>
      <c r="U265" s="1523"/>
    </row>
    <row r="266" spans="1:21" ht="24" customHeight="1">
      <c r="A266" s="1532"/>
      <c r="B266" s="1524" t="s">
        <v>913</v>
      </c>
      <c r="C266" s="1530" t="s">
        <v>903</v>
      </c>
      <c r="D266" s="526" t="s">
        <v>876</v>
      </c>
      <c r="E266" s="1527"/>
      <c r="F266" s="1519"/>
      <c r="G266" s="1519"/>
      <c r="H266" s="1519"/>
      <c r="I266" s="1519"/>
      <c r="J266" s="1519"/>
      <c r="K266" s="1519"/>
      <c r="L266" s="1519"/>
      <c r="M266" s="1519"/>
      <c r="N266" s="1519"/>
      <c r="O266" s="1519"/>
      <c r="P266" s="1528">
        <v>0.99</v>
      </c>
      <c r="Q266" s="1528">
        <v>0.9405</v>
      </c>
      <c r="R266" s="1528">
        <v>0.91228500000000001</v>
      </c>
      <c r="S266" s="1528">
        <v>0.90316215</v>
      </c>
      <c r="T266" s="1528">
        <v>0.89413052849999997</v>
      </c>
      <c r="U266" s="1522">
        <v>0.88518922321499993</v>
      </c>
    </row>
    <row r="267" spans="1:21" ht="24" customHeight="1">
      <c r="A267" s="1532"/>
      <c r="B267" s="1525"/>
      <c r="C267" s="1531"/>
      <c r="D267" s="528" t="s">
        <v>877</v>
      </c>
      <c r="E267" s="1527"/>
      <c r="F267" s="1519"/>
      <c r="G267" s="1519"/>
      <c r="H267" s="1519"/>
      <c r="I267" s="1519"/>
      <c r="J267" s="1519"/>
      <c r="K267" s="1519"/>
      <c r="L267" s="1519"/>
      <c r="M267" s="1519"/>
      <c r="N267" s="1519"/>
      <c r="O267" s="1519"/>
      <c r="P267" s="1529"/>
      <c r="Q267" s="1529"/>
      <c r="R267" s="1529"/>
      <c r="S267" s="1529"/>
      <c r="T267" s="1529"/>
      <c r="U267" s="1523"/>
    </row>
    <row r="268" spans="1:21" ht="24" customHeight="1">
      <c r="A268" s="1532"/>
      <c r="B268" s="1524" t="s">
        <v>914</v>
      </c>
      <c r="C268" s="1530" t="s">
        <v>903</v>
      </c>
      <c r="D268" s="526" t="s">
        <v>876</v>
      </c>
      <c r="E268" s="1527"/>
      <c r="F268" s="1519"/>
      <c r="G268" s="1519"/>
      <c r="H268" s="1519"/>
      <c r="I268" s="1519"/>
      <c r="J268" s="1519"/>
      <c r="K268" s="1519"/>
      <c r="L268" s="1519"/>
      <c r="M268" s="1519"/>
      <c r="N268" s="1519"/>
      <c r="O268" s="1519"/>
      <c r="P268" s="1519"/>
      <c r="Q268" s="1528">
        <v>0.95</v>
      </c>
      <c r="R268" s="1528">
        <v>0.92149999999999999</v>
      </c>
      <c r="S268" s="1528">
        <v>0.91228500000000001</v>
      </c>
      <c r="T268" s="1528">
        <v>0.90316215</v>
      </c>
      <c r="U268" s="1522">
        <v>0.89413052849999997</v>
      </c>
    </row>
    <row r="269" spans="1:21" ht="24" customHeight="1">
      <c r="A269" s="1532"/>
      <c r="B269" s="1525"/>
      <c r="C269" s="1531"/>
      <c r="D269" s="528" t="s">
        <v>877</v>
      </c>
      <c r="E269" s="1527"/>
      <c r="F269" s="1519"/>
      <c r="G269" s="1519"/>
      <c r="H269" s="1519"/>
      <c r="I269" s="1519"/>
      <c r="J269" s="1519"/>
      <c r="K269" s="1519"/>
      <c r="L269" s="1519"/>
      <c r="M269" s="1519"/>
      <c r="N269" s="1519"/>
      <c r="O269" s="1519"/>
      <c r="P269" s="1519"/>
      <c r="Q269" s="1529"/>
      <c r="R269" s="1529"/>
      <c r="S269" s="1529"/>
      <c r="T269" s="1529"/>
      <c r="U269" s="1523"/>
    </row>
    <row r="270" spans="1:21" ht="24" customHeight="1">
      <c r="A270" s="1532"/>
      <c r="B270" s="1524" t="s">
        <v>915</v>
      </c>
      <c r="C270" s="1530" t="s">
        <v>903</v>
      </c>
      <c r="D270" s="526" t="s">
        <v>876</v>
      </c>
      <c r="E270" s="1527"/>
      <c r="F270" s="1519"/>
      <c r="G270" s="1519"/>
      <c r="H270" s="1519"/>
      <c r="I270" s="1519"/>
      <c r="J270" s="1519"/>
      <c r="K270" s="1519"/>
      <c r="L270" s="1519"/>
      <c r="M270" s="1519"/>
      <c r="N270" s="1519"/>
      <c r="O270" s="1519"/>
      <c r="P270" s="1519"/>
      <c r="Q270" s="1519"/>
      <c r="R270" s="1528">
        <v>0.97</v>
      </c>
      <c r="S270" s="1528">
        <v>0.96029999999999993</v>
      </c>
      <c r="T270" s="1528">
        <v>0.9506969999999999</v>
      </c>
      <c r="U270" s="1522">
        <v>0.9411900299999999</v>
      </c>
    </row>
    <row r="271" spans="1:21" ht="24" customHeight="1">
      <c r="A271" s="1532"/>
      <c r="B271" s="1525"/>
      <c r="C271" s="1531"/>
      <c r="D271" s="528" t="s">
        <v>877</v>
      </c>
      <c r="E271" s="1527"/>
      <c r="F271" s="1519"/>
      <c r="G271" s="1519"/>
      <c r="H271" s="1519"/>
      <c r="I271" s="1519"/>
      <c r="J271" s="1519"/>
      <c r="K271" s="1519"/>
      <c r="L271" s="1519"/>
      <c r="M271" s="1519"/>
      <c r="N271" s="1519"/>
      <c r="O271" s="1519"/>
      <c r="P271" s="1519"/>
      <c r="Q271" s="1519"/>
      <c r="R271" s="1529"/>
      <c r="S271" s="1529"/>
      <c r="T271" s="1529"/>
      <c r="U271" s="1523"/>
    </row>
    <row r="272" spans="1:21" ht="24" customHeight="1">
      <c r="A272" s="1532"/>
      <c r="B272" s="1524" t="s">
        <v>916</v>
      </c>
      <c r="C272" s="1530" t="s">
        <v>903</v>
      </c>
      <c r="D272" s="526" t="s">
        <v>876</v>
      </c>
      <c r="E272" s="1527"/>
      <c r="F272" s="1519"/>
      <c r="G272" s="1519"/>
      <c r="H272" s="1519"/>
      <c r="I272" s="1519"/>
      <c r="J272" s="1519"/>
      <c r="K272" s="1519"/>
      <c r="L272" s="1519"/>
      <c r="M272" s="1519"/>
      <c r="N272" s="1519"/>
      <c r="O272" s="1519"/>
      <c r="P272" s="1519"/>
      <c r="Q272" s="1519"/>
      <c r="R272" s="1519"/>
      <c r="S272" s="1528">
        <v>0.99</v>
      </c>
      <c r="T272" s="1528">
        <v>0.98009999999999997</v>
      </c>
      <c r="U272" s="1522">
        <v>0.97029899999999991</v>
      </c>
    </row>
    <row r="273" spans="1:21" ht="24" customHeight="1">
      <c r="A273" s="1532"/>
      <c r="B273" s="1525"/>
      <c r="C273" s="1531"/>
      <c r="D273" s="528" t="s">
        <v>877</v>
      </c>
      <c r="E273" s="1527"/>
      <c r="F273" s="1519"/>
      <c r="G273" s="1519"/>
      <c r="H273" s="1519"/>
      <c r="I273" s="1519"/>
      <c r="J273" s="1519"/>
      <c r="K273" s="1519"/>
      <c r="L273" s="1519"/>
      <c r="M273" s="1519"/>
      <c r="N273" s="1519"/>
      <c r="O273" s="1519"/>
      <c r="P273" s="1519"/>
      <c r="Q273" s="1519"/>
      <c r="R273" s="1519"/>
      <c r="S273" s="1529"/>
      <c r="T273" s="1529"/>
      <c r="U273" s="1523"/>
    </row>
    <row r="274" spans="1:21" ht="24" customHeight="1">
      <c r="A274" s="1532"/>
      <c r="B274" s="1524" t="s">
        <v>917</v>
      </c>
      <c r="C274" s="1530" t="s">
        <v>903</v>
      </c>
      <c r="D274" s="526" t="s">
        <v>876</v>
      </c>
      <c r="E274" s="1527"/>
      <c r="F274" s="1519"/>
      <c r="G274" s="1519"/>
      <c r="H274" s="1519"/>
      <c r="I274" s="1519"/>
      <c r="J274" s="1519"/>
      <c r="K274" s="1519"/>
      <c r="L274" s="1519"/>
      <c r="M274" s="1519"/>
      <c r="N274" s="1519"/>
      <c r="O274" s="1519"/>
      <c r="P274" s="1519"/>
      <c r="Q274" s="1519"/>
      <c r="R274" s="1519"/>
      <c r="S274" s="1519"/>
      <c r="T274" s="1528">
        <v>0.99</v>
      </c>
      <c r="U274" s="1522">
        <v>0.98009999999999997</v>
      </c>
    </row>
    <row r="275" spans="1:21" ht="24" customHeight="1">
      <c r="A275" s="1532"/>
      <c r="B275" s="1525"/>
      <c r="C275" s="1531"/>
      <c r="D275" s="528" t="s">
        <v>877</v>
      </c>
      <c r="E275" s="1527"/>
      <c r="F275" s="1519"/>
      <c r="G275" s="1519"/>
      <c r="H275" s="1519"/>
      <c r="I275" s="1519"/>
      <c r="J275" s="1519"/>
      <c r="K275" s="1519"/>
      <c r="L275" s="1519"/>
      <c r="M275" s="1519"/>
      <c r="N275" s="1519"/>
      <c r="O275" s="1519"/>
      <c r="P275" s="1519"/>
      <c r="Q275" s="1519"/>
      <c r="R275" s="1519"/>
      <c r="S275" s="1519"/>
      <c r="T275" s="1529"/>
      <c r="U275" s="1523"/>
    </row>
    <row r="276" spans="1:21" ht="24" customHeight="1">
      <c r="A276" s="1532"/>
      <c r="B276" s="1524" t="s">
        <v>918</v>
      </c>
      <c r="C276" s="1530" t="s">
        <v>903</v>
      </c>
      <c r="D276" s="526" t="s">
        <v>876</v>
      </c>
      <c r="E276" s="1527"/>
      <c r="F276" s="1519"/>
      <c r="G276" s="1519"/>
      <c r="H276" s="1519"/>
      <c r="I276" s="1519"/>
      <c r="J276" s="1519"/>
      <c r="K276" s="1519"/>
      <c r="L276" s="1519"/>
      <c r="M276" s="1519"/>
      <c r="N276" s="1519"/>
      <c r="O276" s="1519"/>
      <c r="P276" s="1519"/>
      <c r="Q276" s="1519"/>
      <c r="R276" s="1519"/>
      <c r="S276" s="1519"/>
      <c r="T276" s="1519"/>
      <c r="U276" s="1522">
        <v>0.99</v>
      </c>
    </row>
    <row r="277" spans="1:21" ht="24" customHeight="1">
      <c r="A277" s="1532"/>
      <c r="B277" s="1525"/>
      <c r="C277" s="1531"/>
      <c r="D277" s="528" t="s">
        <v>877</v>
      </c>
      <c r="E277" s="1527"/>
      <c r="F277" s="1519"/>
      <c r="G277" s="1519"/>
      <c r="H277" s="1519"/>
      <c r="I277" s="1519"/>
      <c r="J277" s="1519"/>
      <c r="K277" s="1519"/>
      <c r="L277" s="1519"/>
      <c r="M277" s="1519"/>
      <c r="N277" s="1519"/>
      <c r="O277" s="1519"/>
      <c r="P277" s="1519"/>
      <c r="Q277" s="1519"/>
      <c r="R277" s="1519"/>
      <c r="S277" s="1519"/>
      <c r="T277" s="1519"/>
      <c r="U277" s="1523"/>
    </row>
    <row r="278" spans="1:21" ht="24" customHeight="1">
      <c r="A278" s="1532"/>
      <c r="B278" s="1524" t="s">
        <v>224</v>
      </c>
      <c r="C278" s="1526" t="s">
        <v>903</v>
      </c>
      <c r="D278" s="526" t="s">
        <v>876</v>
      </c>
      <c r="E278" s="1527"/>
      <c r="F278" s="1519"/>
      <c r="G278" s="1519"/>
      <c r="H278" s="1519"/>
      <c r="I278" s="1519"/>
      <c r="J278" s="1519"/>
      <c r="K278" s="1519"/>
      <c r="L278" s="1519"/>
      <c r="M278" s="1519"/>
      <c r="N278" s="1519"/>
      <c r="O278" s="1519"/>
      <c r="P278" s="1519"/>
      <c r="Q278" s="1519"/>
      <c r="R278" s="1519"/>
      <c r="S278" s="1519"/>
      <c r="T278" s="1519"/>
      <c r="U278" s="1520"/>
    </row>
    <row r="279" spans="1:21" ht="24" customHeight="1">
      <c r="A279" s="1525"/>
      <c r="B279" s="1525"/>
      <c r="C279" s="1526"/>
      <c r="D279" s="528" t="s">
        <v>877</v>
      </c>
      <c r="E279" s="1527"/>
      <c r="F279" s="1519"/>
      <c r="G279" s="1519"/>
      <c r="H279" s="1519"/>
      <c r="I279" s="1519"/>
      <c r="J279" s="1519"/>
      <c r="K279" s="1519"/>
      <c r="L279" s="1519"/>
      <c r="M279" s="1519"/>
      <c r="N279" s="1519"/>
      <c r="O279" s="1519"/>
      <c r="P279" s="1519"/>
      <c r="Q279" s="1519"/>
      <c r="R279" s="1519"/>
      <c r="S279" s="1519"/>
      <c r="T279" s="1519"/>
      <c r="U279" s="1521"/>
    </row>
  </sheetData>
  <mergeCells count="2614">
    <mergeCell ref="U4:U6"/>
    <mergeCell ref="J4:J6"/>
    <mergeCell ref="K4:K6"/>
    <mergeCell ref="L4:L6"/>
    <mergeCell ref="M4:M6"/>
    <mergeCell ref="N4:N6"/>
    <mergeCell ref="O4:O6"/>
    <mergeCell ref="A3:A6"/>
    <mergeCell ref="B3:B6"/>
    <mergeCell ref="C3:C6"/>
    <mergeCell ref="D3:D6"/>
    <mergeCell ref="E3:U3"/>
    <mergeCell ref="E4:E6"/>
    <mergeCell ref="F4:F6"/>
    <mergeCell ref="G4:G6"/>
    <mergeCell ref="H4:H6"/>
    <mergeCell ref="I4:I6"/>
    <mergeCell ref="H8:H9"/>
    <mergeCell ref="I8:I9"/>
    <mergeCell ref="J8:J9"/>
    <mergeCell ref="K8:K9"/>
    <mergeCell ref="L8:L9"/>
    <mergeCell ref="M8:M9"/>
    <mergeCell ref="A8:A41"/>
    <mergeCell ref="B8:B9"/>
    <mergeCell ref="C8:C9"/>
    <mergeCell ref="E8:E9"/>
    <mergeCell ref="F8:F9"/>
    <mergeCell ref="G8:G9"/>
    <mergeCell ref="P4:P6"/>
    <mergeCell ref="Q4:Q6"/>
    <mergeCell ref="R4:R6"/>
    <mergeCell ref="S4:S6"/>
    <mergeCell ref="T4:T6"/>
    <mergeCell ref="Q10:Q11"/>
    <mergeCell ref="R10:R11"/>
    <mergeCell ref="S10:S11"/>
    <mergeCell ref="T10:T11"/>
    <mergeCell ref="B14:B15"/>
    <mergeCell ref="C14:C15"/>
    <mergeCell ref="E14:E15"/>
    <mergeCell ref="F14:F15"/>
    <mergeCell ref="G14:G15"/>
    <mergeCell ref="H14:H15"/>
    <mergeCell ref="I14:I15"/>
    <mergeCell ref="J14:J15"/>
    <mergeCell ref="P12:P13"/>
    <mergeCell ref="Q12:Q13"/>
    <mergeCell ref="R12:R13"/>
    <mergeCell ref="U10:U11"/>
    <mergeCell ref="B12:B13"/>
    <mergeCell ref="C12:C13"/>
    <mergeCell ref="E12:E13"/>
    <mergeCell ref="F12:F13"/>
    <mergeCell ref="G12:G13"/>
    <mergeCell ref="K10:K11"/>
    <mergeCell ref="L10:L11"/>
    <mergeCell ref="M10:M11"/>
    <mergeCell ref="N10:N11"/>
    <mergeCell ref="O10:O11"/>
    <mergeCell ref="P10:P11"/>
    <mergeCell ref="T8:T9"/>
    <mergeCell ref="U8:U9"/>
    <mergeCell ref="B10:B11"/>
    <mergeCell ref="C10:C11"/>
    <mergeCell ref="E10:E11"/>
    <mergeCell ref="F10:F11"/>
    <mergeCell ref="G10:G11"/>
    <mergeCell ref="H10:H11"/>
    <mergeCell ref="I10:I11"/>
    <mergeCell ref="J10:J11"/>
    <mergeCell ref="N8:N9"/>
    <mergeCell ref="O8:O9"/>
    <mergeCell ref="P8:P9"/>
    <mergeCell ref="Q8:Q9"/>
    <mergeCell ref="R8:R9"/>
    <mergeCell ref="S8:S9"/>
    <mergeCell ref="T12:T13"/>
    <mergeCell ref="U12:U13"/>
    <mergeCell ref="N12:N13"/>
    <mergeCell ref="O12:O13"/>
    <mergeCell ref="S12:S13"/>
    <mergeCell ref="H12:H13"/>
    <mergeCell ref="I12:I13"/>
    <mergeCell ref="J12:J13"/>
    <mergeCell ref="K12:K13"/>
    <mergeCell ref="L12:L13"/>
    <mergeCell ref="M12:M13"/>
    <mergeCell ref="H16:H17"/>
    <mergeCell ref="I16:I17"/>
    <mergeCell ref="J16:J17"/>
    <mergeCell ref="K16:K17"/>
    <mergeCell ref="L16:L17"/>
    <mergeCell ref="M16:M17"/>
    <mergeCell ref="Q14:Q15"/>
    <mergeCell ref="R14:R15"/>
    <mergeCell ref="S14:S15"/>
    <mergeCell ref="T14:T15"/>
    <mergeCell ref="T20:T21"/>
    <mergeCell ref="U20:U21"/>
    <mergeCell ref="U14:U15"/>
    <mergeCell ref="B16:B17"/>
    <mergeCell ref="C16:C17"/>
    <mergeCell ref="E16:E17"/>
    <mergeCell ref="F16:F17"/>
    <mergeCell ref="G16:G17"/>
    <mergeCell ref="K14:K15"/>
    <mergeCell ref="L14:L15"/>
    <mergeCell ref="M14:M15"/>
    <mergeCell ref="N14:N15"/>
    <mergeCell ref="O14:O15"/>
    <mergeCell ref="P14:P15"/>
    <mergeCell ref="Q18:Q19"/>
    <mergeCell ref="R18:R19"/>
    <mergeCell ref="S18:S19"/>
    <mergeCell ref="T18:T19"/>
    <mergeCell ref="U18:U19"/>
    <mergeCell ref="K18:K19"/>
    <mergeCell ref="L18:L19"/>
    <mergeCell ref="M18:M19"/>
    <mergeCell ref="N18:N19"/>
    <mergeCell ref="O18:O19"/>
    <mergeCell ref="P18:P19"/>
    <mergeCell ref="T16:T17"/>
    <mergeCell ref="U16:U17"/>
    <mergeCell ref="B18:B19"/>
    <mergeCell ref="C18:C19"/>
    <mergeCell ref="E18:E19"/>
    <mergeCell ref="F18:F19"/>
    <mergeCell ref="G18:G19"/>
    <mergeCell ref="H18:H19"/>
    <mergeCell ref="I18:I19"/>
    <mergeCell ref="J18:J19"/>
    <mergeCell ref="N16:N17"/>
    <mergeCell ref="O16:O17"/>
    <mergeCell ref="P16:P17"/>
    <mergeCell ref="Q16:Q17"/>
    <mergeCell ref="R16:R17"/>
    <mergeCell ref="S16:S17"/>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E20:E21"/>
    <mergeCell ref="F20:F21"/>
    <mergeCell ref="G20:G21"/>
    <mergeCell ref="H24:H25"/>
    <mergeCell ref="I24:I25"/>
    <mergeCell ref="J24:J25"/>
    <mergeCell ref="K24:K25"/>
    <mergeCell ref="L24:L25"/>
    <mergeCell ref="M24:M25"/>
    <mergeCell ref="Q22:Q23"/>
    <mergeCell ref="R22:R23"/>
    <mergeCell ref="S22:S23"/>
    <mergeCell ref="T22:T23"/>
    <mergeCell ref="U22:U23"/>
    <mergeCell ref="B24:B25"/>
    <mergeCell ref="C24:C25"/>
    <mergeCell ref="E24:E25"/>
    <mergeCell ref="F24:F25"/>
    <mergeCell ref="G24:G25"/>
    <mergeCell ref="K22:K23"/>
    <mergeCell ref="L22:L23"/>
    <mergeCell ref="M22:M23"/>
    <mergeCell ref="N22:N23"/>
    <mergeCell ref="O22:O23"/>
    <mergeCell ref="P22:P23"/>
    <mergeCell ref="B22:B23"/>
    <mergeCell ref="C22:C23"/>
    <mergeCell ref="E22:E23"/>
    <mergeCell ref="F22:F23"/>
    <mergeCell ref="G22:G23"/>
    <mergeCell ref="H22:H23"/>
    <mergeCell ref="I22:I23"/>
    <mergeCell ref="J22:J23"/>
    <mergeCell ref="Q26:Q27"/>
    <mergeCell ref="R26:R27"/>
    <mergeCell ref="S26:S27"/>
    <mergeCell ref="T26:T27"/>
    <mergeCell ref="U26:U27"/>
    <mergeCell ref="B28:B29"/>
    <mergeCell ref="C28:C29"/>
    <mergeCell ref="E28:E29"/>
    <mergeCell ref="F28:F29"/>
    <mergeCell ref="G28:G29"/>
    <mergeCell ref="K26:K27"/>
    <mergeCell ref="L26:L27"/>
    <mergeCell ref="M26:M27"/>
    <mergeCell ref="N26:N27"/>
    <mergeCell ref="O26:O27"/>
    <mergeCell ref="P26:P27"/>
    <mergeCell ref="T24:T25"/>
    <mergeCell ref="U24:U25"/>
    <mergeCell ref="B26:B27"/>
    <mergeCell ref="C26:C27"/>
    <mergeCell ref="E26:E27"/>
    <mergeCell ref="F26:F27"/>
    <mergeCell ref="G26:G27"/>
    <mergeCell ref="H26:H27"/>
    <mergeCell ref="I26:I27"/>
    <mergeCell ref="J26:J27"/>
    <mergeCell ref="N24:N25"/>
    <mergeCell ref="O24:O25"/>
    <mergeCell ref="P24:P25"/>
    <mergeCell ref="Q24:Q25"/>
    <mergeCell ref="R24:R25"/>
    <mergeCell ref="S24:S25"/>
    <mergeCell ref="T28:T29"/>
    <mergeCell ref="U28:U29"/>
    <mergeCell ref="B30:B31"/>
    <mergeCell ref="C30:C31"/>
    <mergeCell ref="E30:E31"/>
    <mergeCell ref="F30:F31"/>
    <mergeCell ref="G30:G31"/>
    <mergeCell ref="H30:H31"/>
    <mergeCell ref="I30:I31"/>
    <mergeCell ref="J30:J31"/>
    <mergeCell ref="N28:N29"/>
    <mergeCell ref="O28:O29"/>
    <mergeCell ref="P28:P29"/>
    <mergeCell ref="Q28:Q29"/>
    <mergeCell ref="R28:R29"/>
    <mergeCell ref="S28:S29"/>
    <mergeCell ref="H28:H29"/>
    <mergeCell ref="I28:I29"/>
    <mergeCell ref="J28:J29"/>
    <mergeCell ref="K28:K29"/>
    <mergeCell ref="L28:L29"/>
    <mergeCell ref="M28:M29"/>
    <mergeCell ref="H32:H33"/>
    <mergeCell ref="I32:I33"/>
    <mergeCell ref="J32:J33"/>
    <mergeCell ref="K32:K33"/>
    <mergeCell ref="L32:L33"/>
    <mergeCell ref="M32:M33"/>
    <mergeCell ref="Q30:Q31"/>
    <mergeCell ref="R30:R31"/>
    <mergeCell ref="S30:S31"/>
    <mergeCell ref="T30:T31"/>
    <mergeCell ref="U30:U31"/>
    <mergeCell ref="B32:B33"/>
    <mergeCell ref="C32:C33"/>
    <mergeCell ref="E32:E33"/>
    <mergeCell ref="F32:F33"/>
    <mergeCell ref="G32:G33"/>
    <mergeCell ref="K30:K31"/>
    <mergeCell ref="L30:L31"/>
    <mergeCell ref="M30:M31"/>
    <mergeCell ref="N30:N31"/>
    <mergeCell ref="O30:O31"/>
    <mergeCell ref="P30:P31"/>
    <mergeCell ref="Q34:Q35"/>
    <mergeCell ref="R34:R35"/>
    <mergeCell ref="S34:S35"/>
    <mergeCell ref="T34:T35"/>
    <mergeCell ref="U34:U35"/>
    <mergeCell ref="B36:B37"/>
    <mergeCell ref="C36:C37"/>
    <mergeCell ref="E36:E37"/>
    <mergeCell ref="F36:F37"/>
    <mergeCell ref="G36:G37"/>
    <mergeCell ref="K34:K35"/>
    <mergeCell ref="L34:L35"/>
    <mergeCell ref="M34:M35"/>
    <mergeCell ref="N34:N35"/>
    <mergeCell ref="O34:O35"/>
    <mergeCell ref="P34:P35"/>
    <mergeCell ref="T32:T33"/>
    <mergeCell ref="U32:U33"/>
    <mergeCell ref="B34:B35"/>
    <mergeCell ref="C34:C35"/>
    <mergeCell ref="E34:E35"/>
    <mergeCell ref="F34:F35"/>
    <mergeCell ref="G34:G35"/>
    <mergeCell ref="H34:H35"/>
    <mergeCell ref="I34:I35"/>
    <mergeCell ref="J34:J35"/>
    <mergeCell ref="N32:N33"/>
    <mergeCell ref="O32:O33"/>
    <mergeCell ref="P32:P33"/>
    <mergeCell ref="Q32:Q33"/>
    <mergeCell ref="R32:R33"/>
    <mergeCell ref="S32:S33"/>
    <mergeCell ref="T36:T37"/>
    <mergeCell ref="U36:U37"/>
    <mergeCell ref="B38:B39"/>
    <mergeCell ref="C38:C39"/>
    <mergeCell ref="E38:E39"/>
    <mergeCell ref="F38:F39"/>
    <mergeCell ref="G38:G39"/>
    <mergeCell ref="H38:H39"/>
    <mergeCell ref="I38:I39"/>
    <mergeCell ref="J38:J39"/>
    <mergeCell ref="N36:N37"/>
    <mergeCell ref="O36:O37"/>
    <mergeCell ref="P36:P37"/>
    <mergeCell ref="Q36:Q37"/>
    <mergeCell ref="R36:R37"/>
    <mergeCell ref="S36:S37"/>
    <mergeCell ref="H36:H37"/>
    <mergeCell ref="I36:I37"/>
    <mergeCell ref="J36:J37"/>
    <mergeCell ref="K36:K37"/>
    <mergeCell ref="L36:L37"/>
    <mergeCell ref="M36:M37"/>
    <mergeCell ref="L40:L41"/>
    <mergeCell ref="M40:M41"/>
    <mergeCell ref="Q38:Q39"/>
    <mergeCell ref="R38:R39"/>
    <mergeCell ref="S38:S39"/>
    <mergeCell ref="T38:T39"/>
    <mergeCell ref="U38:U39"/>
    <mergeCell ref="B40:B41"/>
    <mergeCell ref="C40:C41"/>
    <mergeCell ref="E40:E41"/>
    <mergeCell ref="F40:F41"/>
    <mergeCell ref="G40:G41"/>
    <mergeCell ref="K38:K39"/>
    <mergeCell ref="L38:L39"/>
    <mergeCell ref="M38:M39"/>
    <mergeCell ref="N38:N39"/>
    <mergeCell ref="O38:O39"/>
    <mergeCell ref="P38:P39"/>
    <mergeCell ref="P42:P43"/>
    <mergeCell ref="Q42:Q43"/>
    <mergeCell ref="R42:R43"/>
    <mergeCell ref="S42:S43"/>
    <mergeCell ref="T42:T43"/>
    <mergeCell ref="U42:U43"/>
    <mergeCell ref="J42:J43"/>
    <mergeCell ref="K42:K43"/>
    <mergeCell ref="L42:L43"/>
    <mergeCell ref="M42:M43"/>
    <mergeCell ref="N42:N43"/>
    <mergeCell ref="O42:O43"/>
    <mergeCell ref="T40:T41"/>
    <mergeCell ref="U40:U41"/>
    <mergeCell ref="A42:A75"/>
    <mergeCell ref="B42:B43"/>
    <mergeCell ref="C42:C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U44:U45"/>
    <mergeCell ref="B46:B47"/>
    <mergeCell ref="C46:C47"/>
    <mergeCell ref="E46:E47"/>
    <mergeCell ref="F46:F47"/>
    <mergeCell ref="G46:G47"/>
    <mergeCell ref="H46:H47"/>
    <mergeCell ref="I46:I47"/>
    <mergeCell ref="J46:J47"/>
    <mergeCell ref="K46:K47"/>
    <mergeCell ref="O44:O45"/>
    <mergeCell ref="P44:P45"/>
    <mergeCell ref="Q44:Q45"/>
    <mergeCell ref="R44:R45"/>
    <mergeCell ref="S44:S45"/>
    <mergeCell ref="T44:T45"/>
    <mergeCell ref="I44:I45"/>
    <mergeCell ref="J44:J45"/>
    <mergeCell ref="K44:K45"/>
    <mergeCell ref="L44:L45"/>
    <mergeCell ref="M44:M45"/>
    <mergeCell ref="N44:N45"/>
    <mergeCell ref="B44:B45"/>
    <mergeCell ref="C44:C45"/>
    <mergeCell ref="E44:E45"/>
    <mergeCell ref="F44:F45"/>
    <mergeCell ref="G44:G45"/>
    <mergeCell ref="H44:H45"/>
    <mergeCell ref="I48:I49"/>
    <mergeCell ref="J48:J49"/>
    <mergeCell ref="K48:K49"/>
    <mergeCell ref="L48:L49"/>
    <mergeCell ref="M48:M49"/>
    <mergeCell ref="N48:N49"/>
    <mergeCell ref="R46:R47"/>
    <mergeCell ref="S46:S47"/>
    <mergeCell ref="T46:T47"/>
    <mergeCell ref="U46:U47"/>
    <mergeCell ref="B48:B49"/>
    <mergeCell ref="C48:C49"/>
    <mergeCell ref="E48:E49"/>
    <mergeCell ref="F48:F49"/>
    <mergeCell ref="G48:G49"/>
    <mergeCell ref="H48:H49"/>
    <mergeCell ref="L46:L47"/>
    <mergeCell ref="M46:M47"/>
    <mergeCell ref="N46:N47"/>
    <mergeCell ref="O46:O47"/>
    <mergeCell ref="P46:P47"/>
    <mergeCell ref="Q46:Q47"/>
    <mergeCell ref="R50:R51"/>
    <mergeCell ref="S50:S51"/>
    <mergeCell ref="T50:T51"/>
    <mergeCell ref="U50:U51"/>
    <mergeCell ref="B52:B53"/>
    <mergeCell ref="C52:C53"/>
    <mergeCell ref="E52:E53"/>
    <mergeCell ref="F52:F53"/>
    <mergeCell ref="G52:G53"/>
    <mergeCell ref="H52:H53"/>
    <mergeCell ref="L50:L51"/>
    <mergeCell ref="M50:M51"/>
    <mergeCell ref="N50:N51"/>
    <mergeCell ref="O50:O51"/>
    <mergeCell ref="P50:P51"/>
    <mergeCell ref="Q50:Q51"/>
    <mergeCell ref="U48:U49"/>
    <mergeCell ref="B50:B51"/>
    <mergeCell ref="C50:C51"/>
    <mergeCell ref="E50:E51"/>
    <mergeCell ref="F50:F51"/>
    <mergeCell ref="G50:G51"/>
    <mergeCell ref="H50:H51"/>
    <mergeCell ref="I50:I51"/>
    <mergeCell ref="J50:J51"/>
    <mergeCell ref="K50:K51"/>
    <mergeCell ref="O48:O49"/>
    <mergeCell ref="P48:P49"/>
    <mergeCell ref="Q48:Q49"/>
    <mergeCell ref="R48:R49"/>
    <mergeCell ref="S48:S49"/>
    <mergeCell ref="T48:T49"/>
    <mergeCell ref="U52:U53"/>
    <mergeCell ref="B54:B55"/>
    <mergeCell ref="C54:C55"/>
    <mergeCell ref="E54:E55"/>
    <mergeCell ref="F54:F55"/>
    <mergeCell ref="G54:G55"/>
    <mergeCell ref="H54:H55"/>
    <mergeCell ref="I54:I55"/>
    <mergeCell ref="J54:J55"/>
    <mergeCell ref="K54:K55"/>
    <mergeCell ref="O52:O53"/>
    <mergeCell ref="P52:P53"/>
    <mergeCell ref="Q52:Q53"/>
    <mergeCell ref="R52:R53"/>
    <mergeCell ref="S52:S53"/>
    <mergeCell ref="T52:T53"/>
    <mergeCell ref="I52:I53"/>
    <mergeCell ref="J52:J53"/>
    <mergeCell ref="K52:K53"/>
    <mergeCell ref="L52:L53"/>
    <mergeCell ref="M52:M53"/>
    <mergeCell ref="N52:N53"/>
    <mergeCell ref="I56:I57"/>
    <mergeCell ref="J56:J57"/>
    <mergeCell ref="K56:K57"/>
    <mergeCell ref="L56:L57"/>
    <mergeCell ref="M56:M57"/>
    <mergeCell ref="N56:N57"/>
    <mergeCell ref="R54:R55"/>
    <mergeCell ref="S54:S55"/>
    <mergeCell ref="T54:T55"/>
    <mergeCell ref="U54:U55"/>
    <mergeCell ref="B56:B57"/>
    <mergeCell ref="C56:C57"/>
    <mergeCell ref="E56:E57"/>
    <mergeCell ref="F56:F57"/>
    <mergeCell ref="G56:G57"/>
    <mergeCell ref="H56:H57"/>
    <mergeCell ref="L54:L55"/>
    <mergeCell ref="M54:M55"/>
    <mergeCell ref="N54:N55"/>
    <mergeCell ref="O54:O55"/>
    <mergeCell ref="P54:P55"/>
    <mergeCell ref="Q54:Q55"/>
    <mergeCell ref="R58:R59"/>
    <mergeCell ref="S58:S59"/>
    <mergeCell ref="T58:T59"/>
    <mergeCell ref="U58:U59"/>
    <mergeCell ref="B60:B61"/>
    <mergeCell ref="C60:C61"/>
    <mergeCell ref="E60:E61"/>
    <mergeCell ref="F60:F61"/>
    <mergeCell ref="G60:G61"/>
    <mergeCell ref="H60:H61"/>
    <mergeCell ref="L58:L59"/>
    <mergeCell ref="M58:M59"/>
    <mergeCell ref="N58:N59"/>
    <mergeCell ref="O58:O59"/>
    <mergeCell ref="P58:P59"/>
    <mergeCell ref="Q58:Q59"/>
    <mergeCell ref="U56:U57"/>
    <mergeCell ref="B58:B59"/>
    <mergeCell ref="C58:C59"/>
    <mergeCell ref="E58:E59"/>
    <mergeCell ref="F58:F59"/>
    <mergeCell ref="G58:G59"/>
    <mergeCell ref="H58:H59"/>
    <mergeCell ref="I58:I59"/>
    <mergeCell ref="J58:J59"/>
    <mergeCell ref="K58:K59"/>
    <mergeCell ref="O56:O57"/>
    <mergeCell ref="P56:P57"/>
    <mergeCell ref="Q56:Q57"/>
    <mergeCell ref="R56:R57"/>
    <mergeCell ref="S56:S57"/>
    <mergeCell ref="T56:T57"/>
    <mergeCell ref="U60:U61"/>
    <mergeCell ref="B62:B63"/>
    <mergeCell ref="C62:C63"/>
    <mergeCell ref="E62:E63"/>
    <mergeCell ref="F62:F63"/>
    <mergeCell ref="G62:G63"/>
    <mergeCell ref="H62:H63"/>
    <mergeCell ref="I62:I63"/>
    <mergeCell ref="J62:J63"/>
    <mergeCell ref="K62:K63"/>
    <mergeCell ref="O60:O61"/>
    <mergeCell ref="P60:P61"/>
    <mergeCell ref="Q60:Q61"/>
    <mergeCell ref="R60:R61"/>
    <mergeCell ref="S60:S61"/>
    <mergeCell ref="T60:T61"/>
    <mergeCell ref="I60:I61"/>
    <mergeCell ref="J60:J61"/>
    <mergeCell ref="K60:K61"/>
    <mergeCell ref="L60:L61"/>
    <mergeCell ref="M60:M61"/>
    <mergeCell ref="N60:N61"/>
    <mergeCell ref="I64:I65"/>
    <mergeCell ref="J64:J65"/>
    <mergeCell ref="K64:K65"/>
    <mergeCell ref="L64:L65"/>
    <mergeCell ref="M64:M65"/>
    <mergeCell ref="N64:N65"/>
    <mergeCell ref="R62:R63"/>
    <mergeCell ref="S62:S63"/>
    <mergeCell ref="T62:T63"/>
    <mergeCell ref="U62:U63"/>
    <mergeCell ref="B64:B65"/>
    <mergeCell ref="C64:C65"/>
    <mergeCell ref="E64:E65"/>
    <mergeCell ref="F64:F65"/>
    <mergeCell ref="G64:G65"/>
    <mergeCell ref="H64:H65"/>
    <mergeCell ref="L62:L63"/>
    <mergeCell ref="M62:M63"/>
    <mergeCell ref="N62:N63"/>
    <mergeCell ref="O62:O63"/>
    <mergeCell ref="P62:P63"/>
    <mergeCell ref="Q62:Q63"/>
    <mergeCell ref="R66:R67"/>
    <mergeCell ref="S66:S67"/>
    <mergeCell ref="T66:T67"/>
    <mergeCell ref="U66:U67"/>
    <mergeCell ref="B68:B69"/>
    <mergeCell ref="C68:C69"/>
    <mergeCell ref="E68:E69"/>
    <mergeCell ref="F68:F69"/>
    <mergeCell ref="G68:G69"/>
    <mergeCell ref="H68:H69"/>
    <mergeCell ref="L66:L67"/>
    <mergeCell ref="M66:M67"/>
    <mergeCell ref="N66:N67"/>
    <mergeCell ref="O66:O67"/>
    <mergeCell ref="P66:P67"/>
    <mergeCell ref="Q66:Q67"/>
    <mergeCell ref="U64:U65"/>
    <mergeCell ref="B66:B67"/>
    <mergeCell ref="C66:C67"/>
    <mergeCell ref="E66:E67"/>
    <mergeCell ref="F66:F67"/>
    <mergeCell ref="G66:G67"/>
    <mergeCell ref="H66:H67"/>
    <mergeCell ref="I66:I67"/>
    <mergeCell ref="J66:J67"/>
    <mergeCell ref="K66:K67"/>
    <mergeCell ref="O64:O65"/>
    <mergeCell ref="P64:P65"/>
    <mergeCell ref="Q64:Q65"/>
    <mergeCell ref="R64:R65"/>
    <mergeCell ref="S64:S65"/>
    <mergeCell ref="T64:T65"/>
    <mergeCell ref="U68:U69"/>
    <mergeCell ref="B70:B71"/>
    <mergeCell ref="C70:C71"/>
    <mergeCell ref="E70:E71"/>
    <mergeCell ref="F70:F71"/>
    <mergeCell ref="G70:G71"/>
    <mergeCell ref="H70:H71"/>
    <mergeCell ref="I70:I71"/>
    <mergeCell ref="J70:J71"/>
    <mergeCell ref="K70:K71"/>
    <mergeCell ref="O68:O69"/>
    <mergeCell ref="P68:P69"/>
    <mergeCell ref="Q68:Q69"/>
    <mergeCell ref="R68:R69"/>
    <mergeCell ref="S68:S69"/>
    <mergeCell ref="T68:T69"/>
    <mergeCell ref="I68:I69"/>
    <mergeCell ref="J68:J69"/>
    <mergeCell ref="K68:K69"/>
    <mergeCell ref="L68:L69"/>
    <mergeCell ref="M68:M69"/>
    <mergeCell ref="N68:N69"/>
    <mergeCell ref="I72:I73"/>
    <mergeCell ref="J72:J73"/>
    <mergeCell ref="K72:K73"/>
    <mergeCell ref="L72:L73"/>
    <mergeCell ref="M72:M73"/>
    <mergeCell ref="N72:N73"/>
    <mergeCell ref="R70:R71"/>
    <mergeCell ref="S70:S71"/>
    <mergeCell ref="T70:T71"/>
    <mergeCell ref="U70:U71"/>
    <mergeCell ref="B72:B73"/>
    <mergeCell ref="C72:C73"/>
    <mergeCell ref="E72:E73"/>
    <mergeCell ref="F72:F73"/>
    <mergeCell ref="G72:G73"/>
    <mergeCell ref="H72:H73"/>
    <mergeCell ref="L70:L71"/>
    <mergeCell ref="M70:M71"/>
    <mergeCell ref="N70:N71"/>
    <mergeCell ref="O70:O71"/>
    <mergeCell ref="P70:P71"/>
    <mergeCell ref="Q70:Q71"/>
    <mergeCell ref="R74:R75"/>
    <mergeCell ref="S74:S75"/>
    <mergeCell ref="T74:T75"/>
    <mergeCell ref="U74:U75"/>
    <mergeCell ref="A76:A109"/>
    <mergeCell ref="B76:B77"/>
    <mergeCell ref="C76:C77"/>
    <mergeCell ref="E76:E77"/>
    <mergeCell ref="F76:F77"/>
    <mergeCell ref="G76:G77"/>
    <mergeCell ref="L74:L75"/>
    <mergeCell ref="M74:M75"/>
    <mergeCell ref="N74:N75"/>
    <mergeCell ref="O74:O75"/>
    <mergeCell ref="P74:P75"/>
    <mergeCell ref="Q74:Q75"/>
    <mergeCell ref="U72:U73"/>
    <mergeCell ref="B74:B75"/>
    <mergeCell ref="C74:C75"/>
    <mergeCell ref="E74:E75"/>
    <mergeCell ref="F74:F75"/>
    <mergeCell ref="G74:G75"/>
    <mergeCell ref="H74:H75"/>
    <mergeCell ref="I74:I75"/>
    <mergeCell ref="J74:J75"/>
    <mergeCell ref="K74:K75"/>
    <mergeCell ref="O72:O73"/>
    <mergeCell ref="P72:P73"/>
    <mergeCell ref="Q72:Q73"/>
    <mergeCell ref="R72:R73"/>
    <mergeCell ref="S72:S73"/>
    <mergeCell ref="T72:T73"/>
    <mergeCell ref="T76:T77"/>
    <mergeCell ref="U76:U77"/>
    <mergeCell ref="B78:B79"/>
    <mergeCell ref="C78:C79"/>
    <mergeCell ref="E78:E79"/>
    <mergeCell ref="F78:F79"/>
    <mergeCell ref="G78:G79"/>
    <mergeCell ref="H78:H79"/>
    <mergeCell ref="I78:I79"/>
    <mergeCell ref="J78:J79"/>
    <mergeCell ref="N76:N77"/>
    <mergeCell ref="O76:O77"/>
    <mergeCell ref="P76:P77"/>
    <mergeCell ref="Q76:Q77"/>
    <mergeCell ref="R76:R77"/>
    <mergeCell ref="S76:S77"/>
    <mergeCell ref="H76:H77"/>
    <mergeCell ref="I76:I77"/>
    <mergeCell ref="J76:J77"/>
    <mergeCell ref="K76:K77"/>
    <mergeCell ref="L76:L77"/>
    <mergeCell ref="M76:M77"/>
    <mergeCell ref="H80:H81"/>
    <mergeCell ref="I80:I81"/>
    <mergeCell ref="J80:J81"/>
    <mergeCell ref="K80:K81"/>
    <mergeCell ref="L80:L81"/>
    <mergeCell ref="M80:M81"/>
    <mergeCell ref="Q78:Q79"/>
    <mergeCell ref="R78:R79"/>
    <mergeCell ref="S78:S79"/>
    <mergeCell ref="T78:T79"/>
    <mergeCell ref="U78:U79"/>
    <mergeCell ref="B80:B81"/>
    <mergeCell ref="C80:C81"/>
    <mergeCell ref="E80:E81"/>
    <mergeCell ref="F80:F81"/>
    <mergeCell ref="G80:G81"/>
    <mergeCell ref="K78:K79"/>
    <mergeCell ref="L78:L79"/>
    <mergeCell ref="M78:M79"/>
    <mergeCell ref="N78:N79"/>
    <mergeCell ref="O78:O79"/>
    <mergeCell ref="P78:P79"/>
    <mergeCell ref="Q82:Q83"/>
    <mergeCell ref="R82:R83"/>
    <mergeCell ref="S82:S83"/>
    <mergeCell ref="T82:T83"/>
    <mergeCell ref="U82:U83"/>
    <mergeCell ref="B84:B85"/>
    <mergeCell ref="C84:C85"/>
    <mergeCell ref="E84:E85"/>
    <mergeCell ref="F84:F85"/>
    <mergeCell ref="G84:G85"/>
    <mergeCell ref="K82:K83"/>
    <mergeCell ref="L82:L83"/>
    <mergeCell ref="M82:M83"/>
    <mergeCell ref="N82:N83"/>
    <mergeCell ref="O82:O83"/>
    <mergeCell ref="P82:P83"/>
    <mergeCell ref="T80:T81"/>
    <mergeCell ref="U80:U81"/>
    <mergeCell ref="B82:B83"/>
    <mergeCell ref="C82:C83"/>
    <mergeCell ref="E82:E83"/>
    <mergeCell ref="F82:F83"/>
    <mergeCell ref="G82:G83"/>
    <mergeCell ref="H82:H83"/>
    <mergeCell ref="I82:I83"/>
    <mergeCell ref="J82:J83"/>
    <mergeCell ref="N80:N81"/>
    <mergeCell ref="O80:O81"/>
    <mergeCell ref="P80:P81"/>
    <mergeCell ref="Q80:Q81"/>
    <mergeCell ref="R80:R81"/>
    <mergeCell ref="S80:S81"/>
    <mergeCell ref="T84:T85"/>
    <mergeCell ref="U84:U85"/>
    <mergeCell ref="B86:B87"/>
    <mergeCell ref="C86:C87"/>
    <mergeCell ref="E86:E87"/>
    <mergeCell ref="F86:F87"/>
    <mergeCell ref="G86:G87"/>
    <mergeCell ref="H86:H87"/>
    <mergeCell ref="I86:I87"/>
    <mergeCell ref="J86:J87"/>
    <mergeCell ref="N84:N85"/>
    <mergeCell ref="O84:O85"/>
    <mergeCell ref="P84:P85"/>
    <mergeCell ref="Q84:Q85"/>
    <mergeCell ref="R84:R85"/>
    <mergeCell ref="S84:S85"/>
    <mergeCell ref="H84:H85"/>
    <mergeCell ref="I84:I85"/>
    <mergeCell ref="J84:J85"/>
    <mergeCell ref="K84:K85"/>
    <mergeCell ref="L84:L85"/>
    <mergeCell ref="M84:M85"/>
    <mergeCell ref="H88:H89"/>
    <mergeCell ref="I88:I89"/>
    <mergeCell ref="J88:J89"/>
    <mergeCell ref="K88:K89"/>
    <mergeCell ref="L88:L89"/>
    <mergeCell ref="M88:M89"/>
    <mergeCell ref="Q86:Q87"/>
    <mergeCell ref="R86:R87"/>
    <mergeCell ref="S86:S87"/>
    <mergeCell ref="T86:T87"/>
    <mergeCell ref="U86:U87"/>
    <mergeCell ref="B88:B89"/>
    <mergeCell ref="C88:C89"/>
    <mergeCell ref="E88:E89"/>
    <mergeCell ref="F88:F89"/>
    <mergeCell ref="G88:G89"/>
    <mergeCell ref="K86:K87"/>
    <mergeCell ref="L86:L87"/>
    <mergeCell ref="M86:M87"/>
    <mergeCell ref="N86:N87"/>
    <mergeCell ref="O86:O87"/>
    <mergeCell ref="P86:P87"/>
    <mergeCell ref="Q90:Q91"/>
    <mergeCell ref="R90:R91"/>
    <mergeCell ref="S90:S91"/>
    <mergeCell ref="T90:T91"/>
    <mergeCell ref="U90:U91"/>
    <mergeCell ref="B92:B93"/>
    <mergeCell ref="C92:C93"/>
    <mergeCell ref="E92:E93"/>
    <mergeCell ref="F92:F93"/>
    <mergeCell ref="G92:G93"/>
    <mergeCell ref="K90:K91"/>
    <mergeCell ref="L90:L91"/>
    <mergeCell ref="M90:M91"/>
    <mergeCell ref="N90:N91"/>
    <mergeCell ref="O90:O91"/>
    <mergeCell ref="P90:P91"/>
    <mergeCell ref="T88:T89"/>
    <mergeCell ref="U88:U89"/>
    <mergeCell ref="B90:B91"/>
    <mergeCell ref="C90:C91"/>
    <mergeCell ref="E90:E91"/>
    <mergeCell ref="F90:F91"/>
    <mergeCell ref="G90:G91"/>
    <mergeCell ref="H90:H91"/>
    <mergeCell ref="I90:I91"/>
    <mergeCell ref="J90:J91"/>
    <mergeCell ref="N88:N89"/>
    <mergeCell ref="O88:O89"/>
    <mergeCell ref="P88:P89"/>
    <mergeCell ref="Q88:Q89"/>
    <mergeCell ref="R88:R89"/>
    <mergeCell ref="S88:S89"/>
    <mergeCell ref="T92:T93"/>
    <mergeCell ref="U92:U93"/>
    <mergeCell ref="B94:B95"/>
    <mergeCell ref="C94:C95"/>
    <mergeCell ref="E94:E95"/>
    <mergeCell ref="F94:F95"/>
    <mergeCell ref="G94:G95"/>
    <mergeCell ref="H94:H95"/>
    <mergeCell ref="I94:I95"/>
    <mergeCell ref="J94:J95"/>
    <mergeCell ref="N92:N93"/>
    <mergeCell ref="O92:O93"/>
    <mergeCell ref="P92:P93"/>
    <mergeCell ref="Q92:Q93"/>
    <mergeCell ref="R92:R93"/>
    <mergeCell ref="S92:S93"/>
    <mergeCell ref="H92:H93"/>
    <mergeCell ref="I92:I93"/>
    <mergeCell ref="J92:J93"/>
    <mergeCell ref="K92:K93"/>
    <mergeCell ref="L92:L93"/>
    <mergeCell ref="M92:M93"/>
    <mergeCell ref="H96:H97"/>
    <mergeCell ref="I96:I97"/>
    <mergeCell ref="J96:J97"/>
    <mergeCell ref="K96:K97"/>
    <mergeCell ref="L96:L97"/>
    <mergeCell ref="M96:M97"/>
    <mergeCell ref="Q94:Q95"/>
    <mergeCell ref="R94:R95"/>
    <mergeCell ref="S94:S95"/>
    <mergeCell ref="T94:T95"/>
    <mergeCell ref="U94:U95"/>
    <mergeCell ref="B96:B97"/>
    <mergeCell ref="C96:C97"/>
    <mergeCell ref="E96:E97"/>
    <mergeCell ref="F96:F97"/>
    <mergeCell ref="G96:G97"/>
    <mergeCell ref="K94:K95"/>
    <mergeCell ref="L94:L95"/>
    <mergeCell ref="M94:M95"/>
    <mergeCell ref="N94:N95"/>
    <mergeCell ref="O94:O95"/>
    <mergeCell ref="P94:P95"/>
    <mergeCell ref="Q98:Q99"/>
    <mergeCell ref="R98:R99"/>
    <mergeCell ref="S98:S99"/>
    <mergeCell ref="T98:T99"/>
    <mergeCell ref="U98:U99"/>
    <mergeCell ref="B100:B101"/>
    <mergeCell ref="C100:C101"/>
    <mergeCell ref="E100:E101"/>
    <mergeCell ref="F100:F101"/>
    <mergeCell ref="G100:G101"/>
    <mergeCell ref="K98:K99"/>
    <mergeCell ref="L98:L99"/>
    <mergeCell ref="M98:M99"/>
    <mergeCell ref="N98:N99"/>
    <mergeCell ref="O98:O99"/>
    <mergeCell ref="P98:P99"/>
    <mergeCell ref="T96:T97"/>
    <mergeCell ref="U96:U97"/>
    <mergeCell ref="B98:B99"/>
    <mergeCell ref="C98:C99"/>
    <mergeCell ref="E98:E99"/>
    <mergeCell ref="F98:F99"/>
    <mergeCell ref="G98:G99"/>
    <mergeCell ref="H98:H99"/>
    <mergeCell ref="I98:I99"/>
    <mergeCell ref="J98:J99"/>
    <mergeCell ref="N96:N97"/>
    <mergeCell ref="O96:O97"/>
    <mergeCell ref="P96:P97"/>
    <mergeCell ref="Q96:Q97"/>
    <mergeCell ref="R96:R97"/>
    <mergeCell ref="S96:S97"/>
    <mergeCell ref="T100:T101"/>
    <mergeCell ref="U100:U101"/>
    <mergeCell ref="B102:B103"/>
    <mergeCell ref="C102:C103"/>
    <mergeCell ref="E102:E103"/>
    <mergeCell ref="F102:F103"/>
    <mergeCell ref="G102:G103"/>
    <mergeCell ref="H102:H103"/>
    <mergeCell ref="I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H104:H105"/>
    <mergeCell ref="I104:I105"/>
    <mergeCell ref="J104:J105"/>
    <mergeCell ref="K104:K105"/>
    <mergeCell ref="L104:L105"/>
    <mergeCell ref="M104:M105"/>
    <mergeCell ref="Q102:Q103"/>
    <mergeCell ref="R102:R103"/>
    <mergeCell ref="S102:S103"/>
    <mergeCell ref="T102:T103"/>
    <mergeCell ref="U102:U103"/>
    <mergeCell ref="B104:B105"/>
    <mergeCell ref="C104:C105"/>
    <mergeCell ref="E104:E105"/>
    <mergeCell ref="F104:F105"/>
    <mergeCell ref="G104:G105"/>
    <mergeCell ref="K102:K103"/>
    <mergeCell ref="L102:L103"/>
    <mergeCell ref="M102:M103"/>
    <mergeCell ref="N102:N103"/>
    <mergeCell ref="O102:O103"/>
    <mergeCell ref="P102:P103"/>
    <mergeCell ref="Q106:Q107"/>
    <mergeCell ref="R106:R107"/>
    <mergeCell ref="S106:S107"/>
    <mergeCell ref="T106:T107"/>
    <mergeCell ref="U106:U107"/>
    <mergeCell ref="B108:B109"/>
    <mergeCell ref="C108:C109"/>
    <mergeCell ref="E108:E109"/>
    <mergeCell ref="F108:F109"/>
    <mergeCell ref="G108:G109"/>
    <mergeCell ref="K106:K107"/>
    <mergeCell ref="L106:L107"/>
    <mergeCell ref="M106:M107"/>
    <mergeCell ref="N106:N107"/>
    <mergeCell ref="O106:O107"/>
    <mergeCell ref="P106:P107"/>
    <mergeCell ref="T104:T105"/>
    <mergeCell ref="U104:U105"/>
    <mergeCell ref="B106:B107"/>
    <mergeCell ref="C106:C107"/>
    <mergeCell ref="E106:E107"/>
    <mergeCell ref="F106:F107"/>
    <mergeCell ref="G106:G107"/>
    <mergeCell ref="H106:H107"/>
    <mergeCell ref="I106:I107"/>
    <mergeCell ref="J106:J107"/>
    <mergeCell ref="N104:N105"/>
    <mergeCell ref="O104:O105"/>
    <mergeCell ref="P104:P105"/>
    <mergeCell ref="Q104:Q105"/>
    <mergeCell ref="R104:R105"/>
    <mergeCell ref="S104:S105"/>
    <mergeCell ref="H110:H111"/>
    <mergeCell ref="I110:I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I112:I113"/>
    <mergeCell ref="J112:J113"/>
    <mergeCell ref="K112:K113"/>
    <mergeCell ref="P110:P111"/>
    <mergeCell ref="Q110:Q111"/>
    <mergeCell ref="R110:R111"/>
    <mergeCell ref="S110:S111"/>
    <mergeCell ref="T110:T111"/>
    <mergeCell ref="R114:R115"/>
    <mergeCell ref="S114:S115"/>
    <mergeCell ref="T114:T115"/>
    <mergeCell ref="U110:U111"/>
    <mergeCell ref="J110:J111"/>
    <mergeCell ref="K110:K111"/>
    <mergeCell ref="L110:L111"/>
    <mergeCell ref="M110:M111"/>
    <mergeCell ref="N110:N111"/>
    <mergeCell ref="O110:O111"/>
    <mergeCell ref="T108:T109"/>
    <mergeCell ref="U108:U109"/>
    <mergeCell ref="U112:U113"/>
    <mergeCell ref="B114:B115"/>
    <mergeCell ref="C114:C115"/>
    <mergeCell ref="E114:E115"/>
    <mergeCell ref="F114:F115"/>
    <mergeCell ref="G114:G115"/>
    <mergeCell ref="H114:H115"/>
    <mergeCell ref="I114:I115"/>
    <mergeCell ref="J114:J115"/>
    <mergeCell ref="K114:K115"/>
    <mergeCell ref="O112:O113"/>
    <mergeCell ref="P112:P113"/>
    <mergeCell ref="Q112:Q113"/>
    <mergeCell ref="R112:R113"/>
    <mergeCell ref="S112:S113"/>
    <mergeCell ref="T112:T113"/>
    <mergeCell ref="U116:U117"/>
    <mergeCell ref="L112:L113"/>
    <mergeCell ref="M112:M113"/>
    <mergeCell ref="N112:N113"/>
    <mergeCell ref="B112:B113"/>
    <mergeCell ref="C112:C113"/>
    <mergeCell ref="E112:E113"/>
    <mergeCell ref="F112:F113"/>
    <mergeCell ref="G112:G113"/>
    <mergeCell ref="H112:H113"/>
    <mergeCell ref="O116:O117"/>
    <mergeCell ref="P116:P117"/>
    <mergeCell ref="Q116:Q117"/>
    <mergeCell ref="R116:R117"/>
    <mergeCell ref="S116:S117"/>
    <mergeCell ref="T116:T117"/>
    <mergeCell ref="I116:I117"/>
    <mergeCell ref="J116:J117"/>
    <mergeCell ref="K116:K117"/>
    <mergeCell ref="L116:L117"/>
    <mergeCell ref="M116:M117"/>
    <mergeCell ref="N116:N117"/>
    <mergeCell ref="U114:U115"/>
    <mergeCell ref="B116:B117"/>
    <mergeCell ref="C116:C117"/>
    <mergeCell ref="E116:E117"/>
    <mergeCell ref="F116:F117"/>
    <mergeCell ref="G116:G117"/>
    <mergeCell ref="H116:H117"/>
    <mergeCell ref="L114:L115"/>
    <mergeCell ref="M114:M115"/>
    <mergeCell ref="N114:N115"/>
    <mergeCell ref="O114:O115"/>
    <mergeCell ref="P114:P115"/>
    <mergeCell ref="Q114:Q115"/>
    <mergeCell ref="I120:I121"/>
    <mergeCell ref="J120:J121"/>
    <mergeCell ref="K120:K121"/>
    <mergeCell ref="L120:L121"/>
    <mergeCell ref="M120:M121"/>
    <mergeCell ref="N120:N121"/>
    <mergeCell ref="R118:R119"/>
    <mergeCell ref="S118:S119"/>
    <mergeCell ref="T118:T119"/>
    <mergeCell ref="U118:U119"/>
    <mergeCell ref="B120:B121"/>
    <mergeCell ref="C120:C121"/>
    <mergeCell ref="E120:E121"/>
    <mergeCell ref="F120:F121"/>
    <mergeCell ref="G120:G121"/>
    <mergeCell ref="H120:H121"/>
    <mergeCell ref="L118:L119"/>
    <mergeCell ref="M118:M119"/>
    <mergeCell ref="N118:N119"/>
    <mergeCell ref="O118:O119"/>
    <mergeCell ref="P118:P119"/>
    <mergeCell ref="Q118:Q119"/>
    <mergeCell ref="B118:B119"/>
    <mergeCell ref="C118:C119"/>
    <mergeCell ref="E118:E119"/>
    <mergeCell ref="F118:F119"/>
    <mergeCell ref="G118:G119"/>
    <mergeCell ref="H118:H119"/>
    <mergeCell ref="I118:I119"/>
    <mergeCell ref="J118:J119"/>
    <mergeCell ref="K118:K119"/>
    <mergeCell ref="R122:R123"/>
    <mergeCell ref="S122:S123"/>
    <mergeCell ref="T122:T123"/>
    <mergeCell ref="U122:U123"/>
    <mergeCell ref="B124:B125"/>
    <mergeCell ref="C124:C125"/>
    <mergeCell ref="E124:E125"/>
    <mergeCell ref="F124:F125"/>
    <mergeCell ref="G124:G125"/>
    <mergeCell ref="H124:H125"/>
    <mergeCell ref="L122:L123"/>
    <mergeCell ref="M122:M123"/>
    <mergeCell ref="N122:N123"/>
    <mergeCell ref="O122:O123"/>
    <mergeCell ref="P122:P123"/>
    <mergeCell ref="Q122:Q123"/>
    <mergeCell ref="U120:U121"/>
    <mergeCell ref="B122:B123"/>
    <mergeCell ref="C122:C123"/>
    <mergeCell ref="E122:E123"/>
    <mergeCell ref="F122:F123"/>
    <mergeCell ref="G122:G123"/>
    <mergeCell ref="H122:H123"/>
    <mergeCell ref="I122:I123"/>
    <mergeCell ref="J122:J123"/>
    <mergeCell ref="K122:K123"/>
    <mergeCell ref="O120:O121"/>
    <mergeCell ref="P120:P121"/>
    <mergeCell ref="Q120:Q121"/>
    <mergeCell ref="R120:R121"/>
    <mergeCell ref="S120:S121"/>
    <mergeCell ref="T120:T121"/>
    <mergeCell ref="U124:U125"/>
    <mergeCell ref="B126:B127"/>
    <mergeCell ref="C126:C127"/>
    <mergeCell ref="E126:E127"/>
    <mergeCell ref="F126:F127"/>
    <mergeCell ref="G126:G127"/>
    <mergeCell ref="H126:H127"/>
    <mergeCell ref="I126:I127"/>
    <mergeCell ref="J126:J127"/>
    <mergeCell ref="K126:K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I128:I129"/>
    <mergeCell ref="J128:J129"/>
    <mergeCell ref="K128:K129"/>
    <mergeCell ref="L128:L129"/>
    <mergeCell ref="M128:M129"/>
    <mergeCell ref="N128:N129"/>
    <mergeCell ref="R126:R127"/>
    <mergeCell ref="S126:S127"/>
    <mergeCell ref="T126:T127"/>
    <mergeCell ref="U126:U127"/>
    <mergeCell ref="B128:B129"/>
    <mergeCell ref="C128:C129"/>
    <mergeCell ref="E128:E129"/>
    <mergeCell ref="F128:F129"/>
    <mergeCell ref="G128:G129"/>
    <mergeCell ref="H128:H129"/>
    <mergeCell ref="L126:L127"/>
    <mergeCell ref="M126:M127"/>
    <mergeCell ref="N126:N127"/>
    <mergeCell ref="O126:O127"/>
    <mergeCell ref="P126:P127"/>
    <mergeCell ref="Q126:Q127"/>
    <mergeCell ref="R130:R131"/>
    <mergeCell ref="S130:S131"/>
    <mergeCell ref="T130:T131"/>
    <mergeCell ref="U130:U131"/>
    <mergeCell ref="B132:B133"/>
    <mergeCell ref="C132:C133"/>
    <mergeCell ref="E132:E133"/>
    <mergeCell ref="F132:F133"/>
    <mergeCell ref="G132:G133"/>
    <mergeCell ref="H132:H133"/>
    <mergeCell ref="L130:L131"/>
    <mergeCell ref="M130:M131"/>
    <mergeCell ref="N130:N131"/>
    <mergeCell ref="O130:O131"/>
    <mergeCell ref="P130:P131"/>
    <mergeCell ref="Q130:Q131"/>
    <mergeCell ref="U128:U129"/>
    <mergeCell ref="B130:B131"/>
    <mergeCell ref="C130:C131"/>
    <mergeCell ref="E130:E131"/>
    <mergeCell ref="F130:F131"/>
    <mergeCell ref="G130:G131"/>
    <mergeCell ref="H130:H131"/>
    <mergeCell ref="I130:I131"/>
    <mergeCell ref="J130:J131"/>
    <mergeCell ref="K130:K131"/>
    <mergeCell ref="O128:O129"/>
    <mergeCell ref="P128:P129"/>
    <mergeCell ref="Q128:Q129"/>
    <mergeCell ref="R128:R129"/>
    <mergeCell ref="S128:S129"/>
    <mergeCell ref="T128:T129"/>
    <mergeCell ref="U132:U133"/>
    <mergeCell ref="B134:B135"/>
    <mergeCell ref="C134:C135"/>
    <mergeCell ref="E134:E135"/>
    <mergeCell ref="F134:F135"/>
    <mergeCell ref="G134:G135"/>
    <mergeCell ref="H134:H135"/>
    <mergeCell ref="I134:I135"/>
    <mergeCell ref="J134:J135"/>
    <mergeCell ref="K134:K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I136:I137"/>
    <mergeCell ref="J136:J137"/>
    <mergeCell ref="K136:K137"/>
    <mergeCell ref="L136:L137"/>
    <mergeCell ref="M136:M137"/>
    <mergeCell ref="N136:N137"/>
    <mergeCell ref="R134:R135"/>
    <mergeCell ref="S134:S135"/>
    <mergeCell ref="T134:T135"/>
    <mergeCell ref="U134:U135"/>
    <mergeCell ref="B136:B137"/>
    <mergeCell ref="C136:C137"/>
    <mergeCell ref="E136:E137"/>
    <mergeCell ref="F136:F137"/>
    <mergeCell ref="G136:G137"/>
    <mergeCell ref="H136:H137"/>
    <mergeCell ref="L134:L135"/>
    <mergeCell ref="M134:M135"/>
    <mergeCell ref="N134:N135"/>
    <mergeCell ref="O134:O135"/>
    <mergeCell ref="P134:P135"/>
    <mergeCell ref="Q134:Q135"/>
    <mergeCell ref="R138:R139"/>
    <mergeCell ref="S138:S139"/>
    <mergeCell ref="T138:T139"/>
    <mergeCell ref="U138:U139"/>
    <mergeCell ref="B140:B141"/>
    <mergeCell ref="C140:C141"/>
    <mergeCell ref="E140:E141"/>
    <mergeCell ref="F140:F141"/>
    <mergeCell ref="G140:G141"/>
    <mergeCell ref="H140:H141"/>
    <mergeCell ref="L138:L139"/>
    <mergeCell ref="M138:M139"/>
    <mergeCell ref="N138:N139"/>
    <mergeCell ref="O138:O139"/>
    <mergeCell ref="P138:P139"/>
    <mergeCell ref="Q138:Q139"/>
    <mergeCell ref="U136:U137"/>
    <mergeCell ref="B138:B139"/>
    <mergeCell ref="C138:C139"/>
    <mergeCell ref="E138:E139"/>
    <mergeCell ref="F138:F139"/>
    <mergeCell ref="G138:G139"/>
    <mergeCell ref="H138:H139"/>
    <mergeCell ref="I138:I139"/>
    <mergeCell ref="J138:J139"/>
    <mergeCell ref="K138:K139"/>
    <mergeCell ref="O136:O137"/>
    <mergeCell ref="P136:P137"/>
    <mergeCell ref="Q136:Q137"/>
    <mergeCell ref="R136:R137"/>
    <mergeCell ref="S136:S137"/>
    <mergeCell ref="T136:T137"/>
    <mergeCell ref="U140:U141"/>
    <mergeCell ref="B142:B143"/>
    <mergeCell ref="C142:C143"/>
    <mergeCell ref="E142:E143"/>
    <mergeCell ref="F142:F143"/>
    <mergeCell ref="G142:G143"/>
    <mergeCell ref="H142:H143"/>
    <mergeCell ref="I142:I143"/>
    <mergeCell ref="J142:J143"/>
    <mergeCell ref="K142:K143"/>
    <mergeCell ref="O140:O141"/>
    <mergeCell ref="P140:P141"/>
    <mergeCell ref="Q140:Q141"/>
    <mergeCell ref="R140:R141"/>
    <mergeCell ref="S140:S141"/>
    <mergeCell ref="T140:T141"/>
    <mergeCell ref="I140:I141"/>
    <mergeCell ref="J140:J141"/>
    <mergeCell ref="K140:K141"/>
    <mergeCell ref="L140:L141"/>
    <mergeCell ref="M140:M141"/>
    <mergeCell ref="N140:N141"/>
    <mergeCell ref="R142:R143"/>
    <mergeCell ref="S142:S143"/>
    <mergeCell ref="T142:T143"/>
    <mergeCell ref="U142:U143"/>
    <mergeCell ref="A144:A177"/>
    <mergeCell ref="B144:B145"/>
    <mergeCell ref="C144:C145"/>
    <mergeCell ref="E144:E145"/>
    <mergeCell ref="F144:F145"/>
    <mergeCell ref="G144:G145"/>
    <mergeCell ref="L142:L143"/>
    <mergeCell ref="M142:M143"/>
    <mergeCell ref="N142:N143"/>
    <mergeCell ref="O142:O143"/>
    <mergeCell ref="P142:P143"/>
    <mergeCell ref="Q142:Q143"/>
    <mergeCell ref="Q146:Q147"/>
    <mergeCell ref="R146:R147"/>
    <mergeCell ref="S146:S147"/>
    <mergeCell ref="T146:T147"/>
    <mergeCell ref="U146:U147"/>
    <mergeCell ref="B148:B149"/>
    <mergeCell ref="C148:C149"/>
    <mergeCell ref="E148:E149"/>
    <mergeCell ref="F148:F149"/>
    <mergeCell ref="G148:G149"/>
    <mergeCell ref="A110:A143"/>
    <mergeCell ref="B110:B111"/>
    <mergeCell ref="C110:C111"/>
    <mergeCell ref="E110:E111"/>
    <mergeCell ref="F110:F111"/>
    <mergeCell ref="G110:G111"/>
    <mergeCell ref="K146:K147"/>
    <mergeCell ref="L146:L147"/>
    <mergeCell ref="M146:M147"/>
    <mergeCell ref="N146:N147"/>
    <mergeCell ref="O146:O147"/>
    <mergeCell ref="P146:P147"/>
    <mergeCell ref="T144:T145"/>
    <mergeCell ref="U144:U145"/>
    <mergeCell ref="B146:B147"/>
    <mergeCell ref="C146:C147"/>
    <mergeCell ref="E146:E147"/>
    <mergeCell ref="F146:F147"/>
    <mergeCell ref="G146:G147"/>
    <mergeCell ref="H146:H147"/>
    <mergeCell ref="I146:I147"/>
    <mergeCell ref="J146:J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T148:T149"/>
    <mergeCell ref="U148:U149"/>
    <mergeCell ref="B150:B151"/>
    <mergeCell ref="C150:C151"/>
    <mergeCell ref="E150:E151"/>
    <mergeCell ref="F150:F151"/>
    <mergeCell ref="G150:G151"/>
    <mergeCell ref="H150:H151"/>
    <mergeCell ref="I150:I151"/>
    <mergeCell ref="J150:J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H152:H153"/>
    <mergeCell ref="I152:I153"/>
    <mergeCell ref="J152:J153"/>
    <mergeCell ref="K152:K153"/>
    <mergeCell ref="L152:L153"/>
    <mergeCell ref="M152:M153"/>
    <mergeCell ref="Q150:Q151"/>
    <mergeCell ref="R150:R151"/>
    <mergeCell ref="S150:S151"/>
    <mergeCell ref="T150:T151"/>
    <mergeCell ref="U150:U151"/>
    <mergeCell ref="B152:B153"/>
    <mergeCell ref="C152:C153"/>
    <mergeCell ref="E152:E153"/>
    <mergeCell ref="F152:F153"/>
    <mergeCell ref="G152:G153"/>
    <mergeCell ref="K150:K151"/>
    <mergeCell ref="L150:L151"/>
    <mergeCell ref="M150:M151"/>
    <mergeCell ref="N150:N151"/>
    <mergeCell ref="O150:O151"/>
    <mergeCell ref="P150:P151"/>
    <mergeCell ref="Q154:Q155"/>
    <mergeCell ref="R154:R155"/>
    <mergeCell ref="S154:S155"/>
    <mergeCell ref="T154:T155"/>
    <mergeCell ref="U154:U155"/>
    <mergeCell ref="B156:B157"/>
    <mergeCell ref="C156:C157"/>
    <mergeCell ref="E156:E157"/>
    <mergeCell ref="F156:F157"/>
    <mergeCell ref="G156:G157"/>
    <mergeCell ref="K154:K155"/>
    <mergeCell ref="L154:L155"/>
    <mergeCell ref="M154:M155"/>
    <mergeCell ref="N154:N155"/>
    <mergeCell ref="O154:O155"/>
    <mergeCell ref="P154:P155"/>
    <mergeCell ref="T152:T153"/>
    <mergeCell ref="U152:U153"/>
    <mergeCell ref="B154:B155"/>
    <mergeCell ref="C154:C155"/>
    <mergeCell ref="E154:E155"/>
    <mergeCell ref="F154:F155"/>
    <mergeCell ref="G154:G155"/>
    <mergeCell ref="H154:H155"/>
    <mergeCell ref="I154:I155"/>
    <mergeCell ref="J154:J155"/>
    <mergeCell ref="N152:N153"/>
    <mergeCell ref="O152:O153"/>
    <mergeCell ref="P152:P153"/>
    <mergeCell ref="Q152:Q153"/>
    <mergeCell ref="R152:R153"/>
    <mergeCell ref="S152:S153"/>
    <mergeCell ref="T156:T157"/>
    <mergeCell ref="U156:U157"/>
    <mergeCell ref="B158:B159"/>
    <mergeCell ref="C158:C159"/>
    <mergeCell ref="E158:E159"/>
    <mergeCell ref="F158:F159"/>
    <mergeCell ref="G158:G159"/>
    <mergeCell ref="H158:H159"/>
    <mergeCell ref="I158:I159"/>
    <mergeCell ref="J158:J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H160:H161"/>
    <mergeCell ref="I160:I161"/>
    <mergeCell ref="J160:J161"/>
    <mergeCell ref="K160:K161"/>
    <mergeCell ref="L160:L161"/>
    <mergeCell ref="M160:M161"/>
    <mergeCell ref="Q158:Q159"/>
    <mergeCell ref="R158:R159"/>
    <mergeCell ref="S158:S159"/>
    <mergeCell ref="T158:T159"/>
    <mergeCell ref="U158:U159"/>
    <mergeCell ref="B160:B161"/>
    <mergeCell ref="C160:C161"/>
    <mergeCell ref="E160:E161"/>
    <mergeCell ref="F160:F161"/>
    <mergeCell ref="G160:G161"/>
    <mergeCell ref="K158:K159"/>
    <mergeCell ref="L158:L159"/>
    <mergeCell ref="M158:M159"/>
    <mergeCell ref="N158:N159"/>
    <mergeCell ref="O158:O159"/>
    <mergeCell ref="P158:P159"/>
    <mergeCell ref="Q162:Q163"/>
    <mergeCell ref="R162:R163"/>
    <mergeCell ref="S162:S163"/>
    <mergeCell ref="T162:T163"/>
    <mergeCell ref="U162:U163"/>
    <mergeCell ref="B164:B165"/>
    <mergeCell ref="C164:C165"/>
    <mergeCell ref="E164:E165"/>
    <mergeCell ref="F164:F165"/>
    <mergeCell ref="G164:G165"/>
    <mergeCell ref="K162:K163"/>
    <mergeCell ref="L162:L163"/>
    <mergeCell ref="M162:M163"/>
    <mergeCell ref="N162:N163"/>
    <mergeCell ref="O162:O163"/>
    <mergeCell ref="P162:P163"/>
    <mergeCell ref="T160:T161"/>
    <mergeCell ref="U160:U161"/>
    <mergeCell ref="B162:B163"/>
    <mergeCell ref="C162:C163"/>
    <mergeCell ref="E162:E163"/>
    <mergeCell ref="F162:F163"/>
    <mergeCell ref="G162:G163"/>
    <mergeCell ref="H162:H163"/>
    <mergeCell ref="I162:I163"/>
    <mergeCell ref="J162:J163"/>
    <mergeCell ref="N160:N161"/>
    <mergeCell ref="O160:O161"/>
    <mergeCell ref="P160:P161"/>
    <mergeCell ref="Q160:Q161"/>
    <mergeCell ref="R160:R161"/>
    <mergeCell ref="S160:S161"/>
    <mergeCell ref="T164:T165"/>
    <mergeCell ref="U164:U165"/>
    <mergeCell ref="B166:B167"/>
    <mergeCell ref="C166:C167"/>
    <mergeCell ref="E166:E167"/>
    <mergeCell ref="F166:F167"/>
    <mergeCell ref="G166:G167"/>
    <mergeCell ref="H166:H167"/>
    <mergeCell ref="I166:I167"/>
    <mergeCell ref="J166:J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H168:H169"/>
    <mergeCell ref="I168:I169"/>
    <mergeCell ref="J168:J169"/>
    <mergeCell ref="K168:K169"/>
    <mergeCell ref="L168:L169"/>
    <mergeCell ref="M168:M169"/>
    <mergeCell ref="Q166:Q167"/>
    <mergeCell ref="R166:R167"/>
    <mergeCell ref="S166:S167"/>
    <mergeCell ref="T166:T167"/>
    <mergeCell ref="U166:U167"/>
    <mergeCell ref="B168:B169"/>
    <mergeCell ref="C168:C169"/>
    <mergeCell ref="E168:E169"/>
    <mergeCell ref="F168:F169"/>
    <mergeCell ref="G168:G169"/>
    <mergeCell ref="K166:K167"/>
    <mergeCell ref="L166:L167"/>
    <mergeCell ref="M166:M167"/>
    <mergeCell ref="N166:N167"/>
    <mergeCell ref="O166:O167"/>
    <mergeCell ref="P166:P167"/>
    <mergeCell ref="Q170:Q171"/>
    <mergeCell ref="R170:R171"/>
    <mergeCell ref="S170:S171"/>
    <mergeCell ref="T170:T171"/>
    <mergeCell ref="U170:U171"/>
    <mergeCell ref="B172:B173"/>
    <mergeCell ref="C172:C173"/>
    <mergeCell ref="E172:E173"/>
    <mergeCell ref="F172:F173"/>
    <mergeCell ref="G172:G173"/>
    <mergeCell ref="K170:K171"/>
    <mergeCell ref="L170:L171"/>
    <mergeCell ref="M170:M171"/>
    <mergeCell ref="N170:N171"/>
    <mergeCell ref="O170:O171"/>
    <mergeCell ref="P170:P171"/>
    <mergeCell ref="T168:T169"/>
    <mergeCell ref="U168:U169"/>
    <mergeCell ref="B170:B171"/>
    <mergeCell ref="C170:C171"/>
    <mergeCell ref="E170:E171"/>
    <mergeCell ref="F170:F171"/>
    <mergeCell ref="G170:G171"/>
    <mergeCell ref="H170:H171"/>
    <mergeCell ref="I170:I171"/>
    <mergeCell ref="J170:J171"/>
    <mergeCell ref="N168:N169"/>
    <mergeCell ref="O168:O169"/>
    <mergeCell ref="P168:P169"/>
    <mergeCell ref="Q168:Q169"/>
    <mergeCell ref="R168:R169"/>
    <mergeCell ref="S168:S169"/>
    <mergeCell ref="T172:T173"/>
    <mergeCell ref="U172:U173"/>
    <mergeCell ref="B174:B175"/>
    <mergeCell ref="C174:C175"/>
    <mergeCell ref="E174:E175"/>
    <mergeCell ref="F174:F175"/>
    <mergeCell ref="G174:G175"/>
    <mergeCell ref="H174:H175"/>
    <mergeCell ref="I174:I175"/>
    <mergeCell ref="J174:J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L176:L177"/>
    <mergeCell ref="M176:M177"/>
    <mergeCell ref="Q174:Q175"/>
    <mergeCell ref="R174:R175"/>
    <mergeCell ref="S174:S175"/>
    <mergeCell ref="T174:T175"/>
    <mergeCell ref="U174:U175"/>
    <mergeCell ref="B176:B177"/>
    <mergeCell ref="C176:C177"/>
    <mergeCell ref="E176:E177"/>
    <mergeCell ref="F176:F177"/>
    <mergeCell ref="G176:G177"/>
    <mergeCell ref="K174:K175"/>
    <mergeCell ref="L174:L175"/>
    <mergeCell ref="M174:M175"/>
    <mergeCell ref="N174:N175"/>
    <mergeCell ref="O174:O175"/>
    <mergeCell ref="P174:P175"/>
    <mergeCell ref="P178:P179"/>
    <mergeCell ref="Q178:Q179"/>
    <mergeCell ref="R178:R179"/>
    <mergeCell ref="S178:S179"/>
    <mergeCell ref="T178:T179"/>
    <mergeCell ref="U178:U179"/>
    <mergeCell ref="J178:J179"/>
    <mergeCell ref="K178:K179"/>
    <mergeCell ref="L178:L179"/>
    <mergeCell ref="M178:M179"/>
    <mergeCell ref="N178:N179"/>
    <mergeCell ref="O178:O179"/>
    <mergeCell ref="T176:T177"/>
    <mergeCell ref="U176:U177"/>
    <mergeCell ref="A178:A211"/>
    <mergeCell ref="B178:B179"/>
    <mergeCell ref="C178:C179"/>
    <mergeCell ref="E178:E179"/>
    <mergeCell ref="F178:F179"/>
    <mergeCell ref="G178:G179"/>
    <mergeCell ref="H178:H179"/>
    <mergeCell ref="I178:I179"/>
    <mergeCell ref="N176:N177"/>
    <mergeCell ref="O176:O177"/>
    <mergeCell ref="P176:P177"/>
    <mergeCell ref="Q176:Q177"/>
    <mergeCell ref="R176:R177"/>
    <mergeCell ref="S176:S177"/>
    <mergeCell ref="H176:H177"/>
    <mergeCell ref="I176:I177"/>
    <mergeCell ref="J176:J177"/>
    <mergeCell ref="K176:K177"/>
    <mergeCell ref="U180:U181"/>
    <mergeCell ref="B182:B183"/>
    <mergeCell ref="C182:C183"/>
    <mergeCell ref="E182:E183"/>
    <mergeCell ref="F182:F183"/>
    <mergeCell ref="G182:G183"/>
    <mergeCell ref="H182:H183"/>
    <mergeCell ref="I182:I183"/>
    <mergeCell ref="J182:J183"/>
    <mergeCell ref="K182:K183"/>
    <mergeCell ref="O180:O181"/>
    <mergeCell ref="P180:P181"/>
    <mergeCell ref="Q180:Q181"/>
    <mergeCell ref="R180:R181"/>
    <mergeCell ref="S180:S181"/>
    <mergeCell ref="T180:T181"/>
    <mergeCell ref="I180:I181"/>
    <mergeCell ref="J180:J181"/>
    <mergeCell ref="K180:K181"/>
    <mergeCell ref="L180:L181"/>
    <mergeCell ref="M180:M181"/>
    <mergeCell ref="N180:N181"/>
    <mergeCell ref="B180:B181"/>
    <mergeCell ref="C180:C181"/>
    <mergeCell ref="E180:E181"/>
    <mergeCell ref="F180:F181"/>
    <mergeCell ref="G180:G181"/>
    <mergeCell ref="H180:H181"/>
    <mergeCell ref="I184:I185"/>
    <mergeCell ref="J184:J185"/>
    <mergeCell ref="K184:K185"/>
    <mergeCell ref="L184:L185"/>
    <mergeCell ref="M184:M185"/>
    <mergeCell ref="N184:N185"/>
    <mergeCell ref="R182:R183"/>
    <mergeCell ref="S182:S183"/>
    <mergeCell ref="T182:T183"/>
    <mergeCell ref="U182:U183"/>
    <mergeCell ref="B184:B185"/>
    <mergeCell ref="C184:C185"/>
    <mergeCell ref="E184:E185"/>
    <mergeCell ref="F184:F185"/>
    <mergeCell ref="G184:G185"/>
    <mergeCell ref="H184:H185"/>
    <mergeCell ref="L182:L183"/>
    <mergeCell ref="M182:M183"/>
    <mergeCell ref="N182:N183"/>
    <mergeCell ref="O182:O183"/>
    <mergeCell ref="P182:P183"/>
    <mergeCell ref="Q182:Q183"/>
    <mergeCell ref="R186:R187"/>
    <mergeCell ref="S186:S187"/>
    <mergeCell ref="T186:T187"/>
    <mergeCell ref="U186:U187"/>
    <mergeCell ref="B188:B189"/>
    <mergeCell ref="C188:C189"/>
    <mergeCell ref="E188:E189"/>
    <mergeCell ref="F188:F189"/>
    <mergeCell ref="G188:G189"/>
    <mergeCell ref="H188:H189"/>
    <mergeCell ref="L186:L187"/>
    <mergeCell ref="M186:M187"/>
    <mergeCell ref="N186:N187"/>
    <mergeCell ref="O186:O187"/>
    <mergeCell ref="P186:P187"/>
    <mergeCell ref="Q186:Q187"/>
    <mergeCell ref="U184:U185"/>
    <mergeCell ref="B186:B187"/>
    <mergeCell ref="C186:C187"/>
    <mergeCell ref="E186:E187"/>
    <mergeCell ref="F186:F187"/>
    <mergeCell ref="G186:G187"/>
    <mergeCell ref="H186:H187"/>
    <mergeCell ref="I186:I187"/>
    <mergeCell ref="J186:J187"/>
    <mergeCell ref="K186:K187"/>
    <mergeCell ref="O184:O185"/>
    <mergeCell ref="P184:P185"/>
    <mergeCell ref="Q184:Q185"/>
    <mergeCell ref="R184:R185"/>
    <mergeCell ref="S184:S185"/>
    <mergeCell ref="T184:T185"/>
    <mergeCell ref="U188:U189"/>
    <mergeCell ref="B190:B191"/>
    <mergeCell ref="C190:C191"/>
    <mergeCell ref="E190:E191"/>
    <mergeCell ref="F190:F191"/>
    <mergeCell ref="G190:G191"/>
    <mergeCell ref="H190:H191"/>
    <mergeCell ref="I190:I191"/>
    <mergeCell ref="J190:J191"/>
    <mergeCell ref="K190:K191"/>
    <mergeCell ref="O188:O189"/>
    <mergeCell ref="P188:P189"/>
    <mergeCell ref="Q188:Q189"/>
    <mergeCell ref="R188:R189"/>
    <mergeCell ref="S188:S189"/>
    <mergeCell ref="T188:T189"/>
    <mergeCell ref="I188:I189"/>
    <mergeCell ref="J188:J189"/>
    <mergeCell ref="K188:K189"/>
    <mergeCell ref="L188:L189"/>
    <mergeCell ref="M188:M189"/>
    <mergeCell ref="N188:N189"/>
    <mergeCell ref="I192:I193"/>
    <mergeCell ref="J192:J193"/>
    <mergeCell ref="K192:K193"/>
    <mergeCell ref="L192:L193"/>
    <mergeCell ref="M192:M193"/>
    <mergeCell ref="N192:N193"/>
    <mergeCell ref="R190:R191"/>
    <mergeCell ref="S190:S191"/>
    <mergeCell ref="T190:T191"/>
    <mergeCell ref="U190:U191"/>
    <mergeCell ref="B192:B193"/>
    <mergeCell ref="C192:C193"/>
    <mergeCell ref="E192:E193"/>
    <mergeCell ref="F192:F193"/>
    <mergeCell ref="G192:G193"/>
    <mergeCell ref="H192:H193"/>
    <mergeCell ref="L190:L191"/>
    <mergeCell ref="M190:M191"/>
    <mergeCell ref="N190:N191"/>
    <mergeCell ref="O190:O191"/>
    <mergeCell ref="P190:P191"/>
    <mergeCell ref="Q190:Q191"/>
    <mergeCell ref="R194:R195"/>
    <mergeCell ref="S194:S195"/>
    <mergeCell ref="T194:T195"/>
    <mergeCell ref="U194:U195"/>
    <mergeCell ref="B196:B197"/>
    <mergeCell ref="C196:C197"/>
    <mergeCell ref="E196:E197"/>
    <mergeCell ref="F196:F197"/>
    <mergeCell ref="G196:G197"/>
    <mergeCell ref="H196:H197"/>
    <mergeCell ref="L194:L195"/>
    <mergeCell ref="M194:M195"/>
    <mergeCell ref="N194:N195"/>
    <mergeCell ref="O194:O195"/>
    <mergeCell ref="P194:P195"/>
    <mergeCell ref="Q194:Q195"/>
    <mergeCell ref="U192:U193"/>
    <mergeCell ref="B194:B195"/>
    <mergeCell ref="C194:C195"/>
    <mergeCell ref="E194:E195"/>
    <mergeCell ref="F194:F195"/>
    <mergeCell ref="G194:G195"/>
    <mergeCell ref="H194:H195"/>
    <mergeCell ref="I194:I195"/>
    <mergeCell ref="J194:J195"/>
    <mergeCell ref="K194:K195"/>
    <mergeCell ref="O192:O193"/>
    <mergeCell ref="P192:P193"/>
    <mergeCell ref="Q192:Q193"/>
    <mergeCell ref="R192:R193"/>
    <mergeCell ref="S192:S193"/>
    <mergeCell ref="T192:T193"/>
    <mergeCell ref="U196:U197"/>
    <mergeCell ref="B198:B199"/>
    <mergeCell ref="C198:C199"/>
    <mergeCell ref="E198:E199"/>
    <mergeCell ref="F198:F199"/>
    <mergeCell ref="G198:G199"/>
    <mergeCell ref="H198:H199"/>
    <mergeCell ref="I198:I199"/>
    <mergeCell ref="J198:J199"/>
    <mergeCell ref="K198:K199"/>
    <mergeCell ref="O196:O197"/>
    <mergeCell ref="P196:P197"/>
    <mergeCell ref="Q196:Q197"/>
    <mergeCell ref="R196:R197"/>
    <mergeCell ref="S196:S197"/>
    <mergeCell ref="T196:T197"/>
    <mergeCell ref="I196:I197"/>
    <mergeCell ref="J196:J197"/>
    <mergeCell ref="K196:K197"/>
    <mergeCell ref="L196:L197"/>
    <mergeCell ref="M196:M197"/>
    <mergeCell ref="N196:N197"/>
    <mergeCell ref="I200:I201"/>
    <mergeCell ref="J200:J201"/>
    <mergeCell ref="K200:K201"/>
    <mergeCell ref="L200:L201"/>
    <mergeCell ref="M200:M201"/>
    <mergeCell ref="N200:N201"/>
    <mergeCell ref="R198:R199"/>
    <mergeCell ref="S198:S199"/>
    <mergeCell ref="T198:T199"/>
    <mergeCell ref="U198:U199"/>
    <mergeCell ref="B200:B201"/>
    <mergeCell ref="C200:C201"/>
    <mergeCell ref="E200:E201"/>
    <mergeCell ref="F200:F201"/>
    <mergeCell ref="G200:G201"/>
    <mergeCell ref="H200:H201"/>
    <mergeCell ref="L198:L199"/>
    <mergeCell ref="M198:M199"/>
    <mergeCell ref="N198:N199"/>
    <mergeCell ref="O198:O199"/>
    <mergeCell ref="P198:P199"/>
    <mergeCell ref="Q198:Q199"/>
    <mergeCell ref="R202:R203"/>
    <mergeCell ref="S202:S203"/>
    <mergeCell ref="T202:T203"/>
    <mergeCell ref="U202:U203"/>
    <mergeCell ref="B204:B205"/>
    <mergeCell ref="C204:C205"/>
    <mergeCell ref="E204:E205"/>
    <mergeCell ref="F204:F205"/>
    <mergeCell ref="G204:G205"/>
    <mergeCell ref="H204:H205"/>
    <mergeCell ref="L202:L203"/>
    <mergeCell ref="M202:M203"/>
    <mergeCell ref="N202:N203"/>
    <mergeCell ref="O202:O203"/>
    <mergeCell ref="P202:P203"/>
    <mergeCell ref="Q202:Q203"/>
    <mergeCell ref="U200:U201"/>
    <mergeCell ref="B202:B203"/>
    <mergeCell ref="C202:C203"/>
    <mergeCell ref="E202:E203"/>
    <mergeCell ref="F202:F203"/>
    <mergeCell ref="G202:G203"/>
    <mergeCell ref="H202:H203"/>
    <mergeCell ref="I202:I203"/>
    <mergeCell ref="J202:J203"/>
    <mergeCell ref="K202:K203"/>
    <mergeCell ref="O200:O201"/>
    <mergeCell ref="P200:P201"/>
    <mergeCell ref="Q200:Q201"/>
    <mergeCell ref="R200:R201"/>
    <mergeCell ref="S200:S201"/>
    <mergeCell ref="T200:T201"/>
    <mergeCell ref="U204:U205"/>
    <mergeCell ref="B206:B207"/>
    <mergeCell ref="C206:C207"/>
    <mergeCell ref="E206:E207"/>
    <mergeCell ref="F206:F207"/>
    <mergeCell ref="G206:G207"/>
    <mergeCell ref="H206:H207"/>
    <mergeCell ref="I206:I207"/>
    <mergeCell ref="J206:J207"/>
    <mergeCell ref="K206:K207"/>
    <mergeCell ref="O204:O205"/>
    <mergeCell ref="P204:P205"/>
    <mergeCell ref="Q204:Q205"/>
    <mergeCell ref="R204:R205"/>
    <mergeCell ref="S204:S205"/>
    <mergeCell ref="T204:T205"/>
    <mergeCell ref="I204:I205"/>
    <mergeCell ref="J204:J205"/>
    <mergeCell ref="K204:K205"/>
    <mergeCell ref="L204:L205"/>
    <mergeCell ref="M204:M205"/>
    <mergeCell ref="N204:N205"/>
    <mergeCell ref="I208:I209"/>
    <mergeCell ref="J208:J209"/>
    <mergeCell ref="K208:K209"/>
    <mergeCell ref="L208:L209"/>
    <mergeCell ref="M208:M209"/>
    <mergeCell ref="N208:N209"/>
    <mergeCell ref="R206:R207"/>
    <mergeCell ref="S206:S207"/>
    <mergeCell ref="T206:T207"/>
    <mergeCell ref="U206:U207"/>
    <mergeCell ref="B208:B209"/>
    <mergeCell ref="C208:C209"/>
    <mergeCell ref="E208:E209"/>
    <mergeCell ref="F208:F209"/>
    <mergeCell ref="G208:G209"/>
    <mergeCell ref="H208:H209"/>
    <mergeCell ref="L206:L207"/>
    <mergeCell ref="M206:M207"/>
    <mergeCell ref="N206:N207"/>
    <mergeCell ref="O206:O207"/>
    <mergeCell ref="P206:P207"/>
    <mergeCell ref="Q206:Q207"/>
    <mergeCell ref="R210:R211"/>
    <mergeCell ref="S210:S211"/>
    <mergeCell ref="T210:T211"/>
    <mergeCell ref="U210:U211"/>
    <mergeCell ref="A212:A245"/>
    <mergeCell ref="B212:B213"/>
    <mergeCell ref="C212:C213"/>
    <mergeCell ref="E212:E213"/>
    <mergeCell ref="F212:F213"/>
    <mergeCell ref="G212:G213"/>
    <mergeCell ref="L210:L211"/>
    <mergeCell ref="M210:M211"/>
    <mergeCell ref="N210:N211"/>
    <mergeCell ref="O210:O211"/>
    <mergeCell ref="P210:P211"/>
    <mergeCell ref="Q210:Q211"/>
    <mergeCell ref="U208:U209"/>
    <mergeCell ref="B210:B211"/>
    <mergeCell ref="C210:C211"/>
    <mergeCell ref="E210:E211"/>
    <mergeCell ref="F210:F211"/>
    <mergeCell ref="G210:G211"/>
    <mergeCell ref="H210:H211"/>
    <mergeCell ref="I210:I211"/>
    <mergeCell ref="J210:J211"/>
    <mergeCell ref="K210:K211"/>
    <mergeCell ref="O208:O209"/>
    <mergeCell ref="P208:P209"/>
    <mergeCell ref="Q208:Q209"/>
    <mergeCell ref="R208:R209"/>
    <mergeCell ref="S208:S209"/>
    <mergeCell ref="T208:T209"/>
    <mergeCell ref="T212:T213"/>
    <mergeCell ref="U212:U213"/>
    <mergeCell ref="B214:B215"/>
    <mergeCell ref="C214:C215"/>
    <mergeCell ref="E214:E215"/>
    <mergeCell ref="F214:F215"/>
    <mergeCell ref="G214:G215"/>
    <mergeCell ref="H214:H215"/>
    <mergeCell ref="I214:I215"/>
    <mergeCell ref="J214:J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H216:H217"/>
    <mergeCell ref="I216:I217"/>
    <mergeCell ref="J216:J217"/>
    <mergeCell ref="K216:K217"/>
    <mergeCell ref="L216:L217"/>
    <mergeCell ref="M216:M217"/>
    <mergeCell ref="Q214:Q215"/>
    <mergeCell ref="R214:R215"/>
    <mergeCell ref="S214:S215"/>
    <mergeCell ref="T214:T215"/>
    <mergeCell ref="U214:U215"/>
    <mergeCell ref="B216:B217"/>
    <mergeCell ref="C216:C217"/>
    <mergeCell ref="E216:E217"/>
    <mergeCell ref="F216:F217"/>
    <mergeCell ref="G216:G217"/>
    <mergeCell ref="K214:K215"/>
    <mergeCell ref="L214:L215"/>
    <mergeCell ref="M214:M215"/>
    <mergeCell ref="N214:N215"/>
    <mergeCell ref="O214:O215"/>
    <mergeCell ref="P214:P215"/>
    <mergeCell ref="Q218:Q219"/>
    <mergeCell ref="R218:R219"/>
    <mergeCell ref="S218:S219"/>
    <mergeCell ref="T218:T219"/>
    <mergeCell ref="U218:U219"/>
    <mergeCell ref="B220:B221"/>
    <mergeCell ref="C220:C221"/>
    <mergeCell ref="E220:E221"/>
    <mergeCell ref="F220:F221"/>
    <mergeCell ref="G220:G221"/>
    <mergeCell ref="K218:K219"/>
    <mergeCell ref="L218:L219"/>
    <mergeCell ref="M218:M219"/>
    <mergeCell ref="N218:N219"/>
    <mergeCell ref="O218:O219"/>
    <mergeCell ref="P218:P219"/>
    <mergeCell ref="T216:T217"/>
    <mergeCell ref="U216:U217"/>
    <mergeCell ref="B218:B219"/>
    <mergeCell ref="C218:C219"/>
    <mergeCell ref="E218:E219"/>
    <mergeCell ref="F218:F219"/>
    <mergeCell ref="G218:G219"/>
    <mergeCell ref="H218:H219"/>
    <mergeCell ref="I218:I219"/>
    <mergeCell ref="J218:J219"/>
    <mergeCell ref="N216:N217"/>
    <mergeCell ref="O216:O217"/>
    <mergeCell ref="P216:P217"/>
    <mergeCell ref="Q216:Q217"/>
    <mergeCell ref="R216:R217"/>
    <mergeCell ref="S216:S217"/>
    <mergeCell ref="T220:T221"/>
    <mergeCell ref="U220:U221"/>
    <mergeCell ref="B222:B223"/>
    <mergeCell ref="C222:C223"/>
    <mergeCell ref="E222:E223"/>
    <mergeCell ref="F222:F223"/>
    <mergeCell ref="G222:G223"/>
    <mergeCell ref="H222:H223"/>
    <mergeCell ref="I222:I223"/>
    <mergeCell ref="J222:J223"/>
    <mergeCell ref="N220:N221"/>
    <mergeCell ref="O220:O221"/>
    <mergeCell ref="P220:P221"/>
    <mergeCell ref="Q220:Q221"/>
    <mergeCell ref="R220:R221"/>
    <mergeCell ref="S220:S221"/>
    <mergeCell ref="H220:H221"/>
    <mergeCell ref="I220:I221"/>
    <mergeCell ref="J220:J221"/>
    <mergeCell ref="K220:K221"/>
    <mergeCell ref="L220:L221"/>
    <mergeCell ref="M220:M221"/>
    <mergeCell ref="H224:H225"/>
    <mergeCell ref="I224:I225"/>
    <mergeCell ref="J224:J225"/>
    <mergeCell ref="K224:K225"/>
    <mergeCell ref="L224:L225"/>
    <mergeCell ref="M224:M225"/>
    <mergeCell ref="Q222:Q223"/>
    <mergeCell ref="R222:R223"/>
    <mergeCell ref="S222:S223"/>
    <mergeCell ref="T222:T223"/>
    <mergeCell ref="U222:U223"/>
    <mergeCell ref="B224:B225"/>
    <mergeCell ref="C224:C225"/>
    <mergeCell ref="E224:E225"/>
    <mergeCell ref="F224:F225"/>
    <mergeCell ref="G224:G225"/>
    <mergeCell ref="K222:K223"/>
    <mergeCell ref="L222:L223"/>
    <mergeCell ref="M222:M223"/>
    <mergeCell ref="N222:N223"/>
    <mergeCell ref="O222:O223"/>
    <mergeCell ref="P222:P223"/>
    <mergeCell ref="Q226:Q227"/>
    <mergeCell ref="R226:R227"/>
    <mergeCell ref="S226:S227"/>
    <mergeCell ref="T226:T227"/>
    <mergeCell ref="U226:U227"/>
    <mergeCell ref="B228:B229"/>
    <mergeCell ref="C228:C229"/>
    <mergeCell ref="E228:E229"/>
    <mergeCell ref="F228:F229"/>
    <mergeCell ref="G228:G229"/>
    <mergeCell ref="K226:K227"/>
    <mergeCell ref="L226:L227"/>
    <mergeCell ref="M226:M227"/>
    <mergeCell ref="N226:N227"/>
    <mergeCell ref="O226:O227"/>
    <mergeCell ref="P226:P227"/>
    <mergeCell ref="T224:T225"/>
    <mergeCell ref="U224:U225"/>
    <mergeCell ref="B226:B227"/>
    <mergeCell ref="C226:C227"/>
    <mergeCell ref="E226:E227"/>
    <mergeCell ref="F226:F227"/>
    <mergeCell ref="G226:G227"/>
    <mergeCell ref="H226:H227"/>
    <mergeCell ref="I226:I227"/>
    <mergeCell ref="J226:J227"/>
    <mergeCell ref="N224:N225"/>
    <mergeCell ref="O224:O225"/>
    <mergeCell ref="P224:P225"/>
    <mergeCell ref="Q224:Q225"/>
    <mergeCell ref="R224:R225"/>
    <mergeCell ref="S224:S225"/>
    <mergeCell ref="T228:T229"/>
    <mergeCell ref="U228:U229"/>
    <mergeCell ref="B230:B231"/>
    <mergeCell ref="C230:C231"/>
    <mergeCell ref="E230:E231"/>
    <mergeCell ref="F230:F231"/>
    <mergeCell ref="G230:G231"/>
    <mergeCell ref="H230:H231"/>
    <mergeCell ref="I230:I231"/>
    <mergeCell ref="J230:J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H232:H233"/>
    <mergeCell ref="I232:I233"/>
    <mergeCell ref="J232:J233"/>
    <mergeCell ref="K232:K233"/>
    <mergeCell ref="L232:L233"/>
    <mergeCell ref="M232:M233"/>
    <mergeCell ref="Q230:Q231"/>
    <mergeCell ref="R230:R231"/>
    <mergeCell ref="S230:S231"/>
    <mergeCell ref="T230:T231"/>
    <mergeCell ref="U230:U231"/>
    <mergeCell ref="B232:B233"/>
    <mergeCell ref="C232:C233"/>
    <mergeCell ref="E232:E233"/>
    <mergeCell ref="F232:F233"/>
    <mergeCell ref="G232:G233"/>
    <mergeCell ref="K230:K231"/>
    <mergeCell ref="L230:L231"/>
    <mergeCell ref="M230:M231"/>
    <mergeCell ref="N230:N231"/>
    <mergeCell ref="O230:O231"/>
    <mergeCell ref="P230:P231"/>
    <mergeCell ref="Q234:Q235"/>
    <mergeCell ref="R234:R235"/>
    <mergeCell ref="S234:S235"/>
    <mergeCell ref="T234:T235"/>
    <mergeCell ref="U234:U235"/>
    <mergeCell ref="B236:B237"/>
    <mergeCell ref="C236:C237"/>
    <mergeCell ref="E236:E237"/>
    <mergeCell ref="F236:F237"/>
    <mergeCell ref="G236:G237"/>
    <mergeCell ref="K234:K235"/>
    <mergeCell ref="L234:L235"/>
    <mergeCell ref="M234:M235"/>
    <mergeCell ref="N234:N235"/>
    <mergeCell ref="O234:O235"/>
    <mergeCell ref="P234:P235"/>
    <mergeCell ref="T232:T233"/>
    <mergeCell ref="U232:U233"/>
    <mergeCell ref="B234:B235"/>
    <mergeCell ref="C234:C235"/>
    <mergeCell ref="E234:E235"/>
    <mergeCell ref="F234:F235"/>
    <mergeCell ref="G234:G235"/>
    <mergeCell ref="H234:H235"/>
    <mergeCell ref="I234:I235"/>
    <mergeCell ref="J234:J235"/>
    <mergeCell ref="N232:N233"/>
    <mergeCell ref="O232:O233"/>
    <mergeCell ref="P232:P233"/>
    <mergeCell ref="Q232:Q233"/>
    <mergeCell ref="R232:R233"/>
    <mergeCell ref="S232:S233"/>
    <mergeCell ref="T236:T237"/>
    <mergeCell ref="U236:U237"/>
    <mergeCell ref="B238:B239"/>
    <mergeCell ref="C238:C239"/>
    <mergeCell ref="E238:E239"/>
    <mergeCell ref="F238:F239"/>
    <mergeCell ref="G238:G239"/>
    <mergeCell ref="H238:H239"/>
    <mergeCell ref="I238:I239"/>
    <mergeCell ref="J238:J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H240:H241"/>
    <mergeCell ref="I240:I241"/>
    <mergeCell ref="J240:J241"/>
    <mergeCell ref="K240:K241"/>
    <mergeCell ref="L240:L241"/>
    <mergeCell ref="M240:M241"/>
    <mergeCell ref="Q238:Q239"/>
    <mergeCell ref="R238:R239"/>
    <mergeCell ref="S238:S239"/>
    <mergeCell ref="T238:T239"/>
    <mergeCell ref="U238:U239"/>
    <mergeCell ref="B240:B241"/>
    <mergeCell ref="C240:C241"/>
    <mergeCell ref="E240:E241"/>
    <mergeCell ref="F240:F241"/>
    <mergeCell ref="G240:G241"/>
    <mergeCell ref="K238:K239"/>
    <mergeCell ref="L238:L239"/>
    <mergeCell ref="M238:M239"/>
    <mergeCell ref="N238:N239"/>
    <mergeCell ref="O238:O239"/>
    <mergeCell ref="P238:P239"/>
    <mergeCell ref="Q242:Q243"/>
    <mergeCell ref="R242:R243"/>
    <mergeCell ref="S242:S243"/>
    <mergeCell ref="T242:T243"/>
    <mergeCell ref="U242:U243"/>
    <mergeCell ref="B244:B245"/>
    <mergeCell ref="C244:C245"/>
    <mergeCell ref="E244:E245"/>
    <mergeCell ref="F244:F245"/>
    <mergeCell ref="G244:G245"/>
    <mergeCell ref="K242:K243"/>
    <mergeCell ref="L242:L243"/>
    <mergeCell ref="M242:M243"/>
    <mergeCell ref="N242:N243"/>
    <mergeCell ref="O242:O243"/>
    <mergeCell ref="P242:P243"/>
    <mergeCell ref="T240:T241"/>
    <mergeCell ref="U240:U241"/>
    <mergeCell ref="B242:B243"/>
    <mergeCell ref="C242:C243"/>
    <mergeCell ref="E242:E243"/>
    <mergeCell ref="F242:F243"/>
    <mergeCell ref="G242:G243"/>
    <mergeCell ref="H242:H243"/>
    <mergeCell ref="I242:I243"/>
    <mergeCell ref="J242:J243"/>
    <mergeCell ref="N240:N241"/>
    <mergeCell ref="O240:O241"/>
    <mergeCell ref="P240:P241"/>
    <mergeCell ref="Q240:Q241"/>
    <mergeCell ref="R240:R241"/>
    <mergeCell ref="S240:S241"/>
    <mergeCell ref="A246:A279"/>
    <mergeCell ref="B246:B247"/>
    <mergeCell ref="C246:C247"/>
    <mergeCell ref="E246:E247"/>
    <mergeCell ref="F246:F247"/>
    <mergeCell ref="G246:G247"/>
    <mergeCell ref="H246:H247"/>
    <mergeCell ref="I246:I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I248:I249"/>
    <mergeCell ref="J248:J249"/>
    <mergeCell ref="K248:K249"/>
    <mergeCell ref="P246:P247"/>
    <mergeCell ref="Q246:Q247"/>
    <mergeCell ref="R246:R247"/>
    <mergeCell ref="S246:S247"/>
    <mergeCell ref="T246:T247"/>
    <mergeCell ref="R250:R251"/>
    <mergeCell ref="S250:S251"/>
    <mergeCell ref="T250:T251"/>
    <mergeCell ref="U246:U247"/>
    <mergeCell ref="J246:J247"/>
    <mergeCell ref="K246:K247"/>
    <mergeCell ref="L246:L247"/>
    <mergeCell ref="M246:M247"/>
    <mergeCell ref="N246:N247"/>
    <mergeCell ref="O246:O247"/>
    <mergeCell ref="T244:T245"/>
    <mergeCell ref="U244:U245"/>
    <mergeCell ref="U248:U249"/>
    <mergeCell ref="B250:B251"/>
    <mergeCell ref="C250:C251"/>
    <mergeCell ref="E250:E251"/>
    <mergeCell ref="F250:F251"/>
    <mergeCell ref="G250:G251"/>
    <mergeCell ref="H250:H251"/>
    <mergeCell ref="I250:I251"/>
    <mergeCell ref="J250:J251"/>
    <mergeCell ref="K250:K251"/>
    <mergeCell ref="O248:O249"/>
    <mergeCell ref="P248:P249"/>
    <mergeCell ref="Q248:Q249"/>
    <mergeCell ref="R248:R249"/>
    <mergeCell ref="S248:S249"/>
    <mergeCell ref="T248:T249"/>
    <mergeCell ref="U252:U253"/>
    <mergeCell ref="L248:L249"/>
    <mergeCell ref="M248:M249"/>
    <mergeCell ref="N248:N249"/>
    <mergeCell ref="B248:B249"/>
    <mergeCell ref="C248:C249"/>
    <mergeCell ref="E248:E249"/>
    <mergeCell ref="F248:F249"/>
    <mergeCell ref="G248:G249"/>
    <mergeCell ref="H248:H249"/>
    <mergeCell ref="O252:O253"/>
    <mergeCell ref="P252:P253"/>
    <mergeCell ref="Q252:Q253"/>
    <mergeCell ref="R252:R253"/>
    <mergeCell ref="S252:S253"/>
    <mergeCell ref="T252:T253"/>
    <mergeCell ref="I252:I253"/>
    <mergeCell ref="J252:J253"/>
    <mergeCell ref="K252:K253"/>
    <mergeCell ref="L252:L253"/>
    <mergeCell ref="M252:M253"/>
    <mergeCell ref="N252:N253"/>
    <mergeCell ref="U250:U251"/>
    <mergeCell ref="B252:B253"/>
    <mergeCell ref="C252:C253"/>
    <mergeCell ref="E252:E253"/>
    <mergeCell ref="F252:F253"/>
    <mergeCell ref="G252:G253"/>
    <mergeCell ref="H252:H253"/>
    <mergeCell ref="L250:L251"/>
    <mergeCell ref="M250:M251"/>
    <mergeCell ref="N250:N251"/>
    <mergeCell ref="O250:O251"/>
    <mergeCell ref="P250:P251"/>
    <mergeCell ref="Q250:Q251"/>
    <mergeCell ref="I256:I257"/>
    <mergeCell ref="J256:J257"/>
    <mergeCell ref="K256:K257"/>
    <mergeCell ref="L256:L257"/>
    <mergeCell ref="M256:M257"/>
    <mergeCell ref="N256:N257"/>
    <mergeCell ref="R254:R255"/>
    <mergeCell ref="S254:S255"/>
    <mergeCell ref="T254:T255"/>
    <mergeCell ref="U254:U255"/>
    <mergeCell ref="B256:B257"/>
    <mergeCell ref="C256:C257"/>
    <mergeCell ref="E256:E257"/>
    <mergeCell ref="F256:F257"/>
    <mergeCell ref="G256:G257"/>
    <mergeCell ref="H256:H257"/>
    <mergeCell ref="L254:L255"/>
    <mergeCell ref="M254:M255"/>
    <mergeCell ref="N254:N255"/>
    <mergeCell ref="O254:O255"/>
    <mergeCell ref="P254:P255"/>
    <mergeCell ref="Q254:Q255"/>
    <mergeCell ref="B254:B255"/>
    <mergeCell ref="C254:C255"/>
    <mergeCell ref="E254:E255"/>
    <mergeCell ref="F254:F255"/>
    <mergeCell ref="G254:G255"/>
    <mergeCell ref="H254:H255"/>
    <mergeCell ref="I254:I255"/>
    <mergeCell ref="J254:J255"/>
    <mergeCell ref="K254:K255"/>
    <mergeCell ref="R258:R259"/>
    <mergeCell ref="S258:S259"/>
    <mergeCell ref="T258:T259"/>
    <mergeCell ref="U258:U259"/>
    <mergeCell ref="B260:B261"/>
    <mergeCell ref="C260:C261"/>
    <mergeCell ref="E260:E261"/>
    <mergeCell ref="F260:F261"/>
    <mergeCell ref="G260:G261"/>
    <mergeCell ref="H260:H261"/>
    <mergeCell ref="L258:L259"/>
    <mergeCell ref="M258:M259"/>
    <mergeCell ref="N258:N259"/>
    <mergeCell ref="O258:O259"/>
    <mergeCell ref="P258:P259"/>
    <mergeCell ref="Q258:Q259"/>
    <mergeCell ref="U256:U257"/>
    <mergeCell ref="B258:B259"/>
    <mergeCell ref="C258:C259"/>
    <mergeCell ref="E258:E259"/>
    <mergeCell ref="F258:F259"/>
    <mergeCell ref="G258:G259"/>
    <mergeCell ref="H258:H259"/>
    <mergeCell ref="I258:I259"/>
    <mergeCell ref="J258:J259"/>
    <mergeCell ref="K258:K259"/>
    <mergeCell ref="O256:O257"/>
    <mergeCell ref="P256:P257"/>
    <mergeCell ref="Q256:Q257"/>
    <mergeCell ref="R256:R257"/>
    <mergeCell ref="S256:S257"/>
    <mergeCell ref="T256:T257"/>
    <mergeCell ref="U260:U261"/>
    <mergeCell ref="B262:B263"/>
    <mergeCell ref="C262:C263"/>
    <mergeCell ref="E262:E263"/>
    <mergeCell ref="F262:F263"/>
    <mergeCell ref="G262:G263"/>
    <mergeCell ref="H262:H263"/>
    <mergeCell ref="I262:I263"/>
    <mergeCell ref="J262:J263"/>
    <mergeCell ref="K262:K263"/>
    <mergeCell ref="O260:O261"/>
    <mergeCell ref="P260:P261"/>
    <mergeCell ref="Q260:Q261"/>
    <mergeCell ref="R260:R261"/>
    <mergeCell ref="S260:S261"/>
    <mergeCell ref="T260:T261"/>
    <mergeCell ref="I260:I261"/>
    <mergeCell ref="J260:J261"/>
    <mergeCell ref="K260:K261"/>
    <mergeCell ref="L260:L261"/>
    <mergeCell ref="M260:M261"/>
    <mergeCell ref="N260:N261"/>
    <mergeCell ref="I264:I265"/>
    <mergeCell ref="J264:J265"/>
    <mergeCell ref="K264:K265"/>
    <mergeCell ref="L264:L265"/>
    <mergeCell ref="M264:M265"/>
    <mergeCell ref="N264:N265"/>
    <mergeCell ref="R262:R263"/>
    <mergeCell ref="S262:S263"/>
    <mergeCell ref="T262:T263"/>
    <mergeCell ref="U262:U263"/>
    <mergeCell ref="B264:B265"/>
    <mergeCell ref="C264:C265"/>
    <mergeCell ref="E264:E265"/>
    <mergeCell ref="F264:F265"/>
    <mergeCell ref="G264:G265"/>
    <mergeCell ref="H264:H265"/>
    <mergeCell ref="L262:L263"/>
    <mergeCell ref="M262:M263"/>
    <mergeCell ref="N262:N263"/>
    <mergeCell ref="O262:O263"/>
    <mergeCell ref="P262:P263"/>
    <mergeCell ref="Q262:Q263"/>
    <mergeCell ref="R266:R267"/>
    <mergeCell ref="S266:S267"/>
    <mergeCell ref="T266:T267"/>
    <mergeCell ref="U266:U267"/>
    <mergeCell ref="B268:B269"/>
    <mergeCell ref="C268:C269"/>
    <mergeCell ref="E268:E269"/>
    <mergeCell ref="F268:F269"/>
    <mergeCell ref="G268:G269"/>
    <mergeCell ref="H268:H269"/>
    <mergeCell ref="L266:L267"/>
    <mergeCell ref="M266:M267"/>
    <mergeCell ref="N266:N267"/>
    <mergeCell ref="O266:O267"/>
    <mergeCell ref="P266:P267"/>
    <mergeCell ref="Q266:Q267"/>
    <mergeCell ref="U264:U265"/>
    <mergeCell ref="B266:B267"/>
    <mergeCell ref="C266:C267"/>
    <mergeCell ref="E266:E267"/>
    <mergeCell ref="F266:F267"/>
    <mergeCell ref="G266:G267"/>
    <mergeCell ref="H266:H267"/>
    <mergeCell ref="I266:I267"/>
    <mergeCell ref="J266:J267"/>
    <mergeCell ref="K266:K267"/>
    <mergeCell ref="O264:O265"/>
    <mergeCell ref="P264:P265"/>
    <mergeCell ref="Q264:Q265"/>
    <mergeCell ref="R264:R265"/>
    <mergeCell ref="S264:S265"/>
    <mergeCell ref="T264:T265"/>
    <mergeCell ref="U268:U269"/>
    <mergeCell ref="B270:B271"/>
    <mergeCell ref="C270:C271"/>
    <mergeCell ref="E270:E271"/>
    <mergeCell ref="F270:F271"/>
    <mergeCell ref="G270:G271"/>
    <mergeCell ref="H270:H271"/>
    <mergeCell ref="I270:I271"/>
    <mergeCell ref="J270:J271"/>
    <mergeCell ref="K270:K271"/>
    <mergeCell ref="O268:O269"/>
    <mergeCell ref="P268:P269"/>
    <mergeCell ref="Q268:Q269"/>
    <mergeCell ref="R268:R269"/>
    <mergeCell ref="S268:S269"/>
    <mergeCell ref="T268:T269"/>
    <mergeCell ref="I268:I269"/>
    <mergeCell ref="J268:J269"/>
    <mergeCell ref="K268:K269"/>
    <mergeCell ref="L268:L269"/>
    <mergeCell ref="M268:M269"/>
    <mergeCell ref="N268:N269"/>
    <mergeCell ref="I272:I273"/>
    <mergeCell ref="J272:J273"/>
    <mergeCell ref="K272:K273"/>
    <mergeCell ref="L272:L273"/>
    <mergeCell ref="M272:M273"/>
    <mergeCell ref="N272:N273"/>
    <mergeCell ref="R270:R271"/>
    <mergeCell ref="S270:S271"/>
    <mergeCell ref="T270:T271"/>
    <mergeCell ref="U270:U271"/>
    <mergeCell ref="B272:B273"/>
    <mergeCell ref="C272:C273"/>
    <mergeCell ref="E272:E273"/>
    <mergeCell ref="F272:F273"/>
    <mergeCell ref="G272:G273"/>
    <mergeCell ref="H272:H273"/>
    <mergeCell ref="L270:L271"/>
    <mergeCell ref="M270:M271"/>
    <mergeCell ref="N270:N271"/>
    <mergeCell ref="O270:O271"/>
    <mergeCell ref="P270:P271"/>
    <mergeCell ref="Q270:Q271"/>
    <mergeCell ref="R274:R275"/>
    <mergeCell ref="S274:S275"/>
    <mergeCell ref="T274:T275"/>
    <mergeCell ref="U274:U275"/>
    <mergeCell ref="B276:B277"/>
    <mergeCell ref="C276:C277"/>
    <mergeCell ref="E276:E277"/>
    <mergeCell ref="F276:F277"/>
    <mergeCell ref="G276:G277"/>
    <mergeCell ref="H276:H277"/>
    <mergeCell ref="L274:L275"/>
    <mergeCell ref="M274:M275"/>
    <mergeCell ref="N274:N275"/>
    <mergeCell ref="O274:O275"/>
    <mergeCell ref="P274:P275"/>
    <mergeCell ref="Q274:Q275"/>
    <mergeCell ref="U272:U273"/>
    <mergeCell ref="B274:B275"/>
    <mergeCell ref="C274:C275"/>
    <mergeCell ref="E274:E275"/>
    <mergeCell ref="F274:F275"/>
    <mergeCell ref="G274:G275"/>
    <mergeCell ref="H274:H275"/>
    <mergeCell ref="I274:I275"/>
    <mergeCell ref="J274:J275"/>
    <mergeCell ref="K274:K275"/>
    <mergeCell ref="O272:O273"/>
    <mergeCell ref="P272:P273"/>
    <mergeCell ref="Q272:Q273"/>
    <mergeCell ref="R272:R273"/>
    <mergeCell ref="S272:S273"/>
    <mergeCell ref="T272:T273"/>
    <mergeCell ref="R278:R279"/>
    <mergeCell ref="S278:S279"/>
    <mergeCell ref="T278:T279"/>
    <mergeCell ref="U278:U279"/>
    <mergeCell ref="L278:L279"/>
    <mergeCell ref="M278:M279"/>
    <mergeCell ref="N278:N279"/>
    <mergeCell ref="O278:O279"/>
    <mergeCell ref="P278:P279"/>
    <mergeCell ref="Q278:Q279"/>
    <mergeCell ref="U276:U277"/>
    <mergeCell ref="B278:B279"/>
    <mergeCell ref="C278:C279"/>
    <mergeCell ref="E278:E279"/>
    <mergeCell ref="F278:F279"/>
    <mergeCell ref="G278:G279"/>
    <mergeCell ref="H278:H279"/>
    <mergeCell ref="I278:I279"/>
    <mergeCell ref="J278:J279"/>
    <mergeCell ref="K278:K279"/>
    <mergeCell ref="O276:O277"/>
    <mergeCell ref="P276:P277"/>
    <mergeCell ref="Q276:Q277"/>
    <mergeCell ref="R276:R277"/>
    <mergeCell ref="S276:S277"/>
    <mergeCell ref="T276:T277"/>
    <mergeCell ref="I276:I277"/>
    <mergeCell ref="J276:J277"/>
    <mergeCell ref="K276:K277"/>
    <mergeCell ref="L276:L277"/>
    <mergeCell ref="M276:M277"/>
    <mergeCell ref="N276:N277"/>
  </mergeCells>
  <phoneticPr fontId="1"/>
  <pageMargins left="0.70866141732283505" right="0.70866141732283505" top="0.74803149606299202" bottom="0.74803149606299202" header="0.31496062992126" footer="0.31496062992126"/>
  <pageSetup paperSize="9" scale="62" orientation="portrait" r:id="rId1"/>
  <rowBreaks count="7" manualBreakCount="7">
    <brk id="41" max="16383" man="1"/>
    <brk id="75" max="16383" man="1"/>
    <brk id="109" max="16383" man="1"/>
    <brk id="143" max="16383" man="1"/>
    <brk id="177" max="16383" man="1"/>
    <brk id="211" max="16383" man="1"/>
    <brk id="2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記入方法</vt:lpstr>
      <vt:lpstr>請求書（認定こども園）</vt:lpstr>
      <vt:lpstr>在籍児童一覧（教育）</vt:lpstr>
      <vt:lpstr>在籍児童一覧（保育）</vt:lpstr>
      <vt:lpstr>計算用</vt:lpstr>
      <vt:lpstr>計算用２</vt:lpstr>
      <vt:lpstr>１号単価表①</vt:lpstr>
      <vt:lpstr>１号単価表②</vt:lpstr>
      <vt:lpstr>こども園単価表③（定員を恒常的に超過する場合）</vt:lpstr>
      <vt:lpstr>２・３号単価表①</vt:lpstr>
      <vt:lpstr>２・３号単価表②</vt:lpstr>
      <vt:lpstr>保育単価表③（定員を恒常的に超過する場合）</vt:lpstr>
      <vt:lpstr>'在籍児童一覧（教育）'!Print_Area</vt:lpstr>
      <vt:lpstr>'在籍児童一覧（保育）'!Print_Area</vt:lpstr>
      <vt:lpstr>'請求書（認定こども園）'!Print_Area</vt:lpstr>
      <vt:lpstr>'保育単価表③（定員を恒常的に超過する場合）'!Print_Area</vt:lpstr>
      <vt:lpstr>'こども園単価表③（定員を恒常的に超過する場合）'!Print_Titles</vt:lpstr>
      <vt:lpstr>'保育単価表③（定員を恒常的に超過する場合）'!Print_Titles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2022-10-31T08:41:37Z</dcterms:created>
  <dcterms:modified xsi:type="dcterms:W3CDTF">2023-09-07T05:51:56Z</dcterms:modified>
</cp:coreProperties>
</file>